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en_skoroszyt" defaultThemeVersion="124226"/>
  <mc:AlternateContent xmlns:mc="http://schemas.openxmlformats.org/markup-compatibility/2006">
    <mc:Choice Requires="x15">
      <x15ac:absPath xmlns:x15ac="http://schemas.microsoft.com/office/spreadsheetml/2010/11/ac" url="C:\Users\monika.czerwonka\Desktop\"/>
    </mc:Choice>
  </mc:AlternateContent>
  <xr:revisionPtr revIDLastSave="0" documentId="13_ncr:1_{5A96C2D8-B453-420E-B88F-3C0DDEBE0F8E}" xr6:coauthVersionLast="47" xr6:coauthVersionMax="47" xr10:uidLastSave="{00000000-0000-0000-0000-000000000000}"/>
  <bookViews>
    <workbookView xWindow="-120" yWindow="-120" windowWidth="29040" windowHeight="15720" tabRatio="797" firstSheet="1" activeTab="9" xr2:uid="{00000000-000D-0000-FFFF-FFFF00000000}"/>
  </bookViews>
  <sheets>
    <sheet name="Arkusz3" sheetId="100" state="veryHidden" r:id="rId1"/>
    <sheet name="wskazówki" sheetId="72" r:id="rId2"/>
    <sheet name="kurs_nbp" sheetId="125" state="hidden" r:id="rId3"/>
    <sheet name="spis treści" sheetId="57" state="hidden" r:id="rId4"/>
    <sheet name="GA" sheetId="5" r:id="rId5"/>
    <sheet name="PKD" sheetId="97" state="hidden" r:id="rId6"/>
    <sheet name="Tytułowa" sheetId="79" r:id="rId7"/>
    <sheet name="n" sheetId="4" r:id="rId8"/>
    <sheet name="Wprowadzenie" sheetId="91" r:id="rId9"/>
    <sheet name="Bilans" sheetId="96" r:id="rId10"/>
    <sheet name="RZiS Por. " sheetId="7" r:id="rId11"/>
    <sheet name="FORMATKA_RPP bezpośredni" sheetId="84" state="hidden" r:id="rId12"/>
    <sheet name="ID tytul" sheetId="81" r:id="rId13"/>
    <sheet name="nota 1.1.-1.2" sheetId="40" r:id="rId14"/>
    <sheet name="nota 1.3-1.10" sheetId="43" r:id="rId15"/>
    <sheet name="nota 1.11-1.15" sheetId="75" r:id="rId16"/>
    <sheet name="nota 1.16-1.19" sheetId="69" r:id="rId17"/>
    <sheet name="nota 2" sheetId="49" r:id="rId18"/>
    <sheet name="nota 3,4" sheetId="78" r:id="rId19"/>
    <sheet name="nota 5" sheetId="51" r:id="rId20"/>
    <sheet name="nota 6" sheetId="52" r:id="rId21"/>
    <sheet name="nota 7" sheetId="53" r:id="rId22"/>
    <sheet name="nota 8-11" sheetId="54" r:id="rId23"/>
    <sheet name="RZiS Kal." sheetId="31" r:id="rId24"/>
    <sheet name="Z. Zm. w Kap." sheetId="59" r:id="rId25"/>
    <sheet name="CF mb" sheetId="65" r:id="rId26"/>
    <sheet name="CF mp" sheetId="60" r:id="rId27"/>
    <sheet name="SPRAWOZDANIE" sheetId="70" state="hidden" r:id="rId28"/>
    <sheet name="SPRAWOZDANIE S.A." sheetId="73" state="hidden" r:id="rId29"/>
  </sheets>
  <externalReferences>
    <externalReference r:id="rId30"/>
  </externalReferences>
  <definedNames>
    <definedName name="_xlnm._FilterDatabase" localSheetId="4" hidden="1">GA!$G$16</definedName>
    <definedName name="_xlnm._FilterDatabase" localSheetId="2" hidden="1">kurs_nbp!$A$1:$F$23</definedName>
    <definedName name="_xlnm._FilterDatabase" localSheetId="7" hidden="1">n!$A$2:$C$1787</definedName>
    <definedName name="_xlnm._FilterDatabase" localSheetId="5" hidden="1">PKD!$A$1:$B$656</definedName>
    <definedName name="adres">GA!$D$17</definedName>
    <definedName name="adresA786">n!$C$1748</definedName>
    <definedName name="arkusz_korekt">GA!#REF!</definedName>
    <definedName name="DaneZewnętrzne_1" localSheetId="0" hidden="1">Arkusz3!$B$1:$B$49</definedName>
    <definedName name="datrap">GA!$D$53</definedName>
    <definedName name="dzb">GA!$D$23</definedName>
    <definedName name="dzbo">GA!$D$28</definedName>
    <definedName name="gdzie">GA!#REF!</definedName>
    <definedName name="gdzie2">GA!#REF!</definedName>
    <definedName name="jezyk">GA!$D$14</definedName>
    <definedName name="jezyk1">GA!$D$14</definedName>
    <definedName name="kapital">Wprowadzenie!$O$284</definedName>
    <definedName name="kod">GA!$D$18</definedName>
    <definedName name="ksh">Wprowadzenie!$O$285</definedName>
    <definedName name="nazwa_spolki">GA!$D$16</definedName>
    <definedName name="_xlnm.Print_Area" localSheetId="9">Bilans!$D$2:$T$139</definedName>
    <definedName name="_xlnm.Print_Area" localSheetId="25">'CF mb'!$B$2:$J$94</definedName>
    <definedName name="_xlnm.Print_Area" localSheetId="26">'CF mp'!$B$2:$J$94</definedName>
    <definedName name="_xlnm.Print_Area" localSheetId="4">GA!$B$2:$H$70</definedName>
    <definedName name="_xlnm.Print_Area" localSheetId="12">'ID tytul'!$A$1:$Y$72</definedName>
    <definedName name="_xlnm.Print_Area" localSheetId="13">'nota 1.1.-1.2'!$B$2:$G$253</definedName>
    <definedName name="_xlnm.Print_Area" localSheetId="15">'nota 1.11-1.15'!$B$2:$H$152</definedName>
    <definedName name="_xlnm.Print_Area" localSheetId="16">'nota 1.16-1.19'!$B$2:$I$57</definedName>
    <definedName name="_xlnm.Print_Area" localSheetId="14">'nota 1.3-1.10'!$B$2:$J$130</definedName>
    <definedName name="_xlnm.Print_Area" localSheetId="17">'nota 2'!$B$2:$K$395</definedName>
    <definedName name="_xlnm.Print_Area" localSheetId="18">'nota 3,4'!$B$2:$L$146</definedName>
    <definedName name="_xlnm.Print_Area" localSheetId="19">'nota 5'!$B$2:$K$63</definedName>
    <definedName name="_xlnm.Print_Area" localSheetId="20">'nota 6'!$B$2:$L$62</definedName>
    <definedName name="_xlnm.Print_Area" localSheetId="21">'nota 7'!$B$2:$M$89</definedName>
    <definedName name="_xlnm.Print_Area" localSheetId="22">'nota 8-11'!$B$2:$L$362</definedName>
    <definedName name="_xlnm.Print_Area" localSheetId="23">'RZiS Kal.'!$B$2:$G$78</definedName>
    <definedName name="_xlnm.Print_Area" localSheetId="10">'RZiS Por. '!$A$2:$F$82</definedName>
    <definedName name="_xlnm.Print_Area" localSheetId="3">'spis treści'!$C$1:$C$35</definedName>
    <definedName name="_xlnm.Print_Area" localSheetId="27">SPRAWOZDANIE!$B$2:$V$245</definedName>
    <definedName name="_xlnm.Print_Area" localSheetId="28">'SPRAWOZDANIE S.A.'!$B$2:$V$253</definedName>
    <definedName name="_xlnm.Print_Area" localSheetId="6">Tytułowa!$A$1:$Y$72</definedName>
    <definedName name="_xlnm.Print_Area" localSheetId="8">Wprowadzenie!$B$2:$K$288</definedName>
    <definedName name="_xlnm.Print_Area" localSheetId="1">wskazówki!$B$1:$C$30</definedName>
    <definedName name="_xlnm.Print_Area" localSheetId="24">'Z. Zm. w Kap.'!$B$2:$J$105</definedName>
    <definedName name="oddzial">GA!#REF!</definedName>
    <definedName name="oddzial_dane_tabela">GA!$L$26:$R$31</definedName>
    <definedName name="oddzial_de">GA!#REF!</definedName>
    <definedName name="oddzial_eng">GA!#REF!</definedName>
    <definedName name="oddzial_w_tabela">GA!$L$16:$P$18</definedName>
    <definedName name="oddzialde">GA!#REF!</definedName>
    <definedName name="OLE_LINK1" localSheetId="7">n!$G$123</definedName>
    <definedName name="p_rok_dzial">GA!#REF!</definedName>
    <definedName name="p2dz">GA!$D$38</definedName>
    <definedName name="p2dzo">GA!$E$38</definedName>
    <definedName name="pdz">GA!$D$33</definedName>
    <definedName name="pdzo">GA!$E$33</definedName>
    <definedName name="rjedn">[1]GA!$D$27</definedName>
    <definedName name="ro">GA!$D$15</definedName>
    <definedName name="rok">GA!$D$15</definedName>
    <definedName name="siedziba">GA!$D$19</definedName>
    <definedName name="Spółka">GA!$D$16</definedName>
    <definedName name="ST_WD">Wprowadzenie!$AC$95</definedName>
    <definedName name="strata">Wprowadzenie!$O$283</definedName>
    <definedName name="strata1">Wprowadzenie!#REF!</definedName>
    <definedName name="tytul">GA!$D$21</definedName>
    <definedName name="_xlnm.Print_Titles" localSheetId="12">'ID tytul'!$3:$3</definedName>
    <definedName name="_xlnm.Print_Titles" localSheetId="13">'nota 1.1.-1.2'!$2:$4</definedName>
    <definedName name="_xlnm.Print_Titles" localSheetId="15">'nota 1.11-1.15'!$2:$5</definedName>
    <definedName name="_xlnm.Print_Titles" localSheetId="16">'nota 1.16-1.19'!$3:$5</definedName>
    <definedName name="_xlnm.Print_Titles" localSheetId="14">'nota 1.3-1.10'!$2:$4</definedName>
    <definedName name="_xlnm.Print_Titles" localSheetId="17">'nota 2'!$2:$5</definedName>
    <definedName name="_xlnm.Print_Titles" localSheetId="18">'nota 3,4'!$2:$3</definedName>
    <definedName name="_xlnm.Print_Titles" localSheetId="19">'nota 5'!$2:$5</definedName>
    <definedName name="_xlnm.Print_Titles" localSheetId="20">'nota 6'!$2:$5</definedName>
    <definedName name="_xlnm.Print_Titles" localSheetId="21">'nota 7'!$2:$5</definedName>
    <definedName name="_xlnm.Print_Titles" localSheetId="22">'nota 8-11'!$2:$3</definedName>
    <definedName name="_xlnm.Print_Titles" localSheetId="6">Tytułowa!$3:$3</definedName>
    <definedName name="_xlnm.Print_Titles" localSheetId="8">Wprowadzenie!$5:$5</definedName>
    <definedName name="_xlnm.Print_Titles" localSheetId="1">wskazówki!$1:$3</definedName>
    <definedName name="_xlnm.Print_Titles" localSheetId="24">'Z. Zm. w Kap.'!$2:$10</definedName>
    <definedName name="ulica">GA!$D$17</definedName>
    <definedName name="UoR">n!$A$31</definedName>
    <definedName name="wart.dolna">Wprowadzenie!$AC$90</definedName>
    <definedName name="wCF">GA!$D$47</definedName>
    <definedName name="WD.wnip">Wprowadzenie!$AC$90</definedName>
    <definedName name="wd_wnip">Wprowadzenie!$AC$90</definedName>
    <definedName name="WG_ST">Wprowadzenie!$AC$96</definedName>
    <definedName name="WG_WNIP">Wprowadzenie!$AC$92</definedName>
    <definedName name="wrach">GA!$D$44</definedName>
    <definedName name="ZZwk">GA!$D$49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6" i="75" l="1"/>
  <c r="I117" i="75"/>
  <c r="G88" i="75"/>
  <c r="E88" i="75"/>
  <c r="D44" i="75"/>
  <c r="I22" i="75"/>
  <c r="R74" i="43"/>
  <c r="R78" i="43"/>
  <c r="R79" i="43"/>
  <c r="H79" i="43"/>
  <c r="AC91" i="91"/>
  <c r="A132" i="4"/>
  <c r="C311" i="54"/>
  <c r="C260" i="54"/>
  <c r="C258" i="54"/>
  <c r="C252" i="54"/>
  <c r="C227" i="54"/>
  <c r="C220" i="54"/>
  <c r="C210" i="54"/>
  <c r="C208" i="54"/>
  <c r="C71" i="54"/>
  <c r="C63" i="54"/>
  <c r="C21" i="52"/>
  <c r="C83" i="53"/>
  <c r="C40" i="53"/>
  <c r="C26" i="53"/>
  <c r="C22" i="53"/>
  <c r="C55" i="51"/>
  <c r="C29" i="51"/>
  <c r="C39" i="51"/>
  <c r="C13" i="51"/>
  <c r="C25" i="51"/>
  <c r="C120" i="78"/>
  <c r="C86" i="78"/>
  <c r="C19" i="78"/>
  <c r="C351" i="49"/>
  <c r="C297" i="49"/>
  <c r="C66" i="49"/>
  <c r="C48" i="49"/>
  <c r="C29" i="49"/>
  <c r="C28" i="49"/>
  <c r="C24" i="49"/>
  <c r="C8" i="69"/>
  <c r="B231" i="40"/>
  <c r="B163" i="40"/>
  <c r="B72" i="40"/>
  <c r="C274" i="91"/>
  <c r="P274" i="91"/>
  <c r="C256" i="91"/>
  <c r="C251" i="91"/>
  <c r="C247" i="91"/>
  <c r="C245" i="91"/>
  <c r="C215" i="91"/>
  <c r="C149" i="91" l="1"/>
  <c r="C122" i="91"/>
  <c r="C84" i="91"/>
  <c r="C67" i="91"/>
  <c r="C78" i="91"/>
  <c r="C69" i="91" a="1"/>
  <c r="C65" i="91" a="1"/>
  <c r="C69" i="91" l="1"/>
  <c r="C65" i="91"/>
  <c r="C129" i="96" l="1"/>
  <c r="V91" i="96"/>
  <c r="V51" i="96"/>
  <c r="V42" i="96"/>
  <c r="I84" i="65" l="1"/>
  <c r="C106" i="91"/>
  <c r="C353" i="54"/>
  <c r="B351" i="54"/>
  <c r="B349" i="54"/>
  <c r="C351" i="54"/>
  <c r="C268" i="54"/>
  <c r="C205" i="54"/>
  <c r="F46" i="52"/>
  <c r="F42" i="52"/>
  <c r="F35" i="52"/>
  <c r="F32" i="52"/>
  <c r="C9" i="51"/>
  <c r="N142" i="78"/>
  <c r="M142" i="78"/>
  <c r="I116" i="78"/>
  <c r="K116" i="78"/>
  <c r="K109" i="78"/>
  <c r="I109" i="78"/>
  <c r="I108" i="78"/>
  <c r="K108" i="78"/>
  <c r="I88" i="78"/>
  <c r="K88" i="78"/>
  <c r="K86" i="78"/>
  <c r="I86" i="78"/>
  <c r="K85" i="78"/>
  <c r="I85" i="78"/>
  <c r="K76" i="78"/>
  <c r="K75" i="78"/>
  <c r="K74" i="78"/>
  <c r="K73" i="78"/>
  <c r="I76" i="78"/>
  <c r="I75" i="78"/>
  <c r="I74" i="78"/>
  <c r="I73" i="78"/>
  <c r="M72" i="78"/>
  <c r="K66" i="78"/>
  <c r="I66" i="78"/>
  <c r="M65" i="78"/>
  <c r="K59" i="78"/>
  <c r="I59" i="78"/>
  <c r="M58" i="78"/>
  <c r="C391" i="49"/>
  <c r="C50" i="69"/>
  <c r="C72" i="75"/>
  <c r="D59" i="75"/>
  <c r="D63" i="75"/>
  <c r="D58" i="75"/>
  <c r="D49" i="75"/>
  <c r="D45" i="75"/>
  <c r="C22" i="43" l="1"/>
  <c r="C13" i="43"/>
  <c r="C258" i="91" l="1"/>
  <c r="C233" i="91"/>
  <c r="C120" i="91"/>
  <c r="E67" i="79" l="1"/>
  <c r="Q267" i="91"/>
  <c r="I85" i="60"/>
  <c r="G33" i="54"/>
  <c r="G9" i="54"/>
  <c r="A26" i="125"/>
  <c r="A27" i="125"/>
  <c r="A28" i="125"/>
  <c r="A29" i="125"/>
  <c r="A30" i="125"/>
  <c r="A31" i="125"/>
  <c r="A32" i="125"/>
  <c r="A33" i="125"/>
  <c r="A34" i="125"/>
  <c r="A35" i="125"/>
  <c r="A36" i="125"/>
  <c r="A37" i="125"/>
  <c r="A38" i="125"/>
  <c r="A39" i="125"/>
  <c r="A40" i="125"/>
  <c r="A41" i="125"/>
  <c r="A42" i="125"/>
  <c r="A43" i="125"/>
  <c r="A44" i="125"/>
  <c r="A45" i="125"/>
  <c r="A25" i="125"/>
  <c r="A24" i="125"/>
  <c r="K151" i="49" l="1"/>
  <c r="K162" i="49"/>
  <c r="I72" i="59" l="1"/>
  <c r="A1646" i="4"/>
  <c r="R81" i="53"/>
  <c r="B1646" i="4" s="1"/>
  <c r="A2" i="125"/>
  <c r="A3" i="125"/>
  <c r="A4" i="125"/>
  <c r="A5" i="125"/>
  <c r="C1647" i="4" l="1"/>
  <c r="C1646" i="4"/>
  <c r="A6" i="125"/>
  <c r="A7" i="125"/>
  <c r="A8" i="125"/>
  <c r="A9" i="125"/>
  <c r="A13" i="125"/>
  <c r="A12" i="125"/>
  <c r="A11" i="125"/>
  <c r="A10" i="125"/>
  <c r="A17" i="125"/>
  <c r="A18" i="125"/>
  <c r="A19" i="125"/>
  <c r="A20" i="125"/>
  <c r="A22" i="125"/>
  <c r="A23" i="125"/>
  <c r="A14" i="125"/>
  <c r="A15" i="125"/>
  <c r="A16" i="125"/>
  <c r="A21" i="125"/>
  <c r="C259" i="49" l="1"/>
  <c r="K259" i="49"/>
  <c r="C260" i="49"/>
  <c r="K260" i="49"/>
  <c r="I255" i="49"/>
  <c r="J255" i="49"/>
  <c r="K255" i="49"/>
  <c r="K256" i="49"/>
  <c r="K257" i="49"/>
  <c r="C256" i="49"/>
  <c r="C257" i="49"/>
  <c r="K250" i="49"/>
  <c r="C250" i="49"/>
  <c r="K246" i="49"/>
  <c r="C246" i="49"/>
  <c r="C245" i="49"/>
  <c r="C244" i="49"/>
  <c r="C239" i="49"/>
  <c r="K239" i="49"/>
  <c r="C233" i="49"/>
  <c r="K233" i="49"/>
  <c r="C234" i="49"/>
  <c r="K234" i="49"/>
  <c r="K223" i="49"/>
  <c r="K224" i="49"/>
  <c r="C223" i="49"/>
  <c r="C224" i="49"/>
  <c r="K171" i="49"/>
  <c r="K172" i="49"/>
  <c r="C171" i="49"/>
  <c r="C172" i="49"/>
  <c r="I167" i="49"/>
  <c r="J167" i="49"/>
  <c r="K167" i="49"/>
  <c r="K168" i="49"/>
  <c r="K169" i="49"/>
  <c r="C168" i="49"/>
  <c r="C169" i="49"/>
  <c r="K156" i="49"/>
  <c r="K157" i="49"/>
  <c r="K158" i="49"/>
  <c r="C152" i="49"/>
  <c r="C153" i="49"/>
  <c r="C154" i="49"/>
  <c r="C155" i="49"/>
  <c r="C156" i="49"/>
  <c r="C157" i="49"/>
  <c r="C158" i="49"/>
  <c r="C162" i="49"/>
  <c r="C151" i="49"/>
  <c r="C159" i="49"/>
  <c r="C160" i="49"/>
  <c r="C161" i="49"/>
  <c r="K145" i="49"/>
  <c r="K146" i="49"/>
  <c r="C145" i="49"/>
  <c r="C146" i="49"/>
  <c r="K135" i="49"/>
  <c r="K136" i="49"/>
  <c r="C135" i="49"/>
  <c r="C136" i="49"/>
  <c r="D35" i="5" l="1"/>
  <c r="C792" i="4" l="1"/>
  <c r="B792" i="4"/>
  <c r="A792" i="4"/>
  <c r="G57" i="75" s="1"/>
  <c r="C790" i="4"/>
  <c r="B790" i="4"/>
  <c r="A790" i="4"/>
  <c r="F57" i="75" s="1"/>
  <c r="C788" i="4"/>
  <c r="B788" i="4"/>
  <c r="A788" i="4"/>
  <c r="E57" i="75" s="1"/>
  <c r="I63" i="51"/>
  <c r="G63" i="51"/>
  <c r="E36" i="5"/>
  <c r="E41" i="5" s="1"/>
  <c r="E35" i="5"/>
  <c r="E40" i="5" s="1"/>
  <c r="D49" i="5" l="1"/>
  <c r="J339" i="49"/>
  <c r="H339" i="49"/>
  <c r="C335" i="49"/>
  <c r="C338" i="49" s="1"/>
  <c r="C1171" i="4" l="1"/>
  <c r="B1171" i="4"/>
  <c r="A1171" i="4"/>
  <c r="C1097" i="4"/>
  <c r="C1096" i="4"/>
  <c r="B1097" i="4"/>
  <c r="B1096" i="4"/>
  <c r="A1097" i="4"/>
  <c r="A1096" i="4"/>
  <c r="C1078" i="4"/>
  <c r="C1077" i="4"/>
  <c r="B1078" i="4"/>
  <c r="B1077" i="4"/>
  <c r="A1078" i="4"/>
  <c r="A1077" i="4"/>
  <c r="C1067" i="4"/>
  <c r="B1067" i="4"/>
  <c r="A1067" i="4"/>
  <c r="I57" i="51"/>
  <c r="I31" i="51"/>
  <c r="I18" i="51"/>
  <c r="K65" i="78"/>
  <c r="K58" i="78"/>
  <c r="K45" i="78"/>
  <c r="K30" i="78"/>
  <c r="K21" i="78"/>
  <c r="J393" i="49"/>
  <c r="I384" i="49"/>
  <c r="I379" i="49"/>
  <c r="I370" i="49"/>
  <c r="I365" i="49"/>
  <c r="I354" i="49"/>
  <c r="I345" i="49"/>
  <c r="J332" i="49"/>
  <c r="J31" i="49"/>
  <c r="C886" i="4"/>
  <c r="B886" i="4"/>
  <c r="A886" i="4"/>
  <c r="A791" i="4"/>
  <c r="A789" i="4"/>
  <c r="B791" i="4"/>
  <c r="B789" i="4"/>
  <c r="C791" i="4"/>
  <c r="C789" i="4"/>
  <c r="C787" i="4"/>
  <c r="B787" i="4"/>
  <c r="A787" i="4"/>
  <c r="C761" i="4"/>
  <c r="B761" i="4"/>
  <c r="A761" i="4"/>
  <c r="C617" i="4"/>
  <c r="B617" i="4"/>
  <c r="A617" i="4"/>
  <c r="C54" i="75" s="1"/>
  <c r="L17" i="60"/>
  <c r="L13" i="60"/>
  <c r="F8" i="91" l="1"/>
  <c r="C1133" i="4" l="1"/>
  <c r="B1133" i="4"/>
  <c r="A841" i="4" l="1"/>
  <c r="C197" i="91"/>
  <c r="A1133" i="4" l="1"/>
  <c r="A1095" i="4" l="1"/>
  <c r="B1095" i="4"/>
  <c r="C1095" i="4"/>
  <c r="A1100" i="4"/>
  <c r="B1100" i="4"/>
  <c r="C1100" i="4"/>
  <c r="A1099" i="4"/>
  <c r="A970" i="4"/>
  <c r="B970" i="4"/>
  <c r="C970" i="4"/>
  <c r="N333" i="54" l="1"/>
  <c r="N331" i="54"/>
  <c r="C346" i="54"/>
  <c r="C345" i="54"/>
  <c r="C344" i="54"/>
  <c r="C1192" i="4"/>
  <c r="B1192" i="4"/>
  <c r="A1192" i="4"/>
  <c r="I338" i="54"/>
  <c r="K338" i="54"/>
  <c r="G338" i="54"/>
  <c r="C340" i="54"/>
  <c r="I333" i="54"/>
  <c r="K333" i="54"/>
  <c r="G328" i="54"/>
  <c r="I328" i="54"/>
  <c r="K328" i="54"/>
  <c r="C327" i="54"/>
  <c r="C329" i="54"/>
  <c r="C330" i="54"/>
  <c r="C334" i="54"/>
  <c r="C335" i="54"/>
  <c r="C339" i="54"/>
  <c r="C326" i="54"/>
  <c r="I325" i="54"/>
  <c r="K325" i="54"/>
  <c r="C328" i="54"/>
  <c r="G325" i="54"/>
  <c r="A1186" i="4"/>
  <c r="A1183" i="4"/>
  <c r="B786" i="4"/>
  <c r="C644" i="4"/>
  <c r="B644" i="4"/>
  <c r="N334" i="54" l="1"/>
  <c r="C333" i="54"/>
  <c r="C338" i="54"/>
  <c r="C325" i="54"/>
  <c r="B1098" i="4"/>
  <c r="A1098" i="4"/>
  <c r="B1099" i="4"/>
  <c r="C1099" i="4"/>
  <c r="C66" i="53"/>
  <c r="A687" i="4"/>
  <c r="A644" i="4"/>
  <c r="F9" i="91"/>
  <c r="J8" i="60"/>
  <c r="F8" i="7"/>
  <c r="J9" i="60"/>
  <c r="F9" i="7"/>
  <c r="J7" i="59" l="1"/>
  <c r="J8" i="59"/>
  <c r="C302" i="54" l="1"/>
  <c r="C301" i="54"/>
  <c r="C300" i="54"/>
  <c r="C299" i="54"/>
  <c r="C298" i="54"/>
  <c r="C294" i="54"/>
  <c r="C43" i="69"/>
  <c r="A840" i="4"/>
  <c r="C37" i="69"/>
  <c r="I38" i="69"/>
  <c r="H38" i="69"/>
  <c r="C272" i="91"/>
  <c r="C1062" i="4" l="1"/>
  <c r="E15" i="5" l="1"/>
  <c r="C46" i="69" l="1"/>
  <c r="C45" i="69"/>
  <c r="C44" i="69"/>
  <c r="C42" i="69"/>
  <c r="C41" i="69"/>
  <c r="C40" i="69"/>
  <c r="C39" i="69"/>
  <c r="C38" i="69"/>
  <c r="C34" i="69"/>
  <c r="C32" i="69"/>
  <c r="K134" i="96" l="1"/>
  <c r="K132" i="96"/>
  <c r="K130" i="96"/>
  <c r="K128" i="96"/>
  <c r="K125" i="96"/>
  <c r="K124" i="96"/>
  <c r="K123" i="96"/>
  <c r="K120" i="96"/>
  <c r="K119" i="96"/>
  <c r="K118" i="96"/>
  <c r="K117" i="96"/>
  <c r="K114" i="96"/>
  <c r="K113" i="96"/>
  <c r="K112" i="96"/>
  <c r="K111" i="96"/>
  <c r="K105" i="96"/>
  <c r="K104" i="96"/>
  <c r="K103" i="96"/>
  <c r="K100" i="96"/>
  <c r="K99" i="96"/>
  <c r="T98" i="96"/>
  <c r="T97" i="96"/>
  <c r="K114" i="78" s="1"/>
  <c r="T94" i="96"/>
  <c r="K94" i="96"/>
  <c r="K92" i="96"/>
  <c r="K91" i="96"/>
  <c r="T89" i="96"/>
  <c r="T87" i="96"/>
  <c r="K87" i="96"/>
  <c r="T86" i="96"/>
  <c r="K84" i="96"/>
  <c r="T83" i="96"/>
  <c r="K83" i="96"/>
  <c r="T82" i="96"/>
  <c r="T80" i="96"/>
  <c r="T79" i="96"/>
  <c r="T77" i="96"/>
  <c r="D62" i="75" s="1"/>
  <c r="K77" i="96"/>
  <c r="J88" i="49" s="1"/>
  <c r="T76" i="96"/>
  <c r="K76" i="96"/>
  <c r="I88" i="49" s="1"/>
  <c r="T75" i="96"/>
  <c r="K87" i="78" s="1"/>
  <c r="K75" i="96"/>
  <c r="G88" i="49" s="1"/>
  <c r="K74" i="96"/>
  <c r="E88" i="49" s="1"/>
  <c r="K73" i="96"/>
  <c r="T72" i="96"/>
  <c r="T69" i="96"/>
  <c r="T68" i="96"/>
  <c r="K66" i="96"/>
  <c r="K65" i="96"/>
  <c r="T63" i="96"/>
  <c r="K61" i="96"/>
  <c r="T60" i="96"/>
  <c r="T59" i="96"/>
  <c r="K58" i="96"/>
  <c r="K57" i="96"/>
  <c r="K56" i="96"/>
  <c r="K55" i="96"/>
  <c r="K52" i="96"/>
  <c r="T51" i="96"/>
  <c r="K51" i="96"/>
  <c r="T50" i="96"/>
  <c r="K50" i="96"/>
  <c r="T49" i="96"/>
  <c r="K49" i="96"/>
  <c r="T48" i="96"/>
  <c r="T47" i="96"/>
  <c r="K46" i="96"/>
  <c r="T45" i="96"/>
  <c r="K45" i="96"/>
  <c r="T44" i="96"/>
  <c r="K44" i="96"/>
  <c r="T43" i="96"/>
  <c r="K43" i="96"/>
  <c r="K40" i="96"/>
  <c r="K39" i="96"/>
  <c r="T37" i="96"/>
  <c r="T36" i="96"/>
  <c r="K35" i="96"/>
  <c r="K34" i="96"/>
  <c r="T33" i="96"/>
  <c r="F56" i="52" s="1"/>
  <c r="K33" i="96"/>
  <c r="T32" i="96"/>
  <c r="T30" i="96"/>
  <c r="K29" i="96"/>
  <c r="K28" i="96"/>
  <c r="K25" i="96"/>
  <c r="K24" i="96"/>
  <c r="K23" i="96"/>
  <c r="K22" i="96"/>
  <c r="T21" i="96"/>
  <c r="K21" i="96"/>
  <c r="T19" i="96"/>
  <c r="N92" i="59" s="1"/>
  <c r="T18" i="96"/>
  <c r="T17" i="96"/>
  <c r="T16" i="96"/>
  <c r="N64" i="59" s="1"/>
  <c r="K16" i="96"/>
  <c r="T15" i="96"/>
  <c r="K15" i="96"/>
  <c r="T14" i="96"/>
  <c r="N52" i="59" s="1"/>
  <c r="K14" i="96"/>
  <c r="T13" i="96"/>
  <c r="K13" i="96"/>
  <c r="T12" i="96"/>
  <c r="T11" i="96"/>
  <c r="N27" i="59" s="1"/>
  <c r="J134" i="96"/>
  <c r="J132" i="96"/>
  <c r="J128" i="96"/>
  <c r="J125" i="96"/>
  <c r="J124" i="96"/>
  <c r="J120" i="96"/>
  <c r="J119" i="96"/>
  <c r="J118" i="96"/>
  <c r="J117" i="96"/>
  <c r="J114" i="96"/>
  <c r="J113" i="96"/>
  <c r="J112" i="96"/>
  <c r="J111" i="96"/>
  <c r="J105" i="96"/>
  <c r="J104" i="96"/>
  <c r="J100" i="96"/>
  <c r="S97" i="96"/>
  <c r="I114" i="78" s="1"/>
  <c r="S94" i="96"/>
  <c r="J94" i="96"/>
  <c r="J92" i="96"/>
  <c r="J91" i="96"/>
  <c r="S89" i="96"/>
  <c r="S87" i="96"/>
  <c r="J87" i="96"/>
  <c r="S86" i="96"/>
  <c r="J84" i="96"/>
  <c r="S83" i="96"/>
  <c r="S82" i="96"/>
  <c r="S80" i="96"/>
  <c r="S77" i="96"/>
  <c r="D48" i="75" s="1"/>
  <c r="J77" i="96"/>
  <c r="J77" i="49" s="1"/>
  <c r="S76" i="96"/>
  <c r="J76" i="96"/>
  <c r="I77" i="49" s="1"/>
  <c r="S75" i="96"/>
  <c r="I87" i="78" s="1"/>
  <c r="J75" i="96"/>
  <c r="G77" i="49" s="1"/>
  <c r="J74" i="96"/>
  <c r="E77" i="49" s="1"/>
  <c r="J73" i="96"/>
  <c r="S72" i="96"/>
  <c r="S69" i="96"/>
  <c r="S68" i="96"/>
  <c r="J66" i="96"/>
  <c r="S63" i="96"/>
  <c r="J61" i="96"/>
  <c r="S60" i="96"/>
  <c r="J58" i="96"/>
  <c r="J57" i="96"/>
  <c r="J56" i="96"/>
  <c r="J55" i="96"/>
  <c r="J52" i="96"/>
  <c r="S51" i="96"/>
  <c r="J51" i="96"/>
  <c r="S50" i="96"/>
  <c r="J50" i="96"/>
  <c r="S49" i="96"/>
  <c r="J49" i="96"/>
  <c r="S48" i="96"/>
  <c r="S47" i="96"/>
  <c r="J46" i="96"/>
  <c r="S45" i="96"/>
  <c r="J45" i="96"/>
  <c r="S44" i="96"/>
  <c r="J44" i="96"/>
  <c r="S43" i="96"/>
  <c r="J43" i="96"/>
  <c r="J40" i="96"/>
  <c r="J39" i="96"/>
  <c r="S36" i="96"/>
  <c r="J35" i="96"/>
  <c r="J34" i="96"/>
  <c r="J33" i="96"/>
  <c r="S30" i="96"/>
  <c r="J29" i="96"/>
  <c r="J28" i="96"/>
  <c r="J25" i="96"/>
  <c r="J24" i="96"/>
  <c r="J22" i="96"/>
  <c r="S21" i="96"/>
  <c r="J21" i="96"/>
  <c r="S19" i="96"/>
  <c r="S18" i="96"/>
  <c r="S17" i="96"/>
  <c r="S16" i="96"/>
  <c r="M64" i="59" s="1"/>
  <c r="J16" i="96"/>
  <c r="S15" i="96"/>
  <c r="S14" i="96"/>
  <c r="M52" i="59" s="1"/>
  <c r="S13" i="96"/>
  <c r="S12" i="96"/>
  <c r="M41" i="59" s="1"/>
  <c r="M27" i="59"/>
  <c r="J13" i="96"/>
  <c r="E76" i="43" l="1"/>
  <c r="F87" i="7"/>
  <c r="H90" i="43"/>
  <c r="F45" i="52"/>
  <c r="G83" i="31"/>
  <c r="N41" i="59"/>
  <c r="E74" i="43"/>
  <c r="I98" i="59"/>
  <c r="F83" i="31"/>
  <c r="K103" i="78"/>
  <c r="D61" i="75"/>
  <c r="E77" i="43"/>
  <c r="I103" i="78"/>
  <c r="M84" i="78"/>
  <c r="D47" i="75"/>
  <c r="E75" i="43"/>
  <c r="M107" i="78"/>
  <c r="T84" i="96"/>
  <c r="D64" i="75" s="1"/>
  <c r="D50" i="75"/>
  <c r="T81" i="96"/>
  <c r="S81" i="96"/>
  <c r="T70" i="96"/>
  <c r="T65" i="96" s="1"/>
  <c r="S70" i="96"/>
  <c r="S65" i="96" s="1"/>
  <c r="T61" i="96"/>
  <c r="T57" i="96" s="1"/>
  <c r="S61" i="96"/>
  <c r="S57" i="96" s="1"/>
  <c r="T52" i="96"/>
  <c r="S52" i="96"/>
  <c r="T38" i="96"/>
  <c r="S38" i="96"/>
  <c r="T34" i="96"/>
  <c r="S34" i="96"/>
  <c r="K126" i="96"/>
  <c r="J126" i="96"/>
  <c r="K121" i="96"/>
  <c r="J121" i="96"/>
  <c r="K115" i="96"/>
  <c r="J115" i="96"/>
  <c r="K101" i="96"/>
  <c r="K97" i="96" s="1"/>
  <c r="J101" i="96"/>
  <c r="J97" i="96" s="1"/>
  <c r="J93" i="96"/>
  <c r="J89" i="96" s="1"/>
  <c r="K93" i="96"/>
  <c r="K89" i="96" s="1"/>
  <c r="J85" i="96"/>
  <c r="J81" i="96" s="1"/>
  <c r="K85" i="96"/>
  <c r="K81" i="96" s="1"/>
  <c r="J71" i="96"/>
  <c r="K71" i="96"/>
  <c r="J63" i="96"/>
  <c r="K63" i="96"/>
  <c r="K59" i="96"/>
  <c r="J59" i="96"/>
  <c r="K53" i="96"/>
  <c r="J53" i="96"/>
  <c r="K47" i="96"/>
  <c r="J47" i="96"/>
  <c r="J31" i="96"/>
  <c r="K31" i="96"/>
  <c r="K26" i="96"/>
  <c r="J26" i="96"/>
  <c r="L84" i="65" l="1"/>
  <c r="K85" i="60"/>
  <c r="T41" i="96"/>
  <c r="S41" i="96"/>
  <c r="D46" i="75"/>
  <c r="J18" i="96"/>
  <c r="K18" i="96"/>
  <c r="F52" i="7"/>
  <c r="F20" i="7"/>
  <c r="F35" i="7"/>
  <c r="F42" i="7"/>
  <c r="J41" i="96"/>
  <c r="K109" i="96"/>
  <c r="K107" i="96" s="1"/>
  <c r="K41" i="96"/>
  <c r="J79" i="96"/>
  <c r="J109" i="96"/>
  <c r="J107" i="96" s="1"/>
  <c r="T74" i="96"/>
  <c r="T55" i="96" s="1"/>
  <c r="S74" i="96"/>
  <c r="S55" i="96" s="1"/>
  <c r="K79" i="96"/>
  <c r="K37" i="96" l="1"/>
  <c r="J37" i="96"/>
  <c r="F50" i="7"/>
  <c r="J69" i="96"/>
  <c r="F64" i="7"/>
  <c r="K69" i="96"/>
  <c r="P47" i="5" l="1"/>
  <c r="C31" i="4" s="1"/>
  <c r="O47" i="5"/>
  <c r="B31" i="4" s="1"/>
  <c r="N47" i="5"/>
  <c r="A31" i="4" s="1"/>
  <c r="P46" i="5" l="1"/>
  <c r="O46" i="5"/>
  <c r="N46" i="5"/>
  <c r="A128" i="4" s="1"/>
  <c r="A129" i="4" l="1"/>
  <c r="B129" i="4"/>
  <c r="B128" i="4"/>
  <c r="B125" i="4"/>
  <c r="C129" i="4"/>
  <c r="C128" i="4"/>
  <c r="A127" i="4"/>
  <c r="A125" i="4"/>
  <c r="C125" i="4"/>
  <c r="C127" i="4"/>
  <c r="B127" i="4"/>
  <c r="A124" i="4"/>
  <c r="A126" i="4"/>
  <c r="B124" i="4"/>
  <c r="B126" i="4"/>
  <c r="C124" i="4"/>
  <c r="C126" i="4"/>
  <c r="C48" i="75" l="1"/>
  <c r="C49" i="75"/>
  <c r="C50" i="75"/>
  <c r="C51" i="75"/>
  <c r="C47" i="75"/>
  <c r="S45" i="53" l="1"/>
  <c r="S46" i="53" l="1"/>
  <c r="L61" i="75" l="1"/>
  <c r="C41" i="49" l="1"/>
  <c r="C8" i="53" l="1"/>
  <c r="H320" i="49"/>
  <c r="H321" i="49" s="1"/>
  <c r="L321" i="49" s="1"/>
  <c r="J310" i="49"/>
  <c r="H310" i="49"/>
  <c r="H311" i="49" s="1"/>
  <c r="H313" i="49" l="1"/>
  <c r="L313" i="49" s="1"/>
  <c r="C299" i="49"/>
  <c r="B4" i="91"/>
  <c r="C6" i="91"/>
  <c r="C7" i="43" l="1"/>
  <c r="E106" i="75" l="1"/>
  <c r="G96" i="75"/>
  <c r="J96" i="75" l="1"/>
  <c r="C130" i="96"/>
  <c r="C129" i="91"/>
  <c r="C33" i="57"/>
  <c r="C32" i="57"/>
  <c r="C21" i="57"/>
  <c r="C22" i="57"/>
  <c r="G88" i="59"/>
  <c r="G76" i="59"/>
  <c r="G248" i="40" l="1"/>
  <c r="F251" i="40"/>
  <c r="E251" i="40"/>
  <c r="D251" i="40"/>
  <c r="C251" i="40"/>
  <c r="G250" i="40"/>
  <c r="G249" i="40"/>
  <c r="D223" i="40"/>
  <c r="D222" i="40"/>
  <c r="B223" i="40"/>
  <c r="B189" i="40"/>
  <c r="B173" i="40"/>
  <c r="C88" i="75"/>
  <c r="C117" i="78"/>
  <c r="C110" i="78"/>
  <c r="C78" i="78"/>
  <c r="C119" i="78"/>
  <c r="C70" i="78"/>
  <c r="C69" i="78"/>
  <c r="C66" i="78"/>
  <c r="C67" i="78"/>
  <c r="C113" i="78"/>
  <c r="C65" i="78"/>
  <c r="I65" i="78"/>
  <c r="K138" i="78"/>
  <c r="I138" i="78"/>
  <c r="I142" i="78" s="1"/>
  <c r="K132" i="78"/>
  <c r="I132" i="78"/>
  <c r="K90" i="78"/>
  <c r="I90" i="78"/>
  <c r="K37" i="78"/>
  <c r="I37" i="78"/>
  <c r="K34" i="78"/>
  <c r="I34" i="78"/>
  <c r="K31" i="78"/>
  <c r="I31" i="78"/>
  <c r="G251" i="40" l="1"/>
  <c r="I43" i="78"/>
  <c r="I145" i="78"/>
  <c r="K43" i="78"/>
  <c r="N43" i="78" s="1"/>
  <c r="I146" i="78" l="1"/>
  <c r="K61" i="49" l="1"/>
  <c r="C91" i="43" l="1"/>
  <c r="C80" i="43"/>
  <c r="A135" i="4" l="1"/>
  <c r="A139" i="4"/>
  <c r="C100" i="91" s="1"/>
  <c r="C140" i="4"/>
  <c r="A140" i="4"/>
  <c r="C139" i="4"/>
  <c r="B140" i="4"/>
  <c r="B139" i="4"/>
  <c r="B2" i="91" l="1"/>
  <c r="C41" i="51" l="1"/>
  <c r="C32" i="51"/>
  <c r="I288" i="91"/>
  <c r="C287" i="91"/>
  <c r="J359" i="54" l="1"/>
  <c r="J360" i="54"/>
  <c r="J361" i="54"/>
  <c r="C262" i="54"/>
  <c r="C359" i="54"/>
  <c r="C296" i="54" l="1"/>
  <c r="C280" i="54"/>
  <c r="B278" i="4"/>
  <c r="C143" i="78" l="1"/>
  <c r="C144" i="78"/>
  <c r="C145" i="78"/>
  <c r="C146" i="78"/>
  <c r="C142" i="78"/>
  <c r="C140" i="78"/>
  <c r="C141" i="78"/>
  <c r="C139" i="78"/>
  <c r="C136" i="78"/>
  <c r="C137" i="78"/>
  <c r="C138" i="78"/>
  <c r="C135" i="78"/>
  <c r="C134" i="78"/>
  <c r="C132" i="78"/>
  <c r="C131" i="78"/>
  <c r="C130" i="78"/>
  <c r="C129" i="78"/>
  <c r="C128" i="78"/>
  <c r="C127" i="78"/>
  <c r="C126" i="78"/>
  <c r="C125" i="78"/>
  <c r="C124" i="78"/>
  <c r="C123" i="78"/>
  <c r="C121" i="78"/>
  <c r="C116" i="78"/>
  <c r="C115" i="78"/>
  <c r="C114" i="78"/>
  <c r="C109" i="78"/>
  <c r="C112" i="78"/>
  <c r="C108" i="78"/>
  <c r="C107" i="78"/>
  <c r="C105" i="78"/>
  <c r="C104" i="78"/>
  <c r="C103" i="78"/>
  <c r="C102" i="78"/>
  <c r="C101" i="78"/>
  <c r="C100" i="78"/>
  <c r="C99" i="78"/>
  <c r="C98" i="78"/>
  <c r="C97" i="78"/>
  <c r="C96" i="78"/>
  <c r="C95" i="78"/>
  <c r="C94" i="78"/>
  <c r="C93" i="78"/>
  <c r="C92" i="78"/>
  <c r="C91" i="78"/>
  <c r="C90" i="78"/>
  <c r="C89" i="78"/>
  <c r="C88" i="78"/>
  <c r="C87" i="78"/>
  <c r="C85" i="78"/>
  <c r="C84" i="78"/>
  <c r="C82" i="78"/>
  <c r="C81" i="78"/>
  <c r="C80" i="78"/>
  <c r="C79" i="78"/>
  <c r="C77" i="78"/>
  <c r="C76" i="78"/>
  <c r="C74" i="78"/>
  <c r="C75" i="78"/>
  <c r="C73" i="78"/>
  <c r="C72" i="78"/>
  <c r="C63" i="78"/>
  <c r="C61" i="78"/>
  <c r="C62" i="78"/>
  <c r="C60" i="78"/>
  <c r="C59" i="78"/>
  <c r="C58" i="78"/>
  <c r="C56" i="78"/>
  <c r="C55" i="78"/>
  <c r="C52" i="78"/>
  <c r="C53" i="78"/>
  <c r="C54" i="78"/>
  <c r="C51" i="78"/>
  <c r="C50" i="78"/>
  <c r="C49" i="78"/>
  <c r="C48" i="78"/>
  <c r="C47" i="78"/>
  <c r="C46" i="78"/>
  <c r="C45" i="78"/>
  <c r="C43" i="78"/>
  <c r="C42" i="78"/>
  <c r="C41" i="78"/>
  <c r="C40" i="78"/>
  <c r="C37" i="78"/>
  <c r="C34" i="78"/>
  <c r="C39" i="78"/>
  <c r="C36" i="78"/>
  <c r="C33" i="78"/>
  <c r="C38" i="78"/>
  <c r="C35" i="78"/>
  <c r="C32" i="78"/>
  <c r="C31" i="78"/>
  <c r="J15" i="59"/>
  <c r="I84" i="59"/>
  <c r="K230" i="49"/>
  <c r="K218" i="49"/>
  <c r="K211" i="49"/>
  <c r="D12" i="59"/>
  <c r="G26" i="75" l="1"/>
  <c r="G12" i="75"/>
  <c r="F26" i="75"/>
  <c r="F12" i="75"/>
  <c r="E26" i="75"/>
  <c r="E12" i="75"/>
  <c r="C29" i="75"/>
  <c r="C30" i="75"/>
  <c r="C31" i="75"/>
  <c r="C33" i="75"/>
  <c r="C34" i="75"/>
  <c r="C35" i="75"/>
  <c r="C28" i="75"/>
  <c r="C15" i="75"/>
  <c r="C16" i="75"/>
  <c r="C17" i="75"/>
  <c r="C19" i="75"/>
  <c r="C20" i="75"/>
  <c r="C21" i="75"/>
  <c r="C14" i="75"/>
  <c r="C26" i="75"/>
  <c r="C12" i="75"/>
  <c r="G36" i="75"/>
  <c r="F36" i="75"/>
  <c r="E36" i="75"/>
  <c r="D36" i="75"/>
  <c r="H35" i="75"/>
  <c r="D21" i="75" s="1"/>
  <c r="H21" i="75" s="1"/>
  <c r="H34" i="75"/>
  <c r="D20" i="75" s="1"/>
  <c r="H20" i="75" s="1"/>
  <c r="H33" i="75"/>
  <c r="D19" i="75" s="1"/>
  <c r="H32" i="75"/>
  <c r="D18" i="75" s="1"/>
  <c r="H18" i="75" s="1"/>
  <c r="H31" i="75"/>
  <c r="D17" i="75" s="1"/>
  <c r="H30" i="75"/>
  <c r="D16" i="75" s="1"/>
  <c r="H16" i="75" s="1"/>
  <c r="H29" i="75"/>
  <c r="D15" i="75" s="1"/>
  <c r="H28" i="75"/>
  <c r="G22" i="75"/>
  <c r="F22" i="75"/>
  <c r="E22" i="75"/>
  <c r="C6" i="75"/>
  <c r="B4" i="75"/>
  <c r="H36" i="75" l="1"/>
  <c r="H15" i="75"/>
  <c r="D14" i="75"/>
  <c r="H17" i="75"/>
  <c r="H19" i="75"/>
  <c r="C170" i="91"/>
  <c r="D22" i="75" l="1"/>
  <c r="J22" i="75" s="1"/>
  <c r="H14" i="75"/>
  <c r="H22" i="75" s="1"/>
  <c r="I36" i="75" l="1"/>
  <c r="C1098" i="4" l="1"/>
  <c r="C278" i="4"/>
  <c r="K142" i="78" l="1"/>
  <c r="K94" i="78"/>
  <c r="K48" i="78"/>
  <c r="K47" i="78"/>
  <c r="I75" i="59"/>
  <c r="I49" i="59"/>
  <c r="I46" i="59"/>
  <c r="I38" i="59"/>
  <c r="I32" i="59"/>
  <c r="I24" i="59"/>
  <c r="J21" i="59"/>
  <c r="I21" i="59"/>
  <c r="K46" i="78" l="1"/>
  <c r="K56" i="78" s="1"/>
  <c r="N56" i="78" s="1"/>
  <c r="I31" i="59"/>
  <c r="I20" i="59"/>
  <c r="I143" i="78"/>
  <c r="C32" i="91" l="1"/>
  <c r="C34" i="91"/>
  <c r="C21" i="91"/>
  <c r="C35" i="91"/>
  <c r="C18" i="91"/>
  <c r="C37" i="91"/>
  <c r="C36" i="91"/>
  <c r="C19" i="91"/>
  <c r="C20" i="91"/>
  <c r="C33" i="91"/>
  <c r="C22" i="91"/>
  <c r="S44" i="53" l="1"/>
  <c r="I44" i="53"/>
  <c r="I45" i="53"/>
  <c r="I46" i="53"/>
  <c r="I49" i="53"/>
  <c r="I50" i="53"/>
  <c r="I43" i="53"/>
  <c r="I29" i="53"/>
  <c r="S43" i="53"/>
  <c r="S29" i="53"/>
  <c r="I48" i="53" l="1"/>
  <c r="A278" i="4" l="1"/>
  <c r="C278" i="91"/>
  <c r="L197" i="54" l="1"/>
  <c r="J197" i="54"/>
  <c r="I197" i="54"/>
  <c r="G197" i="54"/>
  <c r="L193" i="54"/>
  <c r="J193" i="54"/>
  <c r="I193" i="54"/>
  <c r="G193" i="54"/>
  <c r="J164" i="54"/>
  <c r="I164" i="54"/>
  <c r="G164" i="54"/>
  <c r="E164" i="54"/>
  <c r="L121" i="54"/>
  <c r="J121" i="54"/>
  <c r="I121" i="54"/>
  <c r="G121" i="54"/>
  <c r="L201" i="54" l="1"/>
  <c r="I201" i="54"/>
  <c r="G201" i="54"/>
  <c r="J201" i="54"/>
  <c r="C305" i="54" l="1"/>
  <c r="C297" i="54"/>
  <c r="J86" i="49"/>
  <c r="I86" i="49"/>
  <c r="G86" i="49"/>
  <c r="G71" i="49" s="1"/>
  <c r="G75" i="49" s="1"/>
  <c r="E86" i="49"/>
  <c r="K85" i="49"/>
  <c r="K84" i="49"/>
  <c r="K83" i="49"/>
  <c r="K82" i="49"/>
  <c r="K72" i="49"/>
  <c r="K73" i="49"/>
  <c r="K74" i="49"/>
  <c r="K70" i="49"/>
  <c r="K81" i="49" s="1"/>
  <c r="K120" i="49"/>
  <c r="J70" i="49"/>
  <c r="J81" i="49" s="1"/>
  <c r="I70" i="49"/>
  <c r="I81" i="49" s="1"/>
  <c r="E70" i="49"/>
  <c r="E81" i="49" s="1"/>
  <c r="C885" i="4"/>
  <c r="B885" i="4"/>
  <c r="A885" i="4"/>
  <c r="A760" i="4"/>
  <c r="J44" i="49"/>
  <c r="H44" i="49"/>
  <c r="C86" i="43"/>
  <c r="C87" i="43"/>
  <c r="C88" i="43"/>
  <c r="C89" i="43"/>
  <c r="C90" i="43"/>
  <c r="C85" i="43"/>
  <c r="C74" i="43"/>
  <c r="I91" i="43"/>
  <c r="F91" i="43"/>
  <c r="G90" i="43"/>
  <c r="G89" i="43"/>
  <c r="J89" i="43" s="1"/>
  <c r="G88" i="43"/>
  <c r="J88" i="43" s="1"/>
  <c r="S77" i="43" s="1"/>
  <c r="G87" i="43"/>
  <c r="J87" i="43" s="1"/>
  <c r="S76" i="43" s="1"/>
  <c r="G86" i="43"/>
  <c r="J86" i="43" s="1"/>
  <c r="S75" i="43" s="1"/>
  <c r="G85" i="43"/>
  <c r="J85" i="43" s="1"/>
  <c r="S74" i="43" s="1"/>
  <c r="C79" i="49" l="1"/>
  <c r="E87" i="49"/>
  <c r="J87" i="49"/>
  <c r="I87" i="49"/>
  <c r="E71" i="49"/>
  <c r="E75" i="49" s="1"/>
  <c r="I71" i="49"/>
  <c r="I75" i="49" s="1"/>
  <c r="K88" i="49"/>
  <c r="L88" i="49" s="1"/>
  <c r="J71" i="49"/>
  <c r="J75" i="49" s="1"/>
  <c r="G87" i="49"/>
  <c r="K86" i="49"/>
  <c r="E91" i="43"/>
  <c r="G91" i="43"/>
  <c r="K87" i="49" l="1"/>
  <c r="K71" i="49"/>
  <c r="K75" i="49"/>
  <c r="F235" i="40" l="1"/>
  <c r="F246" i="40" s="1"/>
  <c r="E235" i="40"/>
  <c r="E246" i="40" s="1"/>
  <c r="D235" i="40"/>
  <c r="D246" i="40" s="1"/>
  <c r="B235" i="40"/>
  <c r="B246" i="40" s="1"/>
  <c r="B238" i="40" l="1"/>
  <c r="B249" i="40" s="1"/>
  <c r="B237" i="40"/>
  <c r="B248" i="40" s="1"/>
  <c r="B228" i="40"/>
  <c r="B70" i="40"/>
  <c r="B99" i="40" s="1"/>
  <c r="B6" i="40"/>
  <c r="B12" i="78" l="1"/>
  <c r="B4" i="78"/>
  <c r="C47" i="52"/>
  <c r="C55" i="52"/>
  <c r="C58" i="52"/>
  <c r="C43" i="52"/>
  <c r="C57" i="52"/>
  <c r="B20" i="7"/>
  <c r="C60" i="52"/>
  <c r="C45" i="52"/>
  <c r="F53" i="52"/>
  <c r="C53" i="52"/>
  <c r="J59" i="52"/>
  <c r="H56" i="52"/>
  <c r="J56" i="52" s="1"/>
  <c r="A4" i="7"/>
  <c r="C51" i="52"/>
  <c r="J49" i="52"/>
  <c r="C46" i="52"/>
  <c r="C44" i="52"/>
  <c r="C42" i="52"/>
  <c r="C33" i="52"/>
  <c r="C41" i="52"/>
  <c r="C38" i="52"/>
  <c r="C36" i="52"/>
  <c r="C35" i="52"/>
  <c r="J34" i="52"/>
  <c r="C32" i="52"/>
  <c r="C31" i="52"/>
  <c r="J50" i="52"/>
  <c r="J48" i="52"/>
  <c r="J37" i="52"/>
  <c r="C26" i="52"/>
  <c r="C312" i="49"/>
  <c r="C313" i="49"/>
  <c r="H53" i="52" l="1"/>
  <c r="C29" i="52"/>
  <c r="L316" i="54"/>
  <c r="L317" i="54"/>
  <c r="L318" i="54"/>
  <c r="L319" i="54"/>
  <c r="J320" i="54"/>
  <c r="I320" i="54"/>
  <c r="G320" i="54"/>
  <c r="L315" i="54"/>
  <c r="C316" i="54"/>
  <c r="C317" i="54"/>
  <c r="C318" i="54"/>
  <c r="C319" i="54"/>
  <c r="C315" i="54"/>
  <c r="J314" i="54"/>
  <c r="G314" i="54"/>
  <c r="D43" i="75"/>
  <c r="L314" i="54"/>
  <c r="C26" i="69"/>
  <c r="G313" i="54"/>
  <c r="C313" i="54"/>
  <c r="C284" i="54"/>
  <c r="C281" i="54"/>
  <c r="C282" i="54"/>
  <c r="C283" i="54"/>
  <c r="C278" i="54"/>
  <c r="C274" i="54"/>
  <c r="C272" i="54"/>
  <c r="C270" i="54"/>
  <c r="C271" i="54"/>
  <c r="C269" i="54"/>
  <c r="C255" i="54"/>
  <c r="C256" i="54"/>
  <c r="C254" i="54"/>
  <c r="C253" i="54"/>
  <c r="J239" i="54"/>
  <c r="L239" i="54"/>
  <c r="C233" i="54"/>
  <c r="C244" i="54"/>
  <c r="C245" i="54"/>
  <c r="C241" i="54"/>
  <c r="C242" i="54"/>
  <c r="C243" i="54"/>
  <c r="C240" i="54"/>
  <c r="E238" i="54"/>
  <c r="C238" i="54"/>
  <c r="C231" i="54"/>
  <c r="C228" i="54"/>
  <c r="C229" i="54"/>
  <c r="C225" i="54"/>
  <c r="C224" i="54"/>
  <c r="C223" i="54"/>
  <c r="C222" i="54"/>
  <c r="C221" i="54"/>
  <c r="C212" i="54"/>
  <c r="C213" i="54"/>
  <c r="C214" i="54"/>
  <c r="C211" i="54"/>
  <c r="C207" i="54"/>
  <c r="L320" i="54" l="1"/>
  <c r="L111" i="54"/>
  <c r="J111" i="54"/>
  <c r="I111" i="54"/>
  <c r="G111" i="54"/>
  <c r="L107" i="54"/>
  <c r="L117" i="54" s="1"/>
  <c r="J107" i="54"/>
  <c r="J117" i="54" s="1"/>
  <c r="I107" i="54"/>
  <c r="I117" i="54" s="1"/>
  <c r="I175" i="54"/>
  <c r="I191" i="54" s="1"/>
  <c r="G105" i="54"/>
  <c r="G115" i="54" s="1"/>
  <c r="I106" i="54"/>
  <c r="I116" i="54" s="1"/>
  <c r="G106" i="54"/>
  <c r="G116" i="54" s="1"/>
  <c r="C110" i="54"/>
  <c r="C120" i="54" s="1"/>
  <c r="C109" i="54"/>
  <c r="C108" i="54"/>
  <c r="C118" i="54" s="1"/>
  <c r="C105" i="54"/>
  <c r="C115" i="54" s="1"/>
  <c r="C99" i="54"/>
  <c r="C123" i="54"/>
  <c r="C309" i="49"/>
  <c r="C306" i="49"/>
  <c r="C119" i="54" l="1"/>
  <c r="H126" i="43" l="1"/>
  <c r="C124" i="43"/>
  <c r="K17" i="60" l="1"/>
  <c r="K13" i="60"/>
  <c r="B64" i="5"/>
  <c r="I69" i="53"/>
  <c r="H69" i="53"/>
  <c r="H18" i="51"/>
  <c r="G31" i="51"/>
  <c r="G384" i="49"/>
  <c r="G379" i="49"/>
  <c r="G370" i="49"/>
  <c r="G365" i="49"/>
  <c r="G354" i="49"/>
  <c r="G345" i="49"/>
  <c r="H332" i="49"/>
  <c r="H31" i="49"/>
  <c r="C326" i="49"/>
  <c r="C325" i="49"/>
  <c r="C324" i="49"/>
  <c r="C321" i="49"/>
  <c r="C319" i="49"/>
  <c r="C315" i="49"/>
  <c r="C311" i="49"/>
  <c r="C320" i="49"/>
  <c r="C310" i="49"/>
  <c r="C305" i="49"/>
  <c r="C302" i="49"/>
  <c r="J326" i="49" l="1"/>
  <c r="C318" i="49"/>
  <c r="C226" i="49"/>
  <c r="C316" i="49"/>
  <c r="C222" i="49"/>
  <c r="C317" i="49"/>
  <c r="C219" i="49"/>
  <c r="J320" i="49"/>
  <c r="G287" i="49"/>
  <c r="J311" i="49" s="1"/>
  <c r="C307" i="49"/>
  <c r="C266" i="49"/>
  <c r="C304" i="49"/>
  <c r="C262" i="49"/>
  <c r="C303" i="49"/>
  <c r="C263" i="49"/>
  <c r="C301" i="49"/>
  <c r="C258" i="49"/>
  <c r="C308" i="49"/>
  <c r="C300" i="49"/>
  <c r="C264" i="49"/>
  <c r="C261" i="49"/>
  <c r="J321" i="49" l="1"/>
  <c r="M321" i="49" s="1"/>
  <c r="H325" i="49"/>
  <c r="K289" i="49"/>
  <c r="M326" i="49" s="1"/>
  <c r="K193" i="49" l="1"/>
  <c r="J192" i="49"/>
  <c r="I192" i="49"/>
  <c r="J189" i="49"/>
  <c r="I189" i="49"/>
  <c r="K187" i="49"/>
  <c r="K186" i="49"/>
  <c r="K185" i="49"/>
  <c r="K184" i="49"/>
  <c r="K183" i="49"/>
  <c r="K182" i="49"/>
  <c r="J181" i="49"/>
  <c r="I181" i="49"/>
  <c r="K163" i="49"/>
  <c r="K161" i="49"/>
  <c r="K160" i="49"/>
  <c r="K159" i="49"/>
  <c r="K155" i="49"/>
  <c r="K154" i="49"/>
  <c r="K153" i="49"/>
  <c r="K152" i="49"/>
  <c r="K150" i="49"/>
  <c r="J149" i="49"/>
  <c r="I149" i="49"/>
  <c r="K147" i="49"/>
  <c r="K144" i="49"/>
  <c r="K143" i="49"/>
  <c r="J142" i="49"/>
  <c r="I142" i="49"/>
  <c r="K140" i="49"/>
  <c r="K139" i="49"/>
  <c r="K138" i="49"/>
  <c r="K137" i="49"/>
  <c r="K134" i="49"/>
  <c r="K133" i="49"/>
  <c r="K132" i="49"/>
  <c r="K131" i="49"/>
  <c r="J130" i="49"/>
  <c r="I130" i="49"/>
  <c r="K124" i="49"/>
  <c r="K128" i="49"/>
  <c r="K127" i="49"/>
  <c r="K126" i="49"/>
  <c r="K125" i="49"/>
  <c r="J123" i="49"/>
  <c r="I123" i="49"/>
  <c r="J108" i="49"/>
  <c r="B171" i="40"/>
  <c r="K149" i="49" l="1"/>
  <c r="K123" i="49"/>
  <c r="K189" i="49"/>
  <c r="K192" i="49"/>
  <c r="K142" i="49"/>
  <c r="K181" i="49"/>
  <c r="K130" i="49"/>
  <c r="H151" i="75" l="1"/>
  <c r="H150" i="75"/>
  <c r="H149" i="75"/>
  <c r="H148" i="75"/>
  <c r="H145" i="75"/>
  <c r="H144" i="75"/>
  <c r="H143" i="75"/>
  <c r="H142" i="75"/>
  <c r="H65" i="75"/>
  <c r="H64" i="75"/>
  <c r="H63" i="75"/>
  <c r="H62" i="75"/>
  <c r="H61" i="75"/>
  <c r="G60" i="75"/>
  <c r="G66" i="75" s="1"/>
  <c r="F60" i="75"/>
  <c r="F66" i="75" s="1"/>
  <c r="E60" i="75"/>
  <c r="E66" i="75" s="1"/>
  <c r="D60" i="75"/>
  <c r="D66" i="75" s="1"/>
  <c r="H59" i="75"/>
  <c r="H58" i="75"/>
  <c r="C292" i="49"/>
  <c r="D290" i="49"/>
  <c r="D289" i="49"/>
  <c r="C287" i="49"/>
  <c r="C285" i="49"/>
  <c r="C283" i="49"/>
  <c r="C281" i="49"/>
  <c r="C280" i="49"/>
  <c r="C277" i="49"/>
  <c r="C271" i="49"/>
  <c r="C272" i="49"/>
  <c r="C273" i="49"/>
  <c r="C274" i="49"/>
  <c r="C270" i="49"/>
  <c r="C265" i="49"/>
  <c r="C255" i="49"/>
  <c r="C240" i="49"/>
  <c r="C241" i="49"/>
  <c r="C242" i="49"/>
  <c r="C243" i="49"/>
  <c r="C247" i="49"/>
  <c r="C248" i="49"/>
  <c r="C249" i="49"/>
  <c r="C238" i="49"/>
  <c r="C237" i="49"/>
  <c r="C232" i="49"/>
  <c r="C231" i="49"/>
  <c r="C230" i="49"/>
  <c r="C220" i="49"/>
  <c r="C221" i="49"/>
  <c r="C225" i="49"/>
  <c r="C227" i="49"/>
  <c r="C275" i="49"/>
  <c r="C267" i="49"/>
  <c r="C251" i="49"/>
  <c r="C235" i="49"/>
  <c r="C228" i="49"/>
  <c r="C216" i="49"/>
  <c r="C215" i="49"/>
  <c r="C214" i="49"/>
  <c r="C213" i="49"/>
  <c r="C212" i="49"/>
  <c r="I66" i="75" l="1"/>
  <c r="V43" i="96"/>
  <c r="J66" i="75"/>
  <c r="V44" i="96"/>
  <c r="H60" i="75"/>
  <c r="K66" i="75" l="1"/>
  <c r="V52" i="96"/>
  <c r="H66" i="75"/>
  <c r="K213" i="49" l="1"/>
  <c r="K251" i="49"/>
  <c r="K249" i="49"/>
  <c r="K248" i="49"/>
  <c r="K247" i="49"/>
  <c r="K245" i="49"/>
  <c r="K244" i="49"/>
  <c r="K243" i="49"/>
  <c r="K242" i="49"/>
  <c r="K241" i="49"/>
  <c r="K240" i="49"/>
  <c r="K238" i="49"/>
  <c r="K237" i="49"/>
  <c r="J237" i="49"/>
  <c r="I237" i="49"/>
  <c r="K235" i="49"/>
  <c r="K232" i="49"/>
  <c r="K231" i="49"/>
  <c r="J230" i="49"/>
  <c r="I230" i="49"/>
  <c r="K228" i="49"/>
  <c r="K227" i="49"/>
  <c r="K226" i="49"/>
  <c r="K225" i="49"/>
  <c r="K222" i="49"/>
  <c r="K221" i="49"/>
  <c r="K220" i="49"/>
  <c r="K219" i="49"/>
  <c r="J218" i="49"/>
  <c r="I218" i="49"/>
  <c r="K216" i="49"/>
  <c r="K215" i="49"/>
  <c r="K214" i="49"/>
  <c r="K212" i="49"/>
  <c r="J211" i="49"/>
  <c r="I211" i="49"/>
  <c r="K281" i="49"/>
  <c r="K280" i="49"/>
  <c r="J280" i="49"/>
  <c r="I280" i="49"/>
  <c r="K278" i="49"/>
  <c r="K277" i="49" s="1"/>
  <c r="J277" i="49"/>
  <c r="I277" i="49"/>
  <c r="K275" i="49"/>
  <c r="K274" i="49"/>
  <c r="K273" i="49"/>
  <c r="K272" i="49"/>
  <c r="K271" i="49"/>
  <c r="K270" i="49"/>
  <c r="K269" i="49"/>
  <c r="J269" i="49"/>
  <c r="I269" i="49"/>
  <c r="K267" i="49"/>
  <c r="K266" i="49"/>
  <c r="K265" i="49"/>
  <c r="K264" i="49"/>
  <c r="K263" i="49"/>
  <c r="K262" i="49"/>
  <c r="K261" i="49"/>
  <c r="K258" i="49"/>
  <c r="I283" i="49" l="1"/>
  <c r="H134" i="75"/>
  <c r="H135" i="75"/>
  <c r="H136" i="75"/>
  <c r="H133" i="75"/>
  <c r="H128" i="75"/>
  <c r="H129" i="75"/>
  <c r="H130" i="75"/>
  <c r="H127" i="75"/>
  <c r="B643" i="4"/>
  <c r="B4" i="40"/>
  <c r="I285" i="49" l="1"/>
  <c r="G106" i="75"/>
  <c r="G117" i="75"/>
  <c r="J117" i="75" s="1"/>
  <c r="E117" i="75"/>
  <c r="K28" i="78"/>
  <c r="K27" i="78"/>
  <c r="I21" i="78"/>
  <c r="I30" i="78"/>
  <c r="G53" i="43"/>
  <c r="I45" i="43"/>
  <c r="G45" i="43"/>
  <c r="I287" i="49" l="1"/>
  <c r="D202" i="49"/>
  <c r="C54" i="54"/>
  <c r="C55" i="54"/>
  <c r="C51" i="54"/>
  <c r="C52" i="54"/>
  <c r="C53" i="54"/>
  <c r="C59" i="51"/>
  <c r="C14" i="54" l="1"/>
  <c r="C7" i="54"/>
  <c r="G237" i="40" l="1"/>
  <c r="G214" i="40"/>
  <c r="C180" i="40" s="1"/>
  <c r="G180" i="40" s="1"/>
  <c r="G213" i="40"/>
  <c r="C179" i="40" s="1"/>
  <c r="G179" i="40" s="1"/>
  <c r="G205" i="40"/>
  <c r="C171" i="40" s="1"/>
  <c r="G206" i="40"/>
  <c r="G207" i="40"/>
  <c r="G204" i="40"/>
  <c r="C170" i="40" s="1"/>
  <c r="G139" i="40"/>
  <c r="C91" i="40" s="1"/>
  <c r="G91" i="40" s="1"/>
  <c r="G125" i="40"/>
  <c r="C81" i="40" s="1"/>
  <c r="G123" i="40"/>
  <c r="C79" i="40" s="1"/>
  <c r="G55" i="40"/>
  <c r="G46" i="40"/>
  <c r="G170" i="40" l="1"/>
  <c r="G171" i="40"/>
  <c r="G79" i="40"/>
  <c r="C172" i="40"/>
  <c r="E222" i="40"/>
  <c r="C173" i="40"/>
  <c r="E223" i="40"/>
  <c r="C15" i="40"/>
  <c r="C24" i="40"/>
  <c r="C181" i="40"/>
  <c r="D186" i="40"/>
  <c r="I186" i="40" s="1"/>
  <c r="C760" i="4"/>
  <c r="C687" i="4"/>
  <c r="C643" i="4"/>
  <c r="C616" i="4"/>
  <c r="C1094" i="4"/>
  <c r="B1094" i="4"/>
  <c r="C969" i="4"/>
  <c r="B969" i="4"/>
  <c r="C33" i="40" l="1"/>
  <c r="I33" i="40" s="1"/>
  <c r="G172" i="40"/>
  <c r="E188" i="40" s="1"/>
  <c r="H188" i="40" s="1"/>
  <c r="G173" i="40"/>
  <c r="E189" i="40" s="1"/>
  <c r="H189" i="40" s="1"/>
  <c r="G15" i="40"/>
  <c r="D188" i="40"/>
  <c r="I188" i="40" s="1"/>
  <c r="G24" i="40"/>
  <c r="D189" i="40"/>
  <c r="I189" i="40" s="1"/>
  <c r="C137" i="91"/>
  <c r="D41" i="91" l="1"/>
  <c r="F357" i="54"/>
  <c r="F361" i="54"/>
  <c r="F360" i="54"/>
  <c r="F359" i="54"/>
  <c r="B4" i="69"/>
  <c r="J175" i="54" l="1"/>
  <c r="J191" i="54" s="1"/>
  <c r="C179" i="54"/>
  <c r="C195" i="54" s="1"/>
  <c r="C151" i="54"/>
  <c r="C163" i="54" s="1"/>
  <c r="D66" i="59" l="1"/>
  <c r="C1065" i="4" l="1"/>
  <c r="B1065" i="4"/>
  <c r="B1062" i="4"/>
  <c r="C888" i="4"/>
  <c r="B888" i="4"/>
  <c r="B760" i="4"/>
  <c r="B687" i="4"/>
  <c r="C27" i="4"/>
  <c r="B27" i="4"/>
  <c r="B616" i="4"/>
  <c r="A1094" i="4" l="1"/>
  <c r="I34" i="51"/>
  <c r="I47" i="53" l="1"/>
  <c r="U44" i="53" s="1"/>
  <c r="C168" i="91"/>
  <c r="C357" i="54"/>
  <c r="C285" i="91"/>
  <c r="C283" i="91"/>
  <c r="U45" i="53" l="1"/>
  <c r="U46" i="53"/>
  <c r="C9" i="54"/>
  <c r="C33" i="54"/>
  <c r="G41" i="54"/>
  <c r="C41" i="54"/>
  <c r="H38" i="54"/>
  <c r="F38" i="54"/>
  <c r="E38" i="54"/>
  <c r="D38" i="54"/>
  <c r="G18" i="54"/>
  <c r="C18" i="54"/>
  <c r="I16" i="54"/>
  <c r="I38" i="54" s="1"/>
  <c r="G16" i="54"/>
  <c r="G38" i="54" s="1"/>
  <c r="C16" i="54"/>
  <c r="C38" i="54" s="1"/>
  <c r="F16" i="54"/>
  <c r="E16" i="54"/>
  <c r="D16" i="54"/>
  <c r="H16" i="54"/>
  <c r="B2" i="52"/>
  <c r="B2" i="53"/>
  <c r="B2" i="54"/>
  <c r="B2" i="51"/>
  <c r="B2" i="78"/>
  <c r="B2" i="49"/>
  <c r="B2" i="69"/>
  <c r="B2" i="75"/>
  <c r="H63" i="43"/>
  <c r="B2" i="43"/>
  <c r="B2" i="40"/>
  <c r="C290" i="54"/>
  <c r="B287" i="54"/>
  <c r="U47" i="53" l="1"/>
  <c r="A27" i="4"/>
  <c r="H393" i="49"/>
  <c r="G382" i="49"/>
  <c r="G387" i="49"/>
  <c r="G368" i="49"/>
  <c r="G373" i="49"/>
  <c r="A969" i="4"/>
  <c r="C358" i="49"/>
  <c r="C356" i="49"/>
  <c r="C352" i="49" l="1"/>
  <c r="A1065" i="4"/>
  <c r="A1062" i="4"/>
  <c r="C13" i="52" s="1"/>
  <c r="C9" i="52"/>
  <c r="C90" i="49"/>
  <c r="A888" i="4"/>
  <c r="I23" i="51"/>
  <c r="C22" i="51"/>
  <c r="C21" i="51"/>
  <c r="C20" i="51"/>
  <c r="C19" i="51"/>
  <c r="C16" i="51"/>
  <c r="C6" i="49"/>
  <c r="I22" i="49"/>
  <c r="G22" i="49"/>
  <c r="E22" i="49"/>
  <c r="K21" i="49"/>
  <c r="L21" i="49" s="1"/>
  <c r="K20" i="49"/>
  <c r="L20" i="49" s="1"/>
  <c r="C17" i="52" l="1"/>
  <c r="C54" i="52"/>
  <c r="C269" i="49"/>
  <c r="C93" i="49"/>
  <c r="K22" i="49"/>
  <c r="L22" i="49"/>
  <c r="C125" i="75" l="1"/>
  <c r="C140" i="75" s="1"/>
  <c r="D125" i="75"/>
  <c r="H125" i="75"/>
  <c r="H140" i="75" s="1"/>
  <c r="C131" i="75"/>
  <c r="C146" i="75" s="1"/>
  <c r="H131" i="75"/>
  <c r="H146" i="75" s="1"/>
  <c r="C108" i="75"/>
  <c r="C98" i="75"/>
  <c r="C102" i="75"/>
  <c r="C104" i="75"/>
  <c r="C106" i="75"/>
  <c r="C112" i="75"/>
  <c r="C114" i="75"/>
  <c r="C115" i="75"/>
  <c r="C116" i="75"/>
  <c r="C117" i="75"/>
  <c r="C82" i="75"/>
  <c r="C89" i="75"/>
  <c r="C90" i="75"/>
  <c r="C91" i="75"/>
  <c r="C92" i="75"/>
  <c r="C94" i="75"/>
  <c r="C95" i="75"/>
  <c r="C96" i="75"/>
  <c r="C80" i="75"/>
  <c r="C70" i="75"/>
  <c r="F74" i="75"/>
  <c r="D74" i="75"/>
  <c r="C74" i="75"/>
  <c r="D131" i="75" l="1"/>
  <c r="D140" i="75"/>
  <c r="D146" i="75" s="1"/>
  <c r="I53" i="43"/>
  <c r="F53" i="43"/>
  <c r="E53" i="43"/>
  <c r="J52" i="43"/>
  <c r="E44" i="43" s="1"/>
  <c r="J44" i="43" s="1"/>
  <c r="J51" i="43"/>
  <c r="E43" i="43" s="1"/>
  <c r="C39" i="43"/>
  <c r="C26" i="43"/>
  <c r="I29" i="43"/>
  <c r="G29" i="43"/>
  <c r="C24" i="43"/>
  <c r="I18" i="43"/>
  <c r="G18" i="43"/>
  <c r="F18" i="43"/>
  <c r="C47" i="43" l="1"/>
  <c r="C86" i="75"/>
  <c r="J53" i="43"/>
  <c r="G238" i="40" l="1"/>
  <c r="G239" i="40"/>
  <c r="B240" i="40"/>
  <c r="B251" i="40" s="1"/>
  <c r="C240" i="40"/>
  <c r="D240" i="40"/>
  <c r="E240" i="40"/>
  <c r="F240" i="40"/>
  <c r="D221" i="40"/>
  <c r="D220" i="40"/>
  <c r="F215" i="40"/>
  <c r="E215" i="40"/>
  <c r="D215" i="40"/>
  <c r="C215" i="40"/>
  <c r="F208" i="40"/>
  <c r="E208" i="40"/>
  <c r="D208" i="40"/>
  <c r="C208" i="40"/>
  <c r="B192" i="40"/>
  <c r="B194" i="40"/>
  <c r="D183" i="40"/>
  <c r="D217" i="40" s="1"/>
  <c r="D187" i="40"/>
  <c r="I187" i="40" s="1"/>
  <c r="E177" i="40"/>
  <c r="E211" i="40" s="1"/>
  <c r="D177" i="40"/>
  <c r="D211" i="40" s="1"/>
  <c r="D181" i="40"/>
  <c r="E181" i="40"/>
  <c r="F181" i="40"/>
  <c r="E186" i="40"/>
  <c r="H186" i="40" s="1"/>
  <c r="B167" i="40"/>
  <c r="B176" i="40" s="1"/>
  <c r="B183" i="40" s="1"/>
  <c r="C167" i="40"/>
  <c r="C201" i="40" s="1"/>
  <c r="E168" i="40"/>
  <c r="E202" i="40" s="1"/>
  <c r="B180" i="40"/>
  <c r="B187" i="40" s="1"/>
  <c r="B174" i="40"/>
  <c r="B181" i="40" s="1"/>
  <c r="B190" i="40" s="1"/>
  <c r="C174" i="40"/>
  <c r="D174" i="40"/>
  <c r="E174" i="40"/>
  <c r="F174" i="40"/>
  <c r="E155" i="40"/>
  <c r="E154" i="40"/>
  <c r="E153" i="40"/>
  <c r="E152" i="40"/>
  <c r="E151" i="40"/>
  <c r="E150" i="40"/>
  <c r="E149" i="40"/>
  <c r="F144" i="40"/>
  <c r="E144" i="40"/>
  <c r="D144" i="40"/>
  <c r="C144" i="40"/>
  <c r="G143" i="40"/>
  <c r="C95" i="40" s="1"/>
  <c r="G142" i="40"/>
  <c r="C94" i="40" s="1"/>
  <c r="G141" i="40"/>
  <c r="C93" i="40" s="1"/>
  <c r="G140" i="40"/>
  <c r="C92" i="40" s="1"/>
  <c r="F130" i="40"/>
  <c r="E130" i="40"/>
  <c r="D130" i="40"/>
  <c r="C130" i="40"/>
  <c r="G129" i="40"/>
  <c r="G128" i="40"/>
  <c r="G127" i="40"/>
  <c r="C83" i="40" s="1"/>
  <c r="G126" i="40"/>
  <c r="C82" i="40" s="1"/>
  <c r="G124" i="40"/>
  <c r="C80" i="40" s="1"/>
  <c r="E103" i="40"/>
  <c r="E146" i="40" s="1"/>
  <c r="E106" i="40"/>
  <c r="I106" i="40" s="1"/>
  <c r="B116" i="40"/>
  <c r="B132" i="40" s="1"/>
  <c r="E108" i="40" l="1"/>
  <c r="I108" i="40" s="1"/>
  <c r="E109" i="40"/>
  <c r="I109" i="40" s="1"/>
  <c r="E110" i="40"/>
  <c r="I110" i="40" s="1"/>
  <c r="E107" i="40"/>
  <c r="I107" i="40" s="1"/>
  <c r="F154" i="40"/>
  <c r="C84" i="40"/>
  <c r="F155" i="40"/>
  <c r="C85" i="40"/>
  <c r="G208" i="40"/>
  <c r="G215" i="40"/>
  <c r="G181" i="40"/>
  <c r="G174" i="40"/>
  <c r="E187" i="40"/>
  <c r="H187" i="40" s="1"/>
  <c r="G240" i="40"/>
  <c r="B208" i="40"/>
  <c r="B215" i="40" s="1"/>
  <c r="B224" i="40" s="1"/>
  <c r="D190" i="40"/>
  <c r="I190" i="40" s="1"/>
  <c r="D224" i="40"/>
  <c r="B207" i="40"/>
  <c r="B205" i="40"/>
  <c r="B214" i="40" s="1"/>
  <c r="B221" i="40" s="1"/>
  <c r="H222" i="40"/>
  <c r="B201" i="40"/>
  <c r="E221" i="40"/>
  <c r="H221" i="40" s="1"/>
  <c r="E220" i="40"/>
  <c r="H220" i="40" s="1"/>
  <c r="H223" i="40"/>
  <c r="F151" i="40"/>
  <c r="H151" i="40" s="1"/>
  <c r="F152" i="40"/>
  <c r="F150" i="40"/>
  <c r="G144" i="40"/>
  <c r="G130" i="40"/>
  <c r="F149" i="40"/>
  <c r="H149" i="40" s="1"/>
  <c r="F153" i="40"/>
  <c r="E156" i="40"/>
  <c r="B88" i="40"/>
  <c r="B76" i="40"/>
  <c r="B120" i="40" s="1"/>
  <c r="G92" i="40"/>
  <c r="G93" i="40"/>
  <c r="G94" i="40"/>
  <c r="G95" i="40"/>
  <c r="E89" i="40"/>
  <c r="E137" i="40" s="1"/>
  <c r="D89" i="40"/>
  <c r="D137" i="40" s="1"/>
  <c r="C96" i="40"/>
  <c r="D96" i="40"/>
  <c r="E96" i="40"/>
  <c r="F96" i="40"/>
  <c r="G80" i="40"/>
  <c r="G81" i="40"/>
  <c r="G82" i="40"/>
  <c r="G83" i="40"/>
  <c r="F106" i="40"/>
  <c r="H106" i="40" s="1"/>
  <c r="D77" i="40"/>
  <c r="D13" i="40"/>
  <c r="C76" i="40"/>
  <c r="C120" i="40" s="1"/>
  <c r="E77" i="40"/>
  <c r="E121" i="40" s="1"/>
  <c r="F77" i="40"/>
  <c r="F168" i="40" s="1"/>
  <c r="B79" i="40"/>
  <c r="B80" i="40"/>
  <c r="B81" i="40"/>
  <c r="B82" i="40"/>
  <c r="B83" i="40"/>
  <c r="B84" i="40"/>
  <c r="B86" i="40"/>
  <c r="B130" i="40" s="1"/>
  <c r="B156" i="40" s="1"/>
  <c r="D86" i="40"/>
  <c r="E86" i="40"/>
  <c r="F86" i="40"/>
  <c r="E112" i="40" l="1"/>
  <c r="I112" i="40" s="1"/>
  <c r="E111" i="40"/>
  <c r="I111" i="40" s="1"/>
  <c r="H152" i="40"/>
  <c r="H150" i="40"/>
  <c r="H153" i="40"/>
  <c r="H154" i="40"/>
  <c r="G84" i="40"/>
  <c r="F111" i="40" s="1"/>
  <c r="H111" i="40" s="1"/>
  <c r="B210" i="40"/>
  <c r="B217" i="40" s="1"/>
  <c r="C86" i="40"/>
  <c r="G86" i="40" s="1"/>
  <c r="H155" i="40"/>
  <c r="G85" i="40"/>
  <c r="F112" i="40" s="1"/>
  <c r="H112" i="40" s="1"/>
  <c r="E113" i="40"/>
  <c r="I113" i="40" s="1"/>
  <c r="E224" i="40"/>
  <c r="H224" i="40" s="1"/>
  <c r="F177" i="40"/>
  <c r="F211" i="40" s="1"/>
  <c r="F202" i="40"/>
  <c r="E190" i="40"/>
  <c r="H190" i="40" s="1"/>
  <c r="D121" i="40"/>
  <c r="D168" i="40"/>
  <c r="D202" i="40" s="1"/>
  <c r="B103" i="40"/>
  <c r="B136" i="40"/>
  <c r="B146" i="40" s="1"/>
  <c r="F156" i="40"/>
  <c r="G96" i="40"/>
  <c r="B111" i="40"/>
  <c r="B128" i="40"/>
  <c r="B154" i="40" s="1"/>
  <c r="B95" i="40"/>
  <c r="B127" i="40"/>
  <c r="B91" i="40"/>
  <c r="B123" i="40"/>
  <c r="B94" i="40"/>
  <c r="B126" i="40"/>
  <c r="F89" i="40"/>
  <c r="F137" i="40" s="1"/>
  <c r="F121" i="40"/>
  <c r="F109" i="40"/>
  <c r="H109" i="40" s="1"/>
  <c r="B93" i="40"/>
  <c r="B125" i="40"/>
  <c r="B92" i="40"/>
  <c r="B124" i="40"/>
  <c r="F108" i="40"/>
  <c r="H108" i="40" s="1"/>
  <c r="F107" i="40"/>
  <c r="H107" i="40" s="1"/>
  <c r="F110" i="40"/>
  <c r="H110" i="40" s="1"/>
  <c r="B96" i="40"/>
  <c r="B144" i="40" s="1"/>
  <c r="B113" i="40"/>
  <c r="A643" i="4"/>
  <c r="C64" i="40"/>
  <c r="C67" i="40"/>
  <c r="C66" i="40"/>
  <c r="C65" i="40"/>
  <c r="F59" i="40"/>
  <c r="E59" i="40"/>
  <c r="D59" i="40"/>
  <c r="C59" i="40"/>
  <c r="G58" i="40"/>
  <c r="C27" i="40" s="1"/>
  <c r="G27" i="40" s="1"/>
  <c r="G57" i="40"/>
  <c r="C26" i="40" s="1"/>
  <c r="G26" i="40" s="1"/>
  <c r="G56" i="40"/>
  <c r="C25" i="40" s="1"/>
  <c r="G25" i="40" s="1"/>
  <c r="F50" i="40"/>
  <c r="E50" i="40"/>
  <c r="D50" i="40"/>
  <c r="C50" i="40"/>
  <c r="G49" i="40"/>
  <c r="C18" i="40" s="1"/>
  <c r="G48" i="40"/>
  <c r="C17" i="40" s="1"/>
  <c r="G47" i="40"/>
  <c r="C16" i="40" s="1"/>
  <c r="F22" i="40"/>
  <c r="F53" i="40" s="1"/>
  <c r="D22" i="40"/>
  <c r="D53" i="40" s="1"/>
  <c r="A616" i="4"/>
  <c r="C40" i="75" s="1"/>
  <c r="B39" i="40"/>
  <c r="D44" i="40"/>
  <c r="D19" i="40"/>
  <c r="C243" i="91"/>
  <c r="C118" i="91"/>
  <c r="C292" i="54"/>
  <c r="C216" i="54"/>
  <c r="C248" i="54"/>
  <c r="C264" i="54"/>
  <c r="L181" i="54"/>
  <c r="J181" i="54"/>
  <c r="I181" i="54"/>
  <c r="G181" i="54"/>
  <c r="L177" i="54"/>
  <c r="J177" i="54"/>
  <c r="I177" i="54"/>
  <c r="G177" i="54"/>
  <c r="J152" i="54"/>
  <c r="I152" i="54"/>
  <c r="G152" i="54"/>
  <c r="E152" i="54"/>
  <c r="L175" i="54"/>
  <c r="L191" i="54" s="1"/>
  <c r="I174" i="54"/>
  <c r="I190" i="54" s="1"/>
  <c r="C180" i="54"/>
  <c r="C183" i="54"/>
  <c r="C199" i="54" s="1"/>
  <c r="C178" i="54"/>
  <c r="C181" i="54"/>
  <c r="C197" i="54" s="1"/>
  <c r="C177" i="54"/>
  <c r="C193" i="54" s="1"/>
  <c r="C176" i="54"/>
  <c r="C192" i="54" s="1"/>
  <c r="C173" i="54"/>
  <c r="C189" i="54" s="1"/>
  <c r="C135" i="54"/>
  <c r="C149" i="54"/>
  <c r="C161" i="54" s="1"/>
  <c r="C156" i="54"/>
  <c r="C145" i="54"/>
  <c r="L149" i="54"/>
  <c r="L161" i="54" s="1"/>
  <c r="C154" i="54"/>
  <c r="C150" i="54"/>
  <c r="C162" i="54" s="1"/>
  <c r="J149" i="54"/>
  <c r="J161" i="54" s="1"/>
  <c r="E149" i="54"/>
  <c r="E161" i="54" s="1"/>
  <c r="C169" i="54"/>
  <c r="C141" i="54"/>
  <c r="C137" i="54"/>
  <c r="C133" i="54"/>
  <c r="C129" i="54"/>
  <c r="C125" i="54"/>
  <c r="C101" i="54"/>
  <c r="C97" i="54"/>
  <c r="C93" i="54"/>
  <c r="C89" i="54"/>
  <c r="C85" i="54"/>
  <c r="C81" i="54"/>
  <c r="C77" i="54"/>
  <c r="C143" i="54"/>
  <c r="C167" i="54"/>
  <c r="C203" i="54"/>
  <c r="C127" i="54"/>
  <c r="C131" i="54"/>
  <c r="C139" i="54"/>
  <c r="C91" i="54"/>
  <c r="C95" i="54"/>
  <c r="C87" i="54"/>
  <c r="C83" i="54"/>
  <c r="C79" i="54"/>
  <c r="C75" i="54"/>
  <c r="C73" i="54"/>
  <c r="C69" i="54"/>
  <c r="B66" i="54"/>
  <c r="C8" i="75" l="1"/>
  <c r="C377" i="49"/>
  <c r="C68" i="75"/>
  <c r="C343" i="49"/>
  <c r="C84" i="75"/>
  <c r="C30" i="69"/>
  <c r="C110" i="75"/>
  <c r="C121" i="75"/>
  <c r="C362" i="49"/>
  <c r="C100" i="75"/>
  <c r="C330" i="49"/>
  <c r="C37" i="43"/>
  <c r="C33" i="43"/>
  <c r="C9" i="43"/>
  <c r="B8" i="40"/>
  <c r="C35" i="40"/>
  <c r="I35" i="40" s="1"/>
  <c r="C36" i="40"/>
  <c r="I36" i="40" s="1"/>
  <c r="B170" i="40"/>
  <c r="B204" i="40" s="1"/>
  <c r="B213" i="40" s="1"/>
  <c r="B220" i="40" s="1"/>
  <c r="B161" i="40"/>
  <c r="B197" i="40" s="1"/>
  <c r="B222" i="40"/>
  <c r="B188" i="40"/>
  <c r="B172" i="40"/>
  <c r="G17" i="40"/>
  <c r="G18" i="40"/>
  <c r="B233" i="40"/>
  <c r="B165" i="40"/>
  <c r="B244" i="40"/>
  <c r="B199" i="40"/>
  <c r="C57" i="49"/>
  <c r="I207" i="49"/>
  <c r="I119" i="49"/>
  <c r="C50" i="49"/>
  <c r="C10" i="75"/>
  <c r="C38" i="53"/>
  <c r="C24" i="75"/>
  <c r="C24" i="53"/>
  <c r="C171" i="54"/>
  <c r="C147" i="54"/>
  <c r="C159" i="54"/>
  <c r="C187" i="54"/>
  <c r="C184" i="54"/>
  <c r="C196" i="54"/>
  <c r="C182" i="54"/>
  <c r="C198" i="54" s="1"/>
  <c r="C194" i="54"/>
  <c r="C103" i="54"/>
  <c r="C113" i="54"/>
  <c r="C71" i="43"/>
  <c r="B10" i="40"/>
  <c r="C82" i="43"/>
  <c r="B41" i="40"/>
  <c r="H156" i="40"/>
  <c r="C19" i="40"/>
  <c r="G16" i="40"/>
  <c r="E67" i="40"/>
  <c r="C10" i="49"/>
  <c r="C17" i="49"/>
  <c r="L185" i="54"/>
  <c r="B101" i="40"/>
  <c r="B74" i="40"/>
  <c r="B134" i="40"/>
  <c r="B118" i="40"/>
  <c r="B108" i="40"/>
  <c r="B141" i="40"/>
  <c r="B151" i="40" s="1"/>
  <c r="B109" i="40"/>
  <c r="B142" i="40"/>
  <c r="B152" i="40" s="1"/>
  <c r="B110" i="40"/>
  <c r="B143" i="40"/>
  <c r="B153" i="40" s="1"/>
  <c r="B106" i="40"/>
  <c r="B139" i="40"/>
  <c r="B149" i="40" s="1"/>
  <c r="B107" i="40"/>
  <c r="B140" i="40"/>
  <c r="B150" i="40" s="1"/>
  <c r="F113" i="40"/>
  <c r="H113" i="40" s="1"/>
  <c r="E65" i="40"/>
  <c r="E66" i="40"/>
  <c r="G59" i="40"/>
  <c r="G50" i="40"/>
  <c r="E64" i="40"/>
  <c r="H64" i="40" s="1"/>
  <c r="C68" i="40"/>
  <c r="J185" i="54"/>
  <c r="G185" i="54"/>
  <c r="I185" i="54"/>
  <c r="B179" i="40" l="1"/>
  <c r="B186" i="40" s="1"/>
  <c r="B206" i="40"/>
  <c r="C200" i="54"/>
  <c r="E68" i="40"/>
  <c r="C61" i="54" l="1"/>
  <c r="B59" i="54"/>
  <c r="G57" i="51"/>
  <c r="C395" i="49" l="1"/>
  <c r="C394" i="49"/>
  <c r="C389" i="49"/>
  <c r="C384" i="49"/>
  <c r="C57" i="69"/>
  <c r="C55" i="69"/>
  <c r="C55" i="43"/>
  <c r="C32" i="75" l="1"/>
  <c r="C18" i="75"/>
  <c r="B16" i="5"/>
  <c r="D21" i="5"/>
  <c r="C76" i="91"/>
  <c r="C254" i="91"/>
  <c r="C23" i="91"/>
  <c r="B3" i="91" l="1"/>
  <c r="B3" i="40"/>
  <c r="B3" i="54"/>
  <c r="B3" i="69"/>
  <c r="B3" i="52"/>
  <c r="B3" i="78"/>
  <c r="B3" i="43"/>
  <c r="B3" i="53"/>
  <c r="B3" i="51"/>
  <c r="B3" i="49"/>
  <c r="B3" i="75"/>
  <c r="C132" i="4" l="1"/>
  <c r="B132" i="4"/>
  <c r="C38" i="75" l="1"/>
  <c r="C267" i="91"/>
  <c r="J43" i="43" l="1"/>
  <c r="C63" i="43"/>
  <c r="C45" i="43"/>
  <c r="C53" i="43" s="1"/>
  <c r="F80" i="43"/>
  <c r="I80" i="43"/>
  <c r="C187" i="91" l="1"/>
  <c r="I60" i="43" l="1"/>
  <c r="C60" i="43"/>
  <c r="C58" i="43"/>
  <c r="I15" i="49" l="1"/>
  <c r="G15" i="49"/>
  <c r="E15" i="49"/>
  <c r="K14" i="49"/>
  <c r="K13" i="49"/>
  <c r="C60" i="51" l="1"/>
  <c r="C349" i="49"/>
  <c r="F61" i="43"/>
  <c r="H16" i="69" l="1"/>
  <c r="H11" i="69"/>
  <c r="F45" i="43" l="1"/>
  <c r="E45" i="43"/>
  <c r="C43" i="43"/>
  <c r="C51" i="43" s="1"/>
  <c r="C41" i="43"/>
  <c r="C49" i="43" s="1"/>
  <c r="J99" i="49" l="1"/>
  <c r="K54" i="49"/>
  <c r="C74" i="91" l="1"/>
  <c r="C375" i="49"/>
  <c r="C360" i="49"/>
  <c r="C63" i="91"/>
  <c r="C89" i="53" l="1"/>
  <c r="C79" i="53"/>
  <c r="C75" i="53"/>
  <c r="I30" i="53"/>
  <c r="I31" i="53"/>
  <c r="I32" i="53"/>
  <c r="I33" i="53"/>
  <c r="I34" i="53"/>
  <c r="I35" i="53"/>
  <c r="I36" i="53"/>
  <c r="I28" i="53"/>
  <c r="I42" i="53" s="1"/>
  <c r="C135" i="4" l="1"/>
  <c r="B142" i="4"/>
  <c r="B135" i="4"/>
  <c r="A142" i="4"/>
  <c r="C142" i="4"/>
  <c r="C146" i="91"/>
  <c r="G12" i="49"/>
  <c r="G19" i="49" s="1"/>
  <c r="E12" i="49"/>
  <c r="E19" i="49" s="1"/>
  <c r="I12" i="49"/>
  <c r="I19" i="49" s="1"/>
  <c r="C12" i="49"/>
  <c r="C19" i="49" s="1"/>
  <c r="C257" i="4" l="1"/>
  <c r="B257" i="4"/>
  <c r="D36" i="5"/>
  <c r="D41" i="5" s="1"/>
  <c r="D40" i="5"/>
  <c r="D34" i="5"/>
  <c r="A257" i="4" l="1"/>
  <c r="E34" i="5"/>
  <c r="E33" i="5" s="1"/>
  <c r="D33" i="5"/>
  <c r="D39" i="5"/>
  <c r="C276" i="91"/>
  <c r="E39" i="5" l="1"/>
  <c r="E38" i="5" s="1"/>
  <c r="B881" i="4"/>
  <c r="C701" i="4"/>
  <c r="A701" i="4"/>
  <c r="B701" i="4"/>
  <c r="C627" i="4"/>
  <c r="B627" i="4"/>
  <c r="A627" i="4"/>
  <c r="B717" i="4"/>
  <c r="C717" i="4"/>
  <c r="A717" i="4"/>
  <c r="A881" i="4"/>
  <c r="C881" i="4"/>
  <c r="C187" i="49"/>
  <c r="C179" i="49"/>
  <c r="C163" i="49"/>
  <c r="C147" i="49"/>
  <c r="C140" i="49"/>
  <c r="C128" i="49"/>
  <c r="E22" i="91"/>
  <c r="E21" i="91"/>
  <c r="F15" i="43" l="1"/>
  <c r="C295" i="49"/>
  <c r="D26" i="75"/>
  <c r="C119" i="75"/>
  <c r="G84" i="43"/>
  <c r="C44" i="40"/>
  <c r="E147" i="40"/>
  <c r="E84" i="43"/>
  <c r="C246" i="40"/>
  <c r="C121" i="40"/>
  <c r="D218" i="40"/>
  <c r="C211" i="40"/>
  <c r="C137" i="40"/>
  <c r="E49" i="43"/>
  <c r="C59" i="49"/>
  <c r="C202" i="40"/>
  <c r="C120" i="43"/>
  <c r="C121" i="43"/>
  <c r="C122" i="43"/>
  <c r="C123" i="43"/>
  <c r="C125" i="43"/>
  <c r="C126" i="43"/>
  <c r="C119" i="43"/>
  <c r="C118" i="43"/>
  <c r="C117" i="43"/>
  <c r="C116" i="43"/>
  <c r="C115" i="43"/>
  <c r="C110" i="43"/>
  <c r="H114" i="43"/>
  <c r="H97" i="43"/>
  <c r="C98" i="43"/>
  <c r="C103" i="43"/>
  <c r="C104" i="43"/>
  <c r="C105" i="43"/>
  <c r="C106" i="43"/>
  <c r="C107" i="43"/>
  <c r="C108" i="43"/>
  <c r="C109" i="43"/>
  <c r="C111" i="43"/>
  <c r="C102" i="43"/>
  <c r="C101" i="43"/>
  <c r="C100" i="43"/>
  <c r="C99" i="43"/>
  <c r="H111" i="43"/>
  <c r="C62" i="40" l="1"/>
  <c r="C53" i="40"/>
  <c r="I134" i="78"/>
  <c r="I123" i="78"/>
  <c r="I107" i="78"/>
  <c r="I84" i="78"/>
  <c r="I72" i="78"/>
  <c r="I58" i="78"/>
  <c r="I45" i="78"/>
  <c r="G61" i="81"/>
  <c r="E61" i="81"/>
  <c r="G61" i="79"/>
  <c r="E61" i="79"/>
  <c r="Q128" i="81" l="1"/>
  <c r="Q127" i="81"/>
  <c r="O125" i="81"/>
  <c r="C183" i="49" l="1"/>
  <c r="C184" i="49"/>
  <c r="C185" i="49"/>
  <c r="C186" i="49"/>
  <c r="C182" i="49"/>
  <c r="C173" i="49"/>
  <c r="C174" i="49"/>
  <c r="C175" i="49"/>
  <c r="C176" i="49"/>
  <c r="C177" i="49"/>
  <c r="C178" i="49"/>
  <c r="C170" i="49"/>
  <c r="K173" i="49"/>
  <c r="K174" i="49"/>
  <c r="K175" i="49"/>
  <c r="K176" i="49"/>
  <c r="K177" i="49"/>
  <c r="C150" i="49"/>
  <c r="C144" i="49"/>
  <c r="C143" i="49"/>
  <c r="C139" i="49"/>
  <c r="C138" i="49"/>
  <c r="C137" i="49"/>
  <c r="C132" i="49"/>
  <c r="C133" i="49"/>
  <c r="C134" i="49"/>
  <c r="C131" i="49"/>
  <c r="C125" i="49"/>
  <c r="C126" i="49"/>
  <c r="C127" i="49"/>
  <c r="C124" i="49"/>
  <c r="I144" i="96" l="1"/>
  <c r="R144" i="96" s="1"/>
  <c r="R140" i="96"/>
  <c r="J140" i="96"/>
  <c r="M137" i="96"/>
  <c r="D137" i="96"/>
  <c r="E134" i="96"/>
  <c r="E132" i="96"/>
  <c r="F130" i="96"/>
  <c r="G128" i="96"/>
  <c r="I125" i="96"/>
  <c r="I124" i="96"/>
  <c r="I123" i="96"/>
  <c r="H122" i="96"/>
  <c r="I120" i="96"/>
  <c r="I119" i="96"/>
  <c r="I118" i="96"/>
  <c r="I117" i="96"/>
  <c r="H116" i="96"/>
  <c r="I114" i="96"/>
  <c r="I113" i="96"/>
  <c r="I112" i="96"/>
  <c r="I111" i="96"/>
  <c r="H110" i="96"/>
  <c r="G109" i="96"/>
  <c r="F107" i="96"/>
  <c r="H105" i="96"/>
  <c r="H104" i="96"/>
  <c r="H103" i="96"/>
  <c r="T99" i="96"/>
  <c r="S99" i="96"/>
  <c r="I100" i="96"/>
  <c r="Q98" i="96"/>
  <c r="I99" i="96"/>
  <c r="Q97" i="96"/>
  <c r="H98" i="96"/>
  <c r="P96" i="96"/>
  <c r="G97" i="96"/>
  <c r="P94" i="96"/>
  <c r="O92" i="96"/>
  <c r="P89" i="96"/>
  <c r="G89" i="96"/>
  <c r="Q87" i="96"/>
  <c r="H87" i="96"/>
  <c r="H94" i="96" s="1"/>
  <c r="Q86" i="96"/>
  <c r="Q84" i="96"/>
  <c r="I84" i="96"/>
  <c r="I92" i="96" s="1"/>
  <c r="Q83" i="96"/>
  <c r="I83" i="96"/>
  <c r="I91" i="96" s="1"/>
  <c r="Q82" i="96"/>
  <c r="H82" i="96"/>
  <c r="H90" i="96" s="1"/>
  <c r="G81" i="96"/>
  <c r="R80" i="96"/>
  <c r="R79" i="96"/>
  <c r="F79" i="96"/>
  <c r="Q78" i="96"/>
  <c r="Q77" i="96"/>
  <c r="G77" i="96"/>
  <c r="Q76" i="96"/>
  <c r="G76" i="96"/>
  <c r="Q75" i="96"/>
  <c r="G75" i="96"/>
  <c r="P74" i="96"/>
  <c r="G73" i="96"/>
  <c r="F71" i="96"/>
  <c r="E69" i="96"/>
  <c r="G66" i="96"/>
  <c r="P65" i="96"/>
  <c r="G65" i="96"/>
  <c r="Q63" i="96"/>
  <c r="Q72" i="96" s="1"/>
  <c r="F63" i="96"/>
  <c r="G61" i="96"/>
  <c r="R60" i="96"/>
  <c r="R69" i="96" s="1"/>
  <c r="C60" i="96"/>
  <c r="R59" i="96"/>
  <c r="R68" i="96" s="1"/>
  <c r="Q58" i="96"/>
  <c r="Q67" i="96" s="1"/>
  <c r="I58" i="96"/>
  <c r="P57" i="96"/>
  <c r="I57" i="96"/>
  <c r="I56" i="96"/>
  <c r="O55" i="96"/>
  <c r="I55" i="96"/>
  <c r="Q51" i="96"/>
  <c r="Q50" i="96"/>
  <c r="Q49" i="96"/>
  <c r="Q48" i="96"/>
  <c r="Q47" i="96"/>
  <c r="P46" i="96"/>
  <c r="I46" i="96"/>
  <c r="I52" i="96" s="1"/>
  <c r="I45" i="96"/>
  <c r="I51" i="96" s="1"/>
  <c r="P44" i="96"/>
  <c r="I44" i="96"/>
  <c r="I50" i="96" s="1"/>
  <c r="P43" i="96"/>
  <c r="I43" i="96"/>
  <c r="I49" i="96" s="1"/>
  <c r="H42" i="96"/>
  <c r="O41" i="96"/>
  <c r="G41" i="96"/>
  <c r="G40" i="96"/>
  <c r="G39" i="96"/>
  <c r="Q37" i="96"/>
  <c r="F37" i="96"/>
  <c r="Q36" i="96"/>
  <c r="P35" i="96"/>
  <c r="G35" i="96"/>
  <c r="G34" i="96"/>
  <c r="C36" i="96"/>
  <c r="Q33" i="96"/>
  <c r="G33" i="96"/>
  <c r="Q32" i="96"/>
  <c r="P31" i="96"/>
  <c r="F31" i="96"/>
  <c r="P30" i="96"/>
  <c r="G29" i="96"/>
  <c r="O28" i="96"/>
  <c r="G28" i="96"/>
  <c r="N26" i="96"/>
  <c r="V27" i="96"/>
  <c r="H25" i="96"/>
  <c r="H24" i="96"/>
  <c r="H23" i="96"/>
  <c r="H22" i="96"/>
  <c r="O21" i="96"/>
  <c r="H21" i="96"/>
  <c r="O20" i="96"/>
  <c r="O19" i="96"/>
  <c r="Q18" i="96"/>
  <c r="F18" i="96"/>
  <c r="V19" i="96"/>
  <c r="Q17" i="96"/>
  <c r="O16" i="96"/>
  <c r="G16" i="96"/>
  <c r="Q15" i="96"/>
  <c r="G15" i="96"/>
  <c r="O14" i="96"/>
  <c r="G14" i="96"/>
  <c r="Q13" i="96"/>
  <c r="G13" i="96"/>
  <c r="O12" i="96"/>
  <c r="O11" i="96"/>
  <c r="K11" i="96"/>
  <c r="J11" i="96"/>
  <c r="F11" i="96"/>
  <c r="C10" i="96"/>
  <c r="N9" i="96"/>
  <c r="E9" i="96"/>
  <c r="T6" i="96"/>
  <c r="M6" i="96"/>
  <c r="K6" i="96"/>
  <c r="D6" i="96"/>
  <c r="D2" i="96"/>
  <c r="S92" i="96" l="1"/>
  <c r="U92" i="96" s="1"/>
  <c r="I115" i="78"/>
  <c r="T92" i="96"/>
  <c r="V92" i="96" s="1"/>
  <c r="K115" i="78"/>
  <c r="K119" i="78" s="1"/>
  <c r="I76" i="49"/>
  <c r="G76" i="49"/>
  <c r="I94" i="78"/>
  <c r="H50" i="75"/>
  <c r="E76" i="49"/>
  <c r="J76" i="49"/>
  <c r="S28" i="96"/>
  <c r="U28" i="96" s="1"/>
  <c r="T28" i="96"/>
  <c r="M43" i="78" l="1"/>
  <c r="I119" i="78"/>
  <c r="I120" i="78" s="1"/>
  <c r="K76" i="49"/>
  <c r="K77" i="49"/>
  <c r="L77" i="49" s="1"/>
  <c r="H47" i="75"/>
  <c r="E96" i="75"/>
  <c r="S26" i="96"/>
  <c r="T26" i="96"/>
  <c r="J9" i="96"/>
  <c r="K9" i="96"/>
  <c r="B130" i="96" l="1"/>
  <c r="J137" i="96"/>
  <c r="K137" i="96"/>
  <c r="E52" i="7" l="1"/>
  <c r="S31" i="53" l="1"/>
  <c r="U31" i="53" s="1"/>
  <c r="S32" i="53"/>
  <c r="U32" i="53" s="1"/>
  <c r="L14" i="49"/>
  <c r="S30" i="53"/>
  <c r="U30" i="53" s="1"/>
  <c r="L13" i="49"/>
  <c r="E50" i="7"/>
  <c r="E64" i="7"/>
  <c r="C269" i="91"/>
  <c r="C249" i="91"/>
  <c r="C241" i="91"/>
  <c r="C239" i="91"/>
  <c r="C237" i="91"/>
  <c r="C235" i="91"/>
  <c r="C231" i="91"/>
  <c r="C229" i="91"/>
  <c r="C227" i="91"/>
  <c r="C225" i="91"/>
  <c r="C222" i="91"/>
  <c r="C223" i="91"/>
  <c r="C221" i="91"/>
  <c r="C219" i="91"/>
  <c r="C217" i="91"/>
  <c r="C213" i="91"/>
  <c r="C211" i="91"/>
  <c r="C210" i="91"/>
  <c r="C207" i="91"/>
  <c r="C208" i="91"/>
  <c r="C206" i="91"/>
  <c r="C204" i="91"/>
  <c r="C202" i="91"/>
  <c r="C201" i="91"/>
  <c r="C199" i="91"/>
  <c r="C196" i="91"/>
  <c r="C195" i="91"/>
  <c r="C193" i="91"/>
  <c r="C191" i="91"/>
  <c r="C189" i="91"/>
  <c r="C186" i="91"/>
  <c r="C184" i="91"/>
  <c r="C182" i="91"/>
  <c r="C180" i="91"/>
  <c r="C178" i="91"/>
  <c r="C176" i="91"/>
  <c r="C174" i="91"/>
  <c r="C172" i="91"/>
  <c r="C166" i="91"/>
  <c r="C164" i="91"/>
  <c r="C160" i="91"/>
  <c r="C161" i="91"/>
  <c r="C162" i="91"/>
  <c r="C159" i="91"/>
  <c r="C157" i="91"/>
  <c r="C155" i="91"/>
  <c r="C153" i="91"/>
  <c r="C151" i="91"/>
  <c r="C147" i="91"/>
  <c r="C148" i="91"/>
  <c r="C144" i="91"/>
  <c r="C142" i="91"/>
  <c r="C140" i="91"/>
  <c r="C138" i="91"/>
  <c r="C136" i="91"/>
  <c r="C135" i="91"/>
  <c r="C133" i="91"/>
  <c r="C131" i="91"/>
  <c r="C130" i="91"/>
  <c r="C127" i="91"/>
  <c r="C126" i="91"/>
  <c r="C124" i="91"/>
  <c r="C114" i="91"/>
  <c r="C115" i="91"/>
  <c r="C116" i="91"/>
  <c r="C109" i="91"/>
  <c r="C110" i="91"/>
  <c r="C111" i="91"/>
  <c r="C112" i="91"/>
  <c r="C104" i="91"/>
  <c r="C98" i="91"/>
  <c r="C96" i="91"/>
  <c r="C94" i="91"/>
  <c r="C93" i="91"/>
  <c r="C91" i="91"/>
  <c r="C89" i="91"/>
  <c r="C88" i="91"/>
  <c r="C86" i="91"/>
  <c r="C82" i="91"/>
  <c r="C264" i="91"/>
  <c r="C265" i="91"/>
  <c r="C266" i="91"/>
  <c r="C80" i="91"/>
  <c r="C56" i="91"/>
  <c r="C48" i="91"/>
  <c r="C49" i="91"/>
  <c r="C47" i="91"/>
  <c r="C39" i="91"/>
  <c r="C28" i="91"/>
  <c r="C24" i="91"/>
  <c r="C25" i="91"/>
  <c r="C26" i="91"/>
  <c r="C16" i="91"/>
  <c r="C11" i="91"/>
  <c r="C9" i="91"/>
  <c r="C8" i="91"/>
  <c r="C108" i="91"/>
  <c r="U33" i="53" l="1"/>
  <c r="E35" i="7"/>
  <c r="I47" i="78"/>
  <c r="E42" i="7"/>
  <c r="I48" i="78"/>
  <c r="E20" i="7"/>
  <c r="I46" i="78" l="1"/>
  <c r="I56" i="78" s="1"/>
  <c r="M56" i="78" s="1"/>
  <c r="H97" i="49"/>
  <c r="H106" i="49" s="1"/>
  <c r="F97" i="49"/>
  <c r="F106" i="49" s="1"/>
  <c r="C97" i="49"/>
  <c r="C106" i="49" s="1"/>
  <c r="C95" i="49"/>
  <c r="O126" i="81" l="1"/>
  <c r="C58" i="91"/>
  <c r="C30" i="91"/>
  <c r="C13" i="91" l="1"/>
  <c r="C259" i="91"/>
  <c r="C60" i="91"/>
  <c r="C52" i="91"/>
  <c r="C45" i="91"/>
  <c r="C43" i="91"/>
  <c r="E69" i="79" l="1"/>
  <c r="E66" i="79"/>
  <c r="E63" i="79"/>
  <c r="E64" i="81"/>
  <c r="E59" i="81"/>
  <c r="E54" i="81"/>
  <c r="C379" i="49"/>
  <c r="C365" i="49"/>
  <c r="J120" i="49"/>
  <c r="I120" i="49"/>
  <c r="C199" i="49"/>
  <c r="C195" i="49"/>
  <c r="C192" i="49"/>
  <c r="C189" i="49"/>
  <c r="C181" i="49"/>
  <c r="C167" i="49"/>
  <c r="C149" i="49"/>
  <c r="C142" i="49"/>
  <c r="I52" i="49"/>
  <c r="G52" i="49"/>
  <c r="E52" i="49"/>
  <c r="C48" i="69"/>
  <c r="C53" i="69"/>
  <c r="E59" i="79"/>
  <c r="E54" i="79"/>
  <c r="C25" i="57"/>
  <c r="C73" i="49" l="1"/>
  <c r="C84" i="49" s="1"/>
  <c r="G59" i="49"/>
  <c r="C74" i="49"/>
  <c r="C85" i="49" s="1"/>
  <c r="I59" i="49"/>
  <c r="C72" i="49"/>
  <c r="C83" i="49" s="1"/>
  <c r="E59" i="49"/>
  <c r="J165" i="49"/>
  <c r="J208" i="49"/>
  <c r="J253" i="49" s="1"/>
  <c r="K165" i="49"/>
  <c r="K208" i="49"/>
  <c r="K253" i="49" s="1"/>
  <c r="I165" i="49"/>
  <c r="I208" i="49"/>
  <c r="I253" i="49" s="1"/>
  <c r="I387" i="49"/>
  <c r="I382" i="49"/>
  <c r="C193" i="49"/>
  <c r="K190" i="49"/>
  <c r="K179" i="49"/>
  <c r="K178" i="49"/>
  <c r="K170" i="49"/>
  <c r="I195" i="49" l="1"/>
  <c r="I197" i="49" l="1"/>
  <c r="I199" i="49" l="1"/>
  <c r="C85" i="53"/>
  <c r="J313" i="49" l="1"/>
  <c r="M313" i="49" s="1"/>
  <c r="B1492" i="4"/>
  <c r="H324" i="49" l="1"/>
  <c r="H326" i="49" s="1"/>
  <c r="C27" i="57"/>
  <c r="C15" i="78"/>
  <c r="C16" i="78"/>
  <c r="C17" i="78"/>
  <c r="C23" i="78"/>
  <c r="C24" i="78"/>
  <c r="C25" i="78"/>
  <c r="C26" i="78"/>
  <c r="C27" i="78"/>
  <c r="C28" i="78"/>
  <c r="C28" i="69"/>
  <c r="K201" i="49" l="1"/>
  <c r="L326" i="49" s="1"/>
  <c r="C199" i="73"/>
  <c r="C206" i="73"/>
  <c r="C205" i="70"/>
  <c r="C198" i="70"/>
  <c r="F28" i="40"/>
  <c r="D28" i="40"/>
  <c r="I8" i="59"/>
  <c r="I88" i="65"/>
  <c r="I89" i="60"/>
  <c r="I27" i="78" l="1"/>
  <c r="C77" i="53"/>
  <c r="C13" i="96" l="1"/>
  <c r="I368" i="49"/>
  <c r="C62" i="53" l="1"/>
  <c r="C87" i="53"/>
  <c r="G49" i="31"/>
  <c r="F49" i="31"/>
  <c r="C54" i="53" l="1"/>
  <c r="C31" i="54"/>
  <c r="C64" i="75"/>
  <c r="C69" i="43"/>
  <c r="E12" i="7" l="1"/>
  <c r="E33" i="7" l="1"/>
  <c r="E48" i="7" s="1"/>
  <c r="E74" i="7" s="1"/>
  <c r="J121" i="49" l="1"/>
  <c r="L66" i="75"/>
  <c r="C11" i="51"/>
  <c r="B4" i="52"/>
  <c r="C370" i="49"/>
  <c r="C24" i="69"/>
  <c r="C19" i="69"/>
  <c r="C14" i="69"/>
  <c r="C16" i="69"/>
  <c r="I16" i="69"/>
  <c r="J195" i="49" l="1"/>
  <c r="J197" i="49" s="1"/>
  <c r="K197" i="49" s="1"/>
  <c r="K121" i="49"/>
  <c r="C347" i="49"/>
  <c r="C346" i="49"/>
  <c r="L121" i="49" l="1"/>
  <c r="K195" i="49"/>
  <c r="K199" i="49"/>
  <c r="J199" i="49"/>
  <c r="C31" i="43"/>
  <c r="C31" i="57"/>
  <c r="C30" i="57"/>
  <c r="C29" i="57"/>
  <c r="C28" i="57"/>
  <c r="L197" i="49" l="1"/>
  <c r="L199" i="49"/>
  <c r="K204" i="49"/>
  <c r="B4" i="43"/>
  <c r="C6" i="78"/>
  <c r="I21" i="69"/>
  <c r="H21" i="69"/>
  <c r="C21" i="69"/>
  <c r="I11" i="69"/>
  <c r="C11" i="69"/>
  <c r="C6" i="69"/>
  <c r="B4" i="54"/>
  <c r="B4" i="53"/>
  <c r="B4" i="51"/>
  <c r="C341" i="49"/>
  <c r="D42" i="49"/>
  <c r="C45" i="75"/>
  <c r="C44" i="75"/>
  <c r="C58" i="75" s="1"/>
  <c r="L204" i="49" l="1"/>
  <c r="J47" i="75"/>
  <c r="C59" i="75"/>
  <c r="J61" i="75" s="1"/>
  <c r="H26" i="69"/>
  <c r="I26" i="69"/>
  <c r="F43" i="75"/>
  <c r="E46" i="75"/>
  <c r="E52" i="75" s="1"/>
  <c r="C52" i="75"/>
  <c r="C66" i="75" s="1"/>
  <c r="H51" i="75"/>
  <c r="C65" i="75"/>
  <c r="H49" i="75"/>
  <c r="C63" i="75"/>
  <c r="H48" i="75"/>
  <c r="C62" i="75"/>
  <c r="C61" i="75"/>
  <c r="G46" i="75"/>
  <c r="G52" i="75" s="1"/>
  <c r="F46" i="75"/>
  <c r="F52" i="75" s="1"/>
  <c r="C46" i="75"/>
  <c r="C60" i="75" s="1"/>
  <c r="G43" i="75"/>
  <c r="D57" i="75"/>
  <c r="H42" i="75"/>
  <c r="H56" i="75" s="1"/>
  <c r="D42" i="75"/>
  <c r="D56" i="75" s="1"/>
  <c r="C42" i="75"/>
  <c r="C56" i="75" s="1"/>
  <c r="J45" i="43"/>
  <c r="I41" i="43"/>
  <c r="I49" i="43" s="1"/>
  <c r="G41" i="43"/>
  <c r="G49" i="43" s="1"/>
  <c r="F41" i="43"/>
  <c r="F49" i="43" s="1"/>
  <c r="C35" i="43"/>
  <c r="C20" i="43"/>
  <c r="C11" i="43"/>
  <c r="E81" i="59"/>
  <c r="H46" i="75" l="1"/>
  <c r="E69" i="59"/>
  <c r="K52" i="75" l="1"/>
  <c r="U52" i="96"/>
  <c r="I9" i="60"/>
  <c r="F9" i="31"/>
  <c r="E9" i="7"/>
  <c r="G47" i="31"/>
  <c r="F47" i="31"/>
  <c r="G61" i="31"/>
  <c r="F61" i="31"/>
  <c r="E57" i="31"/>
  <c r="E66" i="31" s="1"/>
  <c r="E55" i="31"/>
  <c r="E52" i="31"/>
  <c r="E51" i="31"/>
  <c r="E53" i="31" s="1"/>
  <c r="D36" i="31"/>
  <c r="C39" i="7"/>
  <c r="D60" i="7"/>
  <c r="D69" i="7" s="1"/>
  <c r="D58" i="7"/>
  <c r="D55" i="7"/>
  <c r="D54" i="7"/>
  <c r="D56" i="7" s="1"/>
  <c r="B74" i="7"/>
  <c r="D29" i="7"/>
  <c r="F57" i="52" l="1"/>
  <c r="J57" i="52" s="1"/>
  <c r="H45" i="75" l="1"/>
  <c r="B44" i="5"/>
  <c r="J52" i="75" l="1"/>
  <c r="U44" i="96"/>
  <c r="C220" i="73"/>
  <c r="C210" i="73"/>
  <c r="D68" i="73"/>
  <c r="D66" i="73"/>
  <c r="D64" i="73"/>
  <c r="C219" i="70"/>
  <c r="C209" i="70"/>
  <c r="D68" i="70"/>
  <c r="D66" i="70"/>
  <c r="D64" i="70"/>
  <c r="C73" i="53"/>
  <c r="C72" i="53"/>
  <c r="C71" i="53"/>
  <c r="C70" i="53"/>
  <c r="C334" i="49"/>
  <c r="C337" i="49" s="1"/>
  <c r="G33" i="59"/>
  <c r="U68" i="73" l="1"/>
  <c r="U66" i="73"/>
  <c r="U70" i="70"/>
  <c r="U68" i="70"/>
  <c r="U66" i="70"/>
  <c r="U64" i="70"/>
  <c r="U62" i="70"/>
  <c r="U60" i="70"/>
  <c r="U58" i="70"/>
  <c r="U56" i="70"/>
  <c r="U54" i="70"/>
  <c r="U64" i="73"/>
  <c r="U62" i="73"/>
  <c r="C20" i="54"/>
  <c r="B94" i="73"/>
  <c r="B240" i="73" l="1"/>
  <c r="B238" i="73"/>
  <c r="C27" i="54"/>
  <c r="B252" i="73" l="1"/>
  <c r="B157" i="73"/>
  <c r="B155" i="73"/>
  <c r="D143" i="73"/>
  <c r="D142" i="73"/>
  <c r="D140" i="73"/>
  <c r="D139" i="73"/>
  <c r="D137" i="73"/>
  <c r="D136" i="73"/>
  <c r="D134" i="73"/>
  <c r="D133" i="73"/>
  <c r="E110" i="73"/>
  <c r="E108" i="73"/>
  <c r="E106" i="73"/>
  <c r="E100" i="73"/>
  <c r="E98" i="73"/>
  <c r="C90" i="73"/>
  <c r="C86" i="73"/>
  <c r="C82" i="73"/>
  <c r="B244" i="70"/>
  <c r="B232" i="70" l="1"/>
  <c r="B230" i="70"/>
  <c r="B157" i="70"/>
  <c r="B155" i="70"/>
  <c r="B153" i="70"/>
  <c r="D141" i="70"/>
  <c r="D140" i="70"/>
  <c r="D138" i="70"/>
  <c r="D137" i="70"/>
  <c r="D135" i="70"/>
  <c r="D134" i="70"/>
  <c r="D132" i="70"/>
  <c r="D131" i="70"/>
  <c r="E108" i="70"/>
  <c r="E106" i="70"/>
  <c r="E104" i="70"/>
  <c r="E98" i="70"/>
  <c r="E96" i="70"/>
  <c r="C88" i="70"/>
  <c r="C84" i="70"/>
  <c r="C80" i="70"/>
  <c r="K45" i="54"/>
  <c r="L45" i="54"/>
  <c r="I45" i="54"/>
  <c r="J45" i="54"/>
  <c r="I22" i="54"/>
  <c r="J22" i="54"/>
  <c r="G22" i="54"/>
  <c r="H22" i="54"/>
  <c r="C23" i="54"/>
  <c r="D23" i="54"/>
  <c r="E23" i="54"/>
  <c r="F23" i="54"/>
  <c r="C24" i="54"/>
  <c r="D24" i="54"/>
  <c r="E24" i="54"/>
  <c r="F24" i="54"/>
  <c r="C25" i="54"/>
  <c r="D25" i="54"/>
  <c r="E25" i="54"/>
  <c r="F25" i="54"/>
  <c r="C22" i="54"/>
  <c r="F22" i="54"/>
  <c r="E22" i="54"/>
  <c r="D22" i="54"/>
  <c r="C81" i="53"/>
  <c r="C50" i="51"/>
  <c r="C49" i="51"/>
  <c r="C44" i="51"/>
  <c r="C43" i="51"/>
  <c r="D56" i="73" l="1"/>
  <c r="C235" i="73"/>
  <c r="C229" i="73"/>
  <c r="C189" i="73"/>
  <c r="C182" i="73"/>
  <c r="C163" i="73"/>
  <c r="C152" i="73"/>
  <c r="B131" i="73"/>
  <c r="C115" i="73"/>
  <c r="B113" i="73"/>
  <c r="C104" i="73"/>
  <c r="B102" i="73"/>
  <c r="B88" i="73"/>
  <c r="C78" i="73"/>
  <c r="C75" i="73"/>
  <c r="D72" i="73"/>
  <c r="D70" i="73"/>
  <c r="D62" i="73"/>
  <c r="D60" i="73"/>
  <c r="D58" i="73"/>
  <c r="D54" i="73"/>
  <c r="T48" i="73"/>
  <c r="B47" i="73"/>
  <c r="C227" i="70"/>
  <c r="C188" i="70"/>
  <c r="C180" i="70"/>
  <c r="C161" i="70"/>
  <c r="B129" i="70"/>
  <c r="C113" i="70"/>
  <c r="B111" i="70"/>
  <c r="C102" i="70"/>
  <c r="B100" i="70"/>
  <c r="B92" i="70"/>
  <c r="B86" i="70"/>
  <c r="C76" i="70"/>
  <c r="D70" i="70"/>
  <c r="D62" i="70"/>
  <c r="D60" i="70"/>
  <c r="D58" i="70"/>
  <c r="D56" i="70"/>
  <c r="C150" i="70"/>
  <c r="T48" i="70"/>
  <c r="B47" i="70"/>
  <c r="D54" i="70"/>
  <c r="C73" i="70"/>
  <c r="H21" i="70"/>
  <c r="C7" i="51"/>
  <c r="C1492" i="4"/>
  <c r="A1492" i="4"/>
  <c r="C96" i="73" s="1"/>
  <c r="U72" i="73"/>
  <c r="U70" i="73"/>
  <c r="U60" i="73"/>
  <c r="U58" i="73"/>
  <c r="U56" i="73"/>
  <c r="U54" i="73"/>
  <c r="H21" i="73"/>
  <c r="H22" i="73"/>
  <c r="C80" i="73"/>
  <c r="B33" i="7"/>
  <c r="B35" i="7"/>
  <c r="B42" i="7"/>
  <c r="B48" i="7"/>
  <c r="B50" i="7"/>
  <c r="B64" i="7"/>
  <c r="B76" i="7"/>
  <c r="B78" i="7"/>
  <c r="B81" i="7"/>
  <c r="C24" i="31"/>
  <c r="C26" i="31"/>
  <c r="C28" i="31"/>
  <c r="C30" i="31"/>
  <c r="C32" i="31"/>
  <c r="C39" i="31"/>
  <c r="C45" i="31"/>
  <c r="C47" i="31"/>
  <c r="C61" i="31"/>
  <c r="C70" i="31"/>
  <c r="C72" i="31"/>
  <c r="C74" i="31"/>
  <c r="C77" i="31"/>
  <c r="B246" i="73"/>
  <c r="C62" i="51"/>
  <c r="C61" i="51"/>
  <c r="C58" i="51"/>
  <c r="C53" i="51"/>
  <c r="F12" i="31"/>
  <c r="F18" i="31"/>
  <c r="F32" i="31"/>
  <c r="F39" i="31"/>
  <c r="B53" i="5"/>
  <c r="B46" i="5"/>
  <c r="B43" i="5"/>
  <c r="B38" i="5"/>
  <c r="D28" i="5"/>
  <c r="D23" i="5"/>
  <c r="B129" i="96" s="1"/>
  <c r="B10" i="5"/>
  <c r="J80" i="59"/>
  <c r="G12" i="31"/>
  <c r="G18" i="31"/>
  <c r="G32" i="31"/>
  <c r="G39" i="31"/>
  <c r="E57" i="59"/>
  <c r="C41" i="96"/>
  <c r="J69" i="60"/>
  <c r="J62" i="60"/>
  <c r="I69" i="60"/>
  <c r="I62" i="60"/>
  <c r="C78" i="43"/>
  <c r="F12" i="7"/>
  <c r="F33" i="7" s="1"/>
  <c r="F48" i="7" s="1"/>
  <c r="F74" i="7" s="1"/>
  <c r="F81" i="7" s="1"/>
  <c r="T20" i="96" s="1"/>
  <c r="K69" i="78"/>
  <c r="B40" i="5"/>
  <c r="B41" i="5"/>
  <c r="B39" i="5"/>
  <c r="B3" i="59"/>
  <c r="B3" i="65"/>
  <c r="B3" i="60"/>
  <c r="B3" i="31"/>
  <c r="A3" i="7"/>
  <c r="B47" i="5"/>
  <c r="H22" i="70"/>
  <c r="D53" i="5"/>
  <c r="B238" i="70"/>
  <c r="B12" i="7"/>
  <c r="C78" i="70"/>
  <c r="C34" i="40"/>
  <c r="I34" i="40" s="1"/>
  <c r="E20" i="60"/>
  <c r="K72" i="78"/>
  <c r="K84" i="78" s="1"/>
  <c r="K107" i="78" s="1"/>
  <c r="K123" i="78" s="1"/>
  <c r="K134" i="78" s="1"/>
  <c r="D13" i="59"/>
  <c r="E20" i="59"/>
  <c r="F21" i="59"/>
  <c r="G22" i="59"/>
  <c r="F24" i="59"/>
  <c r="G25" i="59"/>
  <c r="E31" i="59"/>
  <c r="F32" i="59"/>
  <c r="G34" i="59"/>
  <c r="G35" i="59"/>
  <c r="F38" i="59"/>
  <c r="G39" i="59"/>
  <c r="E45" i="59"/>
  <c r="F46" i="59"/>
  <c r="F49" i="59"/>
  <c r="G50" i="59"/>
  <c r="F58" i="59"/>
  <c r="F61" i="59"/>
  <c r="E71" i="59"/>
  <c r="F72" i="59"/>
  <c r="G73" i="59"/>
  <c r="F75" i="59"/>
  <c r="E83" i="59"/>
  <c r="F84" i="59"/>
  <c r="G85" i="59"/>
  <c r="F87" i="59"/>
  <c r="C6" i="54"/>
  <c r="C12" i="54"/>
  <c r="C29" i="54"/>
  <c r="C36" i="54"/>
  <c r="C43" i="54"/>
  <c r="C45" i="54"/>
  <c r="C46" i="54"/>
  <c r="C47" i="54"/>
  <c r="C48" i="54"/>
  <c r="C49" i="54"/>
  <c r="C50" i="54"/>
  <c r="C6" i="53"/>
  <c r="F10" i="53"/>
  <c r="I10" i="53"/>
  <c r="C11" i="53"/>
  <c r="C12" i="53"/>
  <c r="C13" i="53"/>
  <c r="C14" i="53"/>
  <c r="C15" i="53"/>
  <c r="C18" i="53"/>
  <c r="C20" i="53"/>
  <c r="C28" i="53"/>
  <c r="C42" i="53" s="1"/>
  <c r="F28" i="53"/>
  <c r="F42" i="53" s="1"/>
  <c r="G28" i="53"/>
  <c r="G42" i="53" s="1"/>
  <c r="H28" i="53"/>
  <c r="H42" i="53" s="1"/>
  <c r="C52" i="53"/>
  <c r="C56" i="53"/>
  <c r="F56" i="53"/>
  <c r="G56" i="53"/>
  <c r="H56" i="53"/>
  <c r="I56" i="53"/>
  <c r="C59" i="53"/>
  <c r="C60" i="53"/>
  <c r="C64" i="53"/>
  <c r="C68" i="53"/>
  <c r="C7" i="52"/>
  <c r="C11" i="52"/>
  <c r="C15" i="52"/>
  <c r="C19" i="52"/>
  <c r="C18" i="51"/>
  <c r="C27" i="51"/>
  <c r="C33" i="51"/>
  <c r="G34" i="51"/>
  <c r="C37" i="51"/>
  <c r="C42" i="51"/>
  <c r="F42" i="51"/>
  <c r="H42" i="51"/>
  <c r="J42" i="51"/>
  <c r="F45" i="51"/>
  <c r="C47" i="51"/>
  <c r="C48" i="51"/>
  <c r="F48" i="51"/>
  <c r="H48" i="51"/>
  <c r="J48" i="51"/>
  <c r="F51" i="51"/>
  <c r="B4" i="49"/>
  <c r="K12" i="49"/>
  <c r="K19" i="49" s="1"/>
  <c r="C13" i="49"/>
  <c r="C14" i="49"/>
  <c r="C21" i="49" s="1"/>
  <c r="C46" i="49"/>
  <c r="C64" i="49"/>
  <c r="C197" i="49"/>
  <c r="D201" i="49"/>
  <c r="C204" i="49"/>
  <c r="C26" i="49"/>
  <c r="C33" i="49"/>
  <c r="C34" i="49"/>
  <c r="C36" i="49"/>
  <c r="C37" i="49"/>
  <c r="C38" i="49"/>
  <c r="C39" i="49"/>
  <c r="C40" i="49"/>
  <c r="C43" i="49"/>
  <c r="C328" i="49"/>
  <c r="C333" i="49"/>
  <c r="C336" i="49"/>
  <c r="C355" i="49"/>
  <c r="C357" i="49"/>
  <c r="I373" i="49"/>
  <c r="F62" i="43"/>
  <c r="C67" i="43"/>
  <c r="F73" i="43"/>
  <c r="H73" i="43"/>
  <c r="I73" i="43"/>
  <c r="G74" i="43"/>
  <c r="C75" i="43"/>
  <c r="G75" i="43"/>
  <c r="C76" i="43"/>
  <c r="G76" i="43"/>
  <c r="C77" i="43"/>
  <c r="G77" i="43"/>
  <c r="C79" i="43"/>
  <c r="G79" i="43"/>
  <c r="C95" i="43"/>
  <c r="B12" i="40"/>
  <c r="C12" i="40"/>
  <c r="C43" i="40" s="1"/>
  <c r="C30" i="40"/>
  <c r="C61" i="40" s="1"/>
  <c r="E13" i="40"/>
  <c r="E44" i="40" s="1"/>
  <c r="F13" i="40"/>
  <c r="F44" i="40" s="1"/>
  <c r="E22" i="40"/>
  <c r="E53" i="40" s="1"/>
  <c r="B15" i="40"/>
  <c r="B16" i="40"/>
  <c r="B17" i="40"/>
  <c r="B18" i="40"/>
  <c r="B19" i="40"/>
  <c r="E19" i="40"/>
  <c r="F19" i="40"/>
  <c r="C28" i="40"/>
  <c r="E28" i="40"/>
  <c r="B4" i="59"/>
  <c r="C11" i="59"/>
  <c r="J68" i="59"/>
  <c r="J71" i="59" s="1"/>
  <c r="C15" i="59"/>
  <c r="D18" i="59"/>
  <c r="E27" i="59"/>
  <c r="D29" i="59"/>
  <c r="E41" i="59"/>
  <c r="D43" i="59"/>
  <c r="E52" i="59"/>
  <c r="D55" i="59"/>
  <c r="E64" i="59"/>
  <c r="E68" i="59"/>
  <c r="E70" i="59"/>
  <c r="E78" i="59"/>
  <c r="E80" i="59"/>
  <c r="E82" i="59"/>
  <c r="E90" i="59"/>
  <c r="E92" i="59"/>
  <c r="D94" i="59"/>
  <c r="E96" i="59"/>
  <c r="E97" i="59"/>
  <c r="E98" i="59"/>
  <c r="C100" i="59"/>
  <c r="C103" i="59"/>
  <c r="G108" i="59"/>
  <c r="I108" i="59"/>
  <c r="B4" i="65"/>
  <c r="B6" i="65"/>
  <c r="J9" i="65"/>
  <c r="C13" i="65"/>
  <c r="D15" i="65"/>
  <c r="I15" i="65"/>
  <c r="J15" i="65"/>
  <c r="E17" i="65"/>
  <c r="E18" i="65"/>
  <c r="D20" i="65"/>
  <c r="I20" i="65"/>
  <c r="J20" i="65"/>
  <c r="E22" i="65"/>
  <c r="E23" i="65"/>
  <c r="E24" i="65"/>
  <c r="E25" i="65"/>
  <c r="E26" i="65"/>
  <c r="D28" i="65"/>
  <c r="C30" i="65"/>
  <c r="D32" i="65"/>
  <c r="I38" i="65"/>
  <c r="J38" i="65"/>
  <c r="E34" i="65"/>
  <c r="E35" i="65"/>
  <c r="E36" i="65"/>
  <c r="F37" i="65"/>
  <c r="F38" i="65"/>
  <c r="G39" i="65"/>
  <c r="G40" i="65"/>
  <c r="G41" i="65"/>
  <c r="G42" i="65"/>
  <c r="E44" i="65"/>
  <c r="D46" i="65"/>
  <c r="I52" i="65"/>
  <c r="J52" i="65"/>
  <c r="E48" i="65"/>
  <c r="E49" i="65"/>
  <c r="E50" i="65"/>
  <c r="F51" i="65"/>
  <c r="F52" i="65"/>
  <c r="G53" i="65"/>
  <c r="G54" i="65"/>
  <c r="E55" i="65"/>
  <c r="D57" i="65"/>
  <c r="C59" i="65"/>
  <c r="D61" i="65"/>
  <c r="I61" i="65"/>
  <c r="J61" i="65"/>
  <c r="E63" i="65"/>
  <c r="E64" i="65"/>
  <c r="E65" i="65"/>
  <c r="E66" i="65"/>
  <c r="D68" i="65"/>
  <c r="I68" i="65"/>
  <c r="J68" i="65"/>
  <c r="E70" i="65"/>
  <c r="E71" i="65"/>
  <c r="E72" i="65"/>
  <c r="E73" i="65"/>
  <c r="E74" i="65"/>
  <c r="E75" i="65"/>
  <c r="E76" i="65"/>
  <c r="E77" i="65"/>
  <c r="E78" i="65"/>
  <c r="D80" i="65"/>
  <c r="C82" i="65"/>
  <c r="C84" i="65"/>
  <c r="D86" i="65"/>
  <c r="C88" i="65"/>
  <c r="C91" i="65"/>
  <c r="D93" i="65"/>
  <c r="G97" i="65"/>
  <c r="I97" i="65"/>
  <c r="B4" i="60"/>
  <c r="B6" i="60"/>
  <c r="C12" i="60"/>
  <c r="D14" i="60"/>
  <c r="D16" i="60"/>
  <c r="I18" i="60"/>
  <c r="J18" i="60"/>
  <c r="L18" i="60" s="1"/>
  <c r="E18" i="60"/>
  <c r="E19" i="60"/>
  <c r="E21" i="60"/>
  <c r="E22" i="60"/>
  <c r="E23" i="60"/>
  <c r="E24" i="60"/>
  <c r="E25" i="60"/>
  <c r="E26" i="60"/>
  <c r="E27" i="60"/>
  <c r="D29" i="60"/>
  <c r="C31" i="60"/>
  <c r="D33" i="60"/>
  <c r="J39" i="60"/>
  <c r="E35" i="60"/>
  <c r="E36" i="60"/>
  <c r="E37" i="60"/>
  <c r="F38" i="60"/>
  <c r="F39" i="60"/>
  <c r="G40" i="60"/>
  <c r="G41" i="60"/>
  <c r="G42" i="60"/>
  <c r="G43" i="60"/>
  <c r="E45" i="60"/>
  <c r="D47" i="60"/>
  <c r="I53" i="60"/>
  <c r="J53" i="60"/>
  <c r="E49" i="60"/>
  <c r="E50" i="60"/>
  <c r="E51" i="60"/>
  <c r="F52" i="60"/>
  <c r="F53" i="60"/>
  <c r="G54" i="60"/>
  <c r="G55" i="60"/>
  <c r="E56" i="60"/>
  <c r="D58" i="60"/>
  <c r="C60" i="60"/>
  <c r="D62" i="60"/>
  <c r="E64" i="60"/>
  <c r="E65" i="60"/>
  <c r="E66" i="60"/>
  <c r="E67" i="60"/>
  <c r="D69" i="60"/>
  <c r="E71" i="60"/>
  <c r="E72" i="60"/>
  <c r="E73" i="60"/>
  <c r="E74" i="60"/>
  <c r="E75" i="60"/>
  <c r="E76" i="60"/>
  <c r="E77" i="60"/>
  <c r="E78" i="60"/>
  <c r="E79" i="60"/>
  <c r="D81" i="60"/>
  <c r="C83" i="60"/>
  <c r="C85" i="60"/>
  <c r="D87" i="60"/>
  <c r="C89" i="60"/>
  <c r="C92" i="60"/>
  <c r="D93" i="60"/>
  <c r="G97" i="60"/>
  <c r="I97" i="60"/>
  <c r="B4" i="31"/>
  <c r="B6" i="31"/>
  <c r="G9" i="31"/>
  <c r="C12" i="31"/>
  <c r="E14" i="31"/>
  <c r="D15" i="31"/>
  <c r="D16" i="31"/>
  <c r="C18" i="31"/>
  <c r="E20" i="31"/>
  <c r="D21" i="31"/>
  <c r="D22" i="31"/>
  <c r="D34" i="31"/>
  <c r="D35" i="31"/>
  <c r="D37" i="31"/>
  <c r="D41" i="31"/>
  <c r="D42" i="31"/>
  <c r="D43" i="31"/>
  <c r="D49" i="31"/>
  <c r="E50" i="31"/>
  <c r="D54" i="31"/>
  <c r="D56" i="31"/>
  <c r="D58" i="31"/>
  <c r="D59" i="31"/>
  <c r="D63" i="31"/>
  <c r="E64" i="31"/>
  <c r="D67" i="31"/>
  <c r="D68" i="31"/>
  <c r="E81" i="31"/>
  <c r="F81" i="31"/>
  <c r="A6" i="7"/>
  <c r="D14" i="7"/>
  <c r="C15" i="7"/>
  <c r="C16" i="7"/>
  <c r="C17" i="7"/>
  <c r="C18" i="7"/>
  <c r="C22" i="7"/>
  <c r="C23" i="7"/>
  <c r="C24" i="7"/>
  <c r="C25" i="7"/>
  <c r="D26" i="7"/>
  <c r="C28" i="7"/>
  <c r="C30" i="7"/>
  <c r="C31" i="7"/>
  <c r="C37" i="7"/>
  <c r="C38" i="7"/>
  <c r="C40" i="7"/>
  <c r="C44" i="7"/>
  <c r="C45" i="7"/>
  <c r="C46" i="7"/>
  <c r="C52" i="7"/>
  <c r="D53" i="7"/>
  <c r="C57" i="7"/>
  <c r="C59" i="7"/>
  <c r="C61" i="7"/>
  <c r="C62" i="7"/>
  <c r="C66" i="7"/>
  <c r="D67" i="7"/>
  <c r="C70" i="7"/>
  <c r="C71" i="7"/>
  <c r="D85" i="7"/>
  <c r="E85" i="7"/>
  <c r="C1" i="57"/>
  <c r="C3" i="57"/>
  <c r="C5" i="57"/>
  <c r="C6" i="57"/>
  <c r="C9" i="57"/>
  <c r="C11" i="57"/>
  <c r="C12" i="57"/>
  <c r="C14" i="57"/>
  <c r="C15" i="57"/>
  <c r="C16" i="57"/>
  <c r="C17" i="57"/>
  <c r="C18" i="57"/>
  <c r="C19" i="57"/>
  <c r="C20" i="57"/>
  <c r="C23" i="57"/>
  <c r="C24" i="57"/>
  <c r="C26" i="57"/>
  <c r="C35" i="57"/>
  <c r="B2" i="5"/>
  <c r="B4" i="5"/>
  <c r="B5" i="5"/>
  <c r="B6" i="5"/>
  <c r="B7" i="5"/>
  <c r="B12" i="5"/>
  <c r="B17" i="5"/>
  <c r="B18" i="5"/>
  <c r="B19" i="5"/>
  <c r="B23" i="5"/>
  <c r="B24" i="5"/>
  <c r="B25" i="5"/>
  <c r="B26" i="5"/>
  <c r="B28" i="5"/>
  <c r="B29" i="5"/>
  <c r="B30" i="5"/>
  <c r="B31" i="5"/>
  <c r="B33" i="5"/>
  <c r="B34" i="5"/>
  <c r="B35" i="5"/>
  <c r="B36" i="5"/>
  <c r="B54" i="5"/>
  <c r="B55" i="5"/>
  <c r="B56" i="5"/>
  <c r="T9" i="96" l="1"/>
  <c r="T137" i="96" s="1"/>
  <c r="K144" i="96" s="1"/>
  <c r="J96" i="59"/>
  <c r="J97" i="59"/>
  <c r="E78" i="43"/>
  <c r="S78" i="43"/>
  <c r="F44" i="52"/>
  <c r="J44" i="52" s="1"/>
  <c r="C123" i="75"/>
  <c r="M51" i="5"/>
  <c r="M54" i="5" s="1"/>
  <c r="D236" i="54" s="1"/>
  <c r="A1174" i="4"/>
  <c r="I343" i="54"/>
  <c r="I332" i="54"/>
  <c r="I337" i="54" s="1"/>
  <c r="I69" i="78"/>
  <c r="I70" i="78" s="1"/>
  <c r="C30" i="78"/>
  <c r="C94" i="70"/>
  <c r="H36" i="69"/>
  <c r="I84" i="43"/>
  <c r="H84" i="43"/>
  <c r="F84" i="43"/>
  <c r="H114" i="40"/>
  <c r="C700" i="4"/>
  <c r="B700" i="4"/>
  <c r="A700" i="4"/>
  <c r="B626" i="4"/>
  <c r="A626" i="4"/>
  <c r="C715" i="4"/>
  <c r="C626" i="4"/>
  <c r="K59" i="43"/>
  <c r="B639" i="4"/>
  <c r="A639" i="4"/>
  <c r="C639" i="4"/>
  <c r="M69" i="78"/>
  <c r="H66" i="40"/>
  <c r="H67" i="40"/>
  <c r="I81" i="60"/>
  <c r="R73" i="43"/>
  <c r="B1273" i="4"/>
  <c r="B878" i="4"/>
  <c r="B877" i="4"/>
  <c r="B880" i="4"/>
  <c r="B1161" i="4"/>
  <c r="S73" i="43"/>
  <c r="B879" i="4"/>
  <c r="J83" i="59"/>
  <c r="C20" i="49"/>
  <c r="K112" i="78"/>
  <c r="C716" i="4"/>
  <c r="A716" i="4"/>
  <c r="I21" i="75"/>
  <c r="B716" i="4"/>
  <c r="C879" i="4"/>
  <c r="A715" i="4"/>
  <c r="B715" i="4"/>
  <c r="C877" i="4"/>
  <c r="C880" i="4"/>
  <c r="C1161" i="4"/>
  <c r="C878" i="4"/>
  <c r="K18" i="60"/>
  <c r="A1236" i="4"/>
  <c r="L76" i="49"/>
  <c r="A880" i="4"/>
  <c r="A877" i="4"/>
  <c r="E86" i="75"/>
  <c r="E102" i="75" s="1"/>
  <c r="E112" i="75" s="1"/>
  <c r="A878" i="4"/>
  <c r="A879" i="4"/>
  <c r="F54" i="52"/>
  <c r="H54" i="52" s="1"/>
  <c r="A1161" i="4"/>
  <c r="A1273" i="4"/>
  <c r="M141" i="78"/>
  <c r="M131" i="78"/>
  <c r="M120" i="78"/>
  <c r="M104" i="78"/>
  <c r="M55" i="78"/>
  <c r="M81" i="78"/>
  <c r="M62" i="78"/>
  <c r="M42" i="78"/>
  <c r="M26" i="59"/>
  <c r="M51" i="59"/>
  <c r="M91" i="59"/>
  <c r="L83" i="65"/>
  <c r="M40" i="59"/>
  <c r="M63" i="59"/>
  <c r="L15" i="49"/>
  <c r="J77" i="43"/>
  <c r="R77" i="43" s="1"/>
  <c r="J76" i="43"/>
  <c r="R76" i="43" s="1"/>
  <c r="F63" i="43"/>
  <c r="K60" i="43" s="1"/>
  <c r="J75" i="43"/>
  <c r="R75" i="43" s="1"/>
  <c r="G28" i="40"/>
  <c r="H323" i="49"/>
  <c r="H299" i="49"/>
  <c r="L312" i="49" s="1"/>
  <c r="L320" i="49" s="1"/>
  <c r="L325" i="49" s="1"/>
  <c r="H52" i="69"/>
  <c r="H315" i="49"/>
  <c r="C773" i="4"/>
  <c r="C737" i="4"/>
  <c r="C30" i="4"/>
  <c r="B773" i="4"/>
  <c r="B737" i="4"/>
  <c r="J50" i="65"/>
  <c r="I50" i="65"/>
  <c r="J36" i="65"/>
  <c r="H283" i="91"/>
  <c r="C1236" i="4"/>
  <c r="B1236" i="4"/>
  <c r="I36" i="65"/>
  <c r="I95" i="75"/>
  <c r="I116" i="75"/>
  <c r="H185" i="40"/>
  <c r="H105" i="40"/>
  <c r="I114" i="40"/>
  <c r="C14" i="96"/>
  <c r="H65" i="40"/>
  <c r="B21" i="40"/>
  <c r="B43" i="40"/>
  <c r="B27" i="40"/>
  <c r="B49" i="40"/>
  <c r="B25" i="40"/>
  <c r="B47" i="40"/>
  <c r="B28" i="40"/>
  <c r="B50" i="40"/>
  <c r="B24" i="40"/>
  <c r="B46" i="40"/>
  <c r="B26" i="40"/>
  <c r="B48" i="40"/>
  <c r="G19" i="40"/>
  <c r="J74" i="43"/>
  <c r="D140" i="96"/>
  <c r="C54" i="91"/>
  <c r="C23" i="96"/>
  <c r="C61" i="96"/>
  <c r="C22" i="96"/>
  <c r="I28" i="65"/>
  <c r="C29" i="96"/>
  <c r="C39" i="96"/>
  <c r="J16" i="60"/>
  <c r="C25" i="96"/>
  <c r="C16" i="96"/>
  <c r="U91" i="96"/>
  <c r="U42" i="96"/>
  <c r="U27" i="96"/>
  <c r="U19" i="96"/>
  <c r="B10" i="96"/>
  <c r="J6" i="96"/>
  <c r="U51" i="96"/>
  <c r="B60" i="96"/>
  <c r="B36" i="96"/>
  <c r="S6" i="96"/>
  <c r="A30" i="4"/>
  <c r="B30" i="4"/>
  <c r="C28" i="96"/>
  <c r="J51" i="60"/>
  <c r="J80" i="65"/>
  <c r="C21" i="96"/>
  <c r="C15" i="96"/>
  <c r="I51" i="60"/>
  <c r="C40" i="96"/>
  <c r="J37" i="60"/>
  <c r="C24" i="96"/>
  <c r="I80" i="65"/>
  <c r="B244" i="73"/>
  <c r="I39" i="60"/>
  <c r="B80" i="31"/>
  <c r="A84" i="7"/>
  <c r="B96" i="65"/>
  <c r="H10" i="69"/>
  <c r="D38" i="5"/>
  <c r="J24" i="59"/>
  <c r="A286" i="4"/>
  <c r="A1667" i="4"/>
  <c r="B1667" i="4"/>
  <c r="A773" i="4"/>
  <c r="A737" i="4"/>
  <c r="C44" i="43" s="1"/>
  <c r="C52" i="43" s="1"/>
  <c r="C286" i="4"/>
  <c r="C37" i="40"/>
  <c r="I37" i="40" s="1"/>
  <c r="C82" i="70"/>
  <c r="J28" i="65"/>
  <c r="C37" i="96"/>
  <c r="J32" i="59"/>
  <c r="B1476" i="4"/>
  <c r="I9" i="65"/>
  <c r="E36" i="40"/>
  <c r="H36" i="40" s="1"/>
  <c r="C84" i="73"/>
  <c r="J81" i="60"/>
  <c r="K25" i="78" s="1"/>
  <c r="A1476" i="4"/>
  <c r="J87" i="59"/>
  <c r="J84" i="59"/>
  <c r="G24" i="31"/>
  <c r="K15" i="49"/>
  <c r="J75" i="59"/>
  <c r="J61" i="59"/>
  <c r="J49" i="59"/>
  <c r="J46" i="59"/>
  <c r="J38" i="59"/>
  <c r="E35" i="40"/>
  <c r="H35" i="40" s="1"/>
  <c r="E33" i="40"/>
  <c r="H33" i="40" s="1"/>
  <c r="B474" i="4"/>
  <c r="B236" i="70"/>
  <c r="B107" i="59"/>
  <c r="B96" i="60"/>
  <c r="C474" i="4"/>
  <c r="M99" i="59"/>
  <c r="A418" i="4"/>
  <c r="B286" i="4"/>
  <c r="H32" i="40"/>
  <c r="C1476" i="4"/>
  <c r="C418" i="4"/>
  <c r="A474" i="4"/>
  <c r="B418" i="4"/>
  <c r="K82" i="60"/>
  <c r="I58" i="59"/>
  <c r="C18" i="96"/>
  <c r="I87" i="59"/>
  <c r="F24" i="31"/>
  <c r="I61" i="59"/>
  <c r="J72" i="59"/>
  <c r="J58" i="59"/>
  <c r="E34" i="40"/>
  <c r="H34" i="40" s="1"/>
  <c r="T144" i="96" l="1"/>
  <c r="M56" i="5"/>
  <c r="M55" i="5"/>
  <c r="M52" i="5"/>
  <c r="M53" i="5"/>
  <c r="J20" i="59"/>
  <c r="N51" i="5"/>
  <c r="N54" i="5" s="1"/>
  <c r="C138" i="75"/>
  <c r="I25" i="78"/>
  <c r="C323" i="54"/>
  <c r="K343" i="54"/>
  <c r="K332" i="54"/>
  <c r="K337" i="54" s="1"/>
  <c r="C246" i="54"/>
  <c r="F125" i="75"/>
  <c r="F131" i="75" s="1"/>
  <c r="C104" i="49"/>
  <c r="H60" i="43"/>
  <c r="C114" i="49"/>
  <c r="J97" i="49"/>
  <c r="J106" i="49" s="1"/>
  <c r="C15" i="43"/>
  <c r="C261" i="91"/>
  <c r="E43" i="75"/>
  <c r="C93" i="75"/>
  <c r="G43" i="65"/>
  <c r="G44" i="60"/>
  <c r="C82" i="49"/>
  <c r="C117" i="49"/>
  <c r="B251" i="73"/>
  <c r="B243" i="70"/>
  <c r="I314" i="54"/>
  <c r="B51" i="70"/>
  <c r="B51" i="73"/>
  <c r="G70" i="49"/>
  <c r="G81" i="49" s="1"/>
  <c r="G74" i="96"/>
  <c r="G149" i="54"/>
  <c r="G173" i="54"/>
  <c r="G189" i="54" s="1"/>
  <c r="D65" i="31"/>
  <c r="C68" i="7"/>
  <c r="C27" i="7"/>
  <c r="C36" i="75"/>
  <c r="C22" i="75"/>
  <c r="H238" i="54"/>
  <c r="J238" i="54"/>
  <c r="G20" i="96"/>
  <c r="C176" i="40"/>
  <c r="C210" i="40" s="1"/>
  <c r="C88" i="40"/>
  <c r="C136" i="40" s="1"/>
  <c r="C21" i="40"/>
  <c r="C52" i="40" s="1"/>
  <c r="I36" i="69"/>
  <c r="J61" i="43"/>
  <c r="J62" i="43"/>
  <c r="C309" i="54"/>
  <c r="D12" i="75"/>
  <c r="H12" i="75"/>
  <c r="G73" i="43"/>
  <c r="E73" i="43"/>
  <c r="E41" i="43"/>
  <c r="C52" i="49"/>
  <c r="C177" i="40"/>
  <c r="C13" i="40"/>
  <c r="C235" i="40"/>
  <c r="C168" i="40"/>
  <c r="D184" i="40"/>
  <c r="E104" i="40"/>
  <c r="C77" i="40"/>
  <c r="C89" i="40"/>
  <c r="C22" i="40"/>
  <c r="C31" i="40"/>
  <c r="J41" i="43"/>
  <c r="G15" i="43"/>
  <c r="G26" i="43"/>
  <c r="G168" i="40"/>
  <c r="K52" i="49"/>
  <c r="G235" i="40"/>
  <c r="G177" i="40"/>
  <c r="G13" i="40"/>
  <c r="J73" i="43"/>
  <c r="F104" i="40"/>
  <c r="E184" i="40"/>
  <c r="G77" i="40"/>
  <c r="G89" i="40"/>
  <c r="E31" i="40"/>
  <c r="G22" i="40"/>
  <c r="B638" i="4"/>
  <c r="A638" i="4"/>
  <c r="C638" i="4"/>
  <c r="H68" i="40"/>
  <c r="I38" i="40"/>
  <c r="B14" i="96"/>
  <c r="I62" i="78"/>
  <c r="C76" i="49"/>
  <c r="C71" i="49"/>
  <c r="C75" i="49"/>
  <c r="C77" i="49"/>
  <c r="B882" i="4"/>
  <c r="B884" i="4"/>
  <c r="B1074" i="4"/>
  <c r="B883" i="4"/>
  <c r="B1075" i="4"/>
  <c r="K62" i="78"/>
  <c r="B718" i="4"/>
  <c r="J21" i="75"/>
  <c r="I35" i="75" s="1"/>
  <c r="C718" i="4"/>
  <c r="A718" i="4"/>
  <c r="C884" i="4"/>
  <c r="C1075" i="4"/>
  <c r="C883" i="4"/>
  <c r="C882" i="4"/>
  <c r="C1074" i="4"/>
  <c r="G86" i="75"/>
  <c r="G102" i="75" s="1"/>
  <c r="G112" i="75" s="1"/>
  <c r="C1237" i="4"/>
  <c r="B1237" i="4"/>
  <c r="A1237" i="4"/>
  <c r="L87" i="49"/>
  <c r="A884" i="4"/>
  <c r="A882" i="4"/>
  <c r="A883" i="4"/>
  <c r="H60" i="52"/>
  <c r="J54" i="52"/>
  <c r="A1075" i="4"/>
  <c r="C17" i="53" s="1"/>
  <c r="A1074" i="4"/>
  <c r="C16" i="53" s="1"/>
  <c r="N141" i="78"/>
  <c r="N55" i="78"/>
  <c r="N42" i="78"/>
  <c r="N26" i="59"/>
  <c r="N51" i="59"/>
  <c r="N91" i="59"/>
  <c r="N40" i="59"/>
  <c r="N63" i="59"/>
  <c r="K315" i="49"/>
  <c r="K299" i="49"/>
  <c r="I52" i="69"/>
  <c r="K323" i="49"/>
  <c r="J315" i="49"/>
  <c r="J299" i="49"/>
  <c r="M312" i="49" s="1"/>
  <c r="M320" i="49" s="1"/>
  <c r="M325" i="49" s="1"/>
  <c r="J323" i="49"/>
  <c r="I10" i="69"/>
  <c r="I46" i="65"/>
  <c r="E64" i="79"/>
  <c r="I32" i="65"/>
  <c r="J32" i="65"/>
  <c r="J46" i="65"/>
  <c r="N99" i="59"/>
  <c r="J116" i="75"/>
  <c r="J95" i="75"/>
  <c r="H148" i="40"/>
  <c r="I185" i="40"/>
  <c r="H219" i="40" s="1"/>
  <c r="I105" i="40"/>
  <c r="H63" i="40"/>
  <c r="B37" i="40"/>
  <c r="B59" i="40"/>
  <c r="B68" i="40" s="1"/>
  <c r="B35" i="40"/>
  <c r="B57" i="40"/>
  <c r="B66" i="40" s="1"/>
  <c r="B36" i="40"/>
  <c r="B58" i="40"/>
  <c r="B67" i="40" s="1"/>
  <c r="B33" i="40"/>
  <c r="B55" i="40"/>
  <c r="B64" i="40" s="1"/>
  <c r="B34" i="40"/>
  <c r="B56" i="40"/>
  <c r="B65" i="40" s="1"/>
  <c r="B30" i="40"/>
  <c r="B52" i="40"/>
  <c r="B61" i="40" s="1"/>
  <c r="D3" i="96"/>
  <c r="B61" i="96"/>
  <c r="B41" i="96"/>
  <c r="B39" i="96"/>
  <c r="B28" i="96"/>
  <c r="I47" i="60"/>
  <c r="J47" i="60"/>
  <c r="B40" i="96"/>
  <c r="B22" i="96"/>
  <c r="B24" i="96"/>
  <c r="B29" i="96"/>
  <c r="C11" i="96"/>
  <c r="J33" i="60"/>
  <c r="B25" i="96"/>
  <c r="B23" i="96"/>
  <c r="B13" i="96"/>
  <c r="B21" i="96"/>
  <c r="I37" i="60"/>
  <c r="B16" i="96"/>
  <c r="B15" i="96"/>
  <c r="J78" i="59"/>
  <c r="H23" i="73"/>
  <c r="I32" i="40"/>
  <c r="J90" i="59"/>
  <c r="B166" i="73"/>
  <c r="B164" i="70"/>
  <c r="J57" i="59"/>
  <c r="J31" i="59"/>
  <c r="H23" i="70"/>
  <c r="I45" i="59"/>
  <c r="E37" i="40"/>
  <c r="H37" i="40" s="1"/>
  <c r="J45" i="59"/>
  <c r="B5" i="65"/>
  <c r="B5" i="60"/>
  <c r="B5" i="31"/>
  <c r="B5" i="59"/>
  <c r="A5" i="7"/>
  <c r="F30" i="31"/>
  <c r="G30" i="31"/>
  <c r="I57" i="59"/>
  <c r="J92" i="59" l="1"/>
  <c r="C1634" i="4"/>
  <c r="B1634" i="4"/>
  <c r="A1634" i="4"/>
  <c r="N55" i="5"/>
  <c r="N56" i="5"/>
  <c r="N52" i="5"/>
  <c r="N53" i="5"/>
  <c r="D235" i="54"/>
  <c r="D234" i="54"/>
  <c r="V28" i="96"/>
  <c r="I89" i="78"/>
  <c r="I104" i="78" s="1"/>
  <c r="H191" i="40"/>
  <c r="H44" i="75"/>
  <c r="D52" i="75"/>
  <c r="M70" i="78"/>
  <c r="F140" i="75"/>
  <c r="F146" i="75" s="1"/>
  <c r="B85" i="40"/>
  <c r="B112" i="40" s="1"/>
  <c r="F60" i="43"/>
  <c r="C211" i="49"/>
  <c r="C123" i="49"/>
  <c r="C209" i="49"/>
  <c r="C121" i="49"/>
  <c r="I149" i="54"/>
  <c r="I161" i="54" s="1"/>
  <c r="G174" i="54"/>
  <c r="G190" i="54" s="1"/>
  <c r="C68" i="49"/>
  <c r="C218" i="49"/>
  <c r="C130" i="49"/>
  <c r="J53" i="52"/>
  <c r="J41" i="52"/>
  <c r="J31" i="52"/>
  <c r="J63" i="43"/>
  <c r="H26" i="75"/>
  <c r="F31" i="52"/>
  <c r="F41" i="52" s="1"/>
  <c r="G45" i="31"/>
  <c r="F45" i="31"/>
  <c r="I15" i="43"/>
  <c r="G211" i="40"/>
  <c r="G44" i="40"/>
  <c r="F147" i="40"/>
  <c r="G202" i="40"/>
  <c r="J84" i="43"/>
  <c r="K59" i="49"/>
  <c r="J49" i="43"/>
  <c r="G137" i="40"/>
  <c r="E218" i="40"/>
  <c r="G121" i="40"/>
  <c r="G246" i="40"/>
  <c r="I26" i="43"/>
  <c r="G161" i="54"/>
  <c r="H31" i="52"/>
  <c r="H41" i="52" s="1"/>
  <c r="C86" i="49"/>
  <c r="C88" i="49"/>
  <c r="C87" i="49"/>
  <c r="I77" i="78"/>
  <c r="I81" i="78" s="1"/>
  <c r="I63" i="78"/>
  <c r="K89" i="78"/>
  <c r="K104" i="78" s="1"/>
  <c r="K77" i="78"/>
  <c r="K81" i="78" s="1"/>
  <c r="J57" i="65"/>
  <c r="I57" i="65"/>
  <c r="I191" i="40"/>
  <c r="B37" i="96"/>
  <c r="B18" i="96"/>
  <c r="J64" i="59"/>
  <c r="I33" i="60"/>
  <c r="J52" i="59"/>
  <c r="B11" i="96"/>
  <c r="J27" i="59"/>
  <c r="J41" i="59"/>
  <c r="J58" i="60"/>
  <c r="K24" i="78" s="1"/>
  <c r="E81" i="7"/>
  <c r="H38" i="40"/>
  <c r="S20" i="96" l="1"/>
  <c r="I97" i="59" s="1"/>
  <c r="E87" i="7"/>
  <c r="I52" i="75"/>
  <c r="L52" i="75" s="1"/>
  <c r="U43" i="96"/>
  <c r="C1635" i="4"/>
  <c r="B1635" i="4"/>
  <c r="A1635" i="4"/>
  <c r="C10" i="78" s="1"/>
  <c r="C8" i="78"/>
  <c r="I105" i="78"/>
  <c r="H52" i="75"/>
  <c r="B129" i="40"/>
  <c r="B155" i="40" s="1"/>
  <c r="H98" i="43"/>
  <c r="U20" i="96"/>
  <c r="F70" i="31"/>
  <c r="G70" i="31"/>
  <c r="G53" i="40"/>
  <c r="E62" i="40"/>
  <c r="I82" i="78"/>
  <c r="I55" i="59"/>
  <c r="I43" i="59"/>
  <c r="I29" i="59"/>
  <c r="I18" i="59"/>
  <c r="J46" i="52"/>
  <c r="J209" i="49"/>
  <c r="J82" i="65"/>
  <c r="J14" i="60"/>
  <c r="L14" i="60" s="1"/>
  <c r="I82" i="65"/>
  <c r="H115" i="43"/>
  <c r="I58" i="60"/>
  <c r="I14" i="60"/>
  <c r="H116" i="43" l="1"/>
  <c r="H117" i="43" s="1"/>
  <c r="I96" i="59"/>
  <c r="H99" i="43"/>
  <c r="H100" i="43" s="1"/>
  <c r="I24" i="78"/>
  <c r="J283" i="49"/>
  <c r="M63" i="78"/>
  <c r="M105" i="78"/>
  <c r="I52" i="59"/>
  <c r="I64" i="59"/>
  <c r="G77" i="31"/>
  <c r="F77" i="31"/>
  <c r="K209" i="49"/>
  <c r="H32" i="52"/>
  <c r="H38" i="52" s="1"/>
  <c r="V20" i="96"/>
  <c r="F60" i="52"/>
  <c r="J60" i="52" s="1"/>
  <c r="K14" i="60"/>
  <c r="I91" i="65"/>
  <c r="J29" i="60"/>
  <c r="K23" i="78" s="1"/>
  <c r="I41" i="59"/>
  <c r="I27" i="59"/>
  <c r="S9" i="96"/>
  <c r="S137" i="96" s="1"/>
  <c r="S144" i="96" s="1"/>
  <c r="K283" i="49" l="1"/>
  <c r="M82" i="78"/>
  <c r="L209" i="49"/>
  <c r="H42" i="52"/>
  <c r="H80" i="43"/>
  <c r="J79" i="43"/>
  <c r="I68" i="59"/>
  <c r="I71" i="59" s="1"/>
  <c r="H45" i="52"/>
  <c r="J45" i="52" s="1"/>
  <c r="J285" i="49"/>
  <c r="J287" i="49" s="1"/>
  <c r="J32" i="52"/>
  <c r="J83" i="60"/>
  <c r="J144" i="96"/>
  <c r="I94" i="59"/>
  <c r="F51" i="52" l="1"/>
  <c r="H91" i="43"/>
  <c r="J90" i="43"/>
  <c r="J91" i="43" s="1"/>
  <c r="A277" i="4"/>
  <c r="B277" i="4"/>
  <c r="C277" i="4"/>
  <c r="E80" i="43"/>
  <c r="S80" i="43"/>
  <c r="I80" i="59"/>
  <c r="J94" i="59"/>
  <c r="G78" i="43"/>
  <c r="K285" i="49"/>
  <c r="C276" i="4"/>
  <c r="B276" i="4"/>
  <c r="A276" i="4"/>
  <c r="K26" i="78"/>
  <c r="H51" i="52"/>
  <c r="J42" i="52"/>
  <c r="H54" i="96" l="1"/>
  <c r="H48" i="96"/>
  <c r="L287" i="49"/>
  <c r="L285" i="49"/>
  <c r="J51" i="52"/>
  <c r="I66" i="59"/>
  <c r="K88" i="59" s="1"/>
  <c r="I83" i="59"/>
  <c r="J100" i="59"/>
  <c r="N100" i="59" s="1"/>
  <c r="J78" i="43"/>
  <c r="G80" i="43"/>
  <c r="K287" i="49"/>
  <c r="I78" i="59"/>
  <c r="G76" i="7"/>
  <c r="H72" i="31"/>
  <c r="I11" i="59" l="1"/>
  <c r="I15" i="59" s="1"/>
  <c r="J103" i="59"/>
  <c r="I90" i="59"/>
  <c r="J80" i="43"/>
  <c r="R80" i="43"/>
  <c r="K292" i="49"/>
  <c r="L292" i="49" s="1"/>
  <c r="I92" i="59" l="1"/>
  <c r="M92" i="59" s="1"/>
  <c r="M132" i="78"/>
  <c r="M123" i="78"/>
  <c r="I100" i="59" l="1"/>
  <c r="M100" i="59" s="1"/>
  <c r="H23" i="51"/>
  <c r="I103" i="59" l="1"/>
  <c r="I112" i="78"/>
  <c r="I113" i="78" s="1"/>
  <c r="I121" i="78" s="1"/>
  <c r="F38" i="52" l="1"/>
  <c r="J38" i="52" s="1"/>
  <c r="J35" i="52"/>
  <c r="I16" i="60" l="1"/>
  <c r="M121" i="78"/>
  <c r="I29" i="60" l="1"/>
  <c r="I83" i="60" l="1"/>
  <c r="K83" i="60" s="1"/>
  <c r="I23" i="78"/>
  <c r="I92" i="60" l="1"/>
  <c r="I26" i="78"/>
  <c r="I2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Kupczak, Alicja</author>
    <author>alicja.rozanska</author>
  </authors>
  <commentList>
    <comment ref="D15" authorId="0" shapeId="0" xr:uid="{4CEA9D18-B7AB-4951-949C-20C8B405C416}">
      <text>
        <r>
          <rPr>
            <b/>
            <sz val="9"/>
            <color indexed="81"/>
            <rFont val="Tahoma"/>
            <family val="2"/>
            <charset val="238"/>
          </rPr>
          <t>Kupczak, Alicja:</t>
        </r>
        <r>
          <rPr>
            <sz val="9"/>
            <color indexed="81"/>
            <rFont val="Tahoma"/>
            <family val="2"/>
            <charset val="238"/>
          </rPr>
          <t xml:space="preserve">
jeżeli rok łamany, wpisujemy 2022/2023</t>
        </r>
      </text>
    </comment>
    <comment ref="D57" authorId="1" shapeId="0" xr:uid="{00000000-0006-0000-0900-000001000000}">
      <text>
        <r>
          <rPr>
            <b/>
            <sz val="9"/>
            <color indexed="81"/>
            <rFont val="Tahoma"/>
            <family val="2"/>
            <charset val="238"/>
          </rPr>
          <t>alicja.rozanska:</t>
        </r>
        <r>
          <rPr>
            <sz val="9"/>
            <color indexed="81"/>
            <rFont val="Tahoma"/>
            <family val="2"/>
            <charset val="238"/>
          </rPr>
          <t xml:space="preserve">
WPISZ ODPOWIEDNIĄ NAZWĘ FOLDERU W FOLDERZE KLIENTA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C309" authorId="0" shapeId="0" xr:uid="{00000000-0006-0000-2F00-000001000000}">
      <text>
        <r>
          <rPr>
            <sz val="8"/>
            <color indexed="81"/>
            <rFont val="Tahoma"/>
            <family val="2"/>
            <charset val="238"/>
          </rPr>
          <t>ujawnienia zalecane przez Krajowe Standardy Rachunkowości
Dotyczy w przypadku istotnych pozycji, np. leasingi operacyjne stanowią większość majątku operacyjnego spółki</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H72" authorId="0" shapeId="0" xr:uid="{00000000-0006-0000-1A00-000001000000}">
      <text>
        <r>
          <rPr>
            <b/>
            <sz val="8"/>
            <color indexed="81"/>
            <rFont val="Tahoma"/>
            <family val="2"/>
            <charset val="238"/>
          </rPr>
          <t>sprawdzenie zgodności z notą 2</t>
        </r>
        <r>
          <rPr>
            <sz val="8"/>
            <color indexed="81"/>
            <rFont val="Tahoma"/>
            <family val="2"/>
            <charset val="238"/>
          </rPr>
          <t xml:space="preserve">
</t>
        </r>
      </text>
    </comment>
    <comment ref="F83" authorId="0" shapeId="0" xr:uid="{00000000-0006-0000-1A00-000002000000}">
      <text>
        <r>
          <rPr>
            <b/>
            <sz val="8"/>
            <color indexed="81"/>
            <rFont val="Tahoma"/>
            <family val="2"/>
            <charset val="238"/>
          </rPr>
          <t>kontrola zgodności z wynikem netto wykazanym w bilansie</t>
        </r>
      </text>
    </comment>
    <comment ref="G83" authorId="0" shapeId="0" xr:uid="{00000000-0006-0000-1A00-000003000000}">
      <text>
        <r>
          <rPr>
            <b/>
            <sz val="8"/>
            <color indexed="81"/>
            <rFont val="Tahoma"/>
            <family val="2"/>
            <charset val="238"/>
          </rPr>
          <t>kontrola zgodności z wynikem netto wykazanym w bilansie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B4" authorId="0" shapeId="0" xr:uid="{00000000-0006-0000-2200-000001000000}">
      <text>
        <r>
          <rPr>
            <b/>
            <sz val="9"/>
            <color indexed="81"/>
            <rFont val="Tahoma"/>
            <family val="2"/>
            <charset val="238"/>
          </rPr>
          <t>alicja.rozanska:</t>
        </r>
        <r>
          <rPr>
            <sz val="9"/>
            <color indexed="81"/>
            <rFont val="Tahoma"/>
            <family val="2"/>
            <charset val="238"/>
          </rPr>
          <t xml:space="preserve">
uwaga
1. przy wpisywaniu dodatkowych tytułów zwiększeń/zmniejszeń - formatka do JPK nie aktualizuje się automatycznie - należy dopisać ręcznie w eDek pozycje
2. Proszę nie usuwać wierzy - tylko je aktualizować, inaczej formatka ulegnie uszkodzeniu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alicja.rozanska</author>
    <author>Roedl</author>
  </authors>
  <commentList>
    <comment ref="I9" authorId="0" shapeId="0" xr:uid="{00000000-0006-0000-1E00-000001000000}">
      <text>
        <r>
          <rPr>
            <b/>
            <sz val="9"/>
            <color indexed="81"/>
            <rFont val="Tahoma"/>
            <family val="2"/>
            <charset val="238"/>
          </rPr>
          <t>alicja.rozanska:</t>
        </r>
        <r>
          <rPr>
            <sz val="9"/>
            <color indexed="81"/>
            <rFont val="Tahoma"/>
            <family val="2"/>
            <charset val="238"/>
          </rPr>
          <t xml:space="preserve">
można przekleić dane z CF kalkulacja</t>
        </r>
      </text>
    </comment>
    <comment ref="J9" authorId="0" shapeId="0" xr:uid="{00000000-0006-0000-1E00-000002000000}">
      <text>
        <r>
          <rPr>
            <b/>
            <sz val="9"/>
            <color indexed="81"/>
            <rFont val="Tahoma"/>
            <family val="2"/>
            <charset val="238"/>
          </rPr>
          <t>alicja.rozanska:</t>
        </r>
        <r>
          <rPr>
            <sz val="9"/>
            <color indexed="81"/>
            <rFont val="Tahoma"/>
            <family val="2"/>
            <charset val="238"/>
          </rPr>
          <t xml:space="preserve">
wklej dane z roku ubiegłego</t>
        </r>
      </text>
    </comment>
    <comment ref="I19" authorId="1" shapeId="0" xr:uid="{00000000-0006-0000-1E00-000003000000}">
      <text>
        <r>
          <rPr>
            <sz val="8"/>
            <color indexed="81"/>
            <rFont val="Tahoma"/>
            <family val="2"/>
            <charset val="238"/>
          </rPr>
          <t xml:space="preserve">Komórka nie powiązana
</t>
        </r>
      </text>
    </comment>
    <comment ref="I22" authorId="1" shapeId="0" xr:uid="{00000000-0006-0000-1E00-000004000000}">
      <text>
        <r>
          <rPr>
            <sz val="8"/>
            <color indexed="81"/>
            <rFont val="Tahoma"/>
            <family val="2"/>
            <charset val="238"/>
          </rPr>
          <t>wzrost stanu rezerw ze znakiem (+), spadek ze znakiem (-)</t>
        </r>
      </text>
    </comment>
    <comment ref="I23" authorId="1" shapeId="0" xr:uid="{00000000-0006-0000-1E00-000005000000}">
      <text>
        <r>
          <rPr>
            <sz val="8"/>
            <color indexed="81"/>
            <rFont val="Tahoma"/>
            <family val="2"/>
            <charset val="238"/>
          </rPr>
          <t>wzrost stanu zapasów ze znakiem (-), spadek stanu zapasów ze znakiem (+)</t>
        </r>
      </text>
    </comment>
    <comment ref="I24" authorId="1" shapeId="0" xr:uid="{00000000-0006-0000-1E00-000006000000}">
      <text>
        <r>
          <rPr>
            <sz val="8"/>
            <color indexed="81"/>
            <rFont val="Tahoma"/>
            <family val="2"/>
          </rPr>
          <t>wzrost stanu nalezności ze znakiem (-), spdek stanu należności ze znakiem (+)</t>
        </r>
        <r>
          <rPr>
            <b/>
            <sz val="8"/>
            <color indexed="81"/>
            <rFont val="Tahoma"/>
            <family val="2"/>
            <charset val="238"/>
          </rPr>
          <t xml:space="preserve">
</t>
        </r>
        <r>
          <rPr>
            <sz val="8"/>
            <color indexed="81"/>
            <rFont val="Tahoma"/>
            <family val="2"/>
            <charset val="238"/>
          </rPr>
          <t xml:space="preserve">
</t>
        </r>
      </text>
    </comment>
    <comment ref="I25" authorId="1" shapeId="0" xr:uid="{00000000-0006-0000-1E00-000007000000}">
      <text>
        <r>
          <rPr>
            <sz val="8"/>
            <color indexed="81"/>
            <rFont val="Tahoma"/>
            <family val="2"/>
          </rPr>
          <t>wzrost zobowiazań ze znakiem (+), spadek stanu zobowiązań ze znakiem (-)</t>
        </r>
      </text>
    </comment>
    <comment ref="I35" authorId="1" shapeId="0" xr:uid="{00000000-0006-0000-1E00-000008000000}">
      <text>
        <r>
          <rPr>
            <b/>
            <sz val="8"/>
            <color indexed="81"/>
            <rFont val="Tahoma"/>
            <family val="2"/>
            <charset val="238"/>
          </rPr>
          <t xml:space="preserve">wpływy ze sprzedaży </t>
        </r>
      </text>
    </comment>
    <comment ref="I78" authorId="1" shapeId="0" xr:uid="{00000000-0006-0000-1E00-000009000000}">
      <text>
        <r>
          <rPr>
            <sz val="8"/>
            <color indexed="81"/>
            <rFont val="Tahoma"/>
            <family val="2"/>
          </rPr>
          <t>odsetki zapłacone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alicja.rozanska</author>
    <author>zbigniew.obara</author>
    <author>Zbigniew.Obara</author>
    <author>Suchocka, Elżbieta</author>
    <author>Kolenkiewicz, Paweł</author>
  </authors>
  <commentList>
    <comment ref="B2" authorId="0" shapeId="0" xr:uid="{00000000-0006-0000-3000-000001000000}">
      <text>
        <r>
          <rPr>
            <b/>
            <sz val="9"/>
            <color indexed="81"/>
            <rFont val="Tahoma"/>
            <family val="2"/>
            <charset val="238"/>
          </rPr>
          <t>alicja.rozanska:</t>
        </r>
        <r>
          <rPr>
            <sz val="9"/>
            <color indexed="81"/>
            <rFont val="Tahoma"/>
            <family val="2"/>
            <charset val="238"/>
          </rPr>
          <t xml:space="preserve">
do sprawdzenia formuły z tłumaczenia DE</t>
        </r>
      </text>
    </comment>
    <comment ref="C2" authorId="0" shapeId="0" xr:uid="{00000000-0006-0000-3000-000002000000}">
      <text>
        <r>
          <rPr>
            <b/>
            <sz val="9"/>
            <color indexed="81"/>
            <rFont val="Tahoma"/>
            <family val="2"/>
            <charset val="238"/>
          </rPr>
          <t>alicja.rozanska:</t>
        </r>
        <r>
          <rPr>
            <sz val="9"/>
            <color indexed="81"/>
            <rFont val="Tahoma"/>
            <family val="2"/>
            <charset val="238"/>
          </rPr>
          <t xml:space="preserve">
do sprawdzenia formuły en</t>
        </r>
      </text>
    </comment>
    <comment ref="B84" authorId="1" shapeId="0" xr:uid="{00000000-0006-0000-3000-000003000000}">
      <text>
        <r>
          <rPr>
            <sz val="11"/>
            <color theme="1"/>
            <rFont val="Calibri"/>
            <family val="2"/>
            <scheme val="minor"/>
          </rPr>
          <t>tu problem o tyle, jak bedzie oddzial</t>
        </r>
      </text>
    </comment>
    <comment ref="B210" authorId="2" shapeId="0" xr:uid="{00000000-0006-0000-3000-000004000000}">
      <text>
        <r>
          <rPr>
            <b/>
            <sz val="9"/>
            <color indexed="81"/>
            <rFont val="Tahoma"/>
            <family val="2"/>
            <charset val="238"/>
          </rPr>
          <t>Zbigniew.Obara:</t>
        </r>
        <r>
          <rPr>
            <sz val="9"/>
            <color indexed="81"/>
            <rFont val="Tahoma"/>
            <family val="2"/>
            <charset val="238"/>
          </rPr>
          <t xml:space="preserve">
Herstellung -&gt; Enstehung?</t>
        </r>
      </text>
    </comment>
    <comment ref="B215" authorId="2" shapeId="0" xr:uid="{00000000-0006-0000-3000-000005000000}">
      <text>
        <r>
          <rPr>
            <b/>
            <sz val="9"/>
            <color indexed="81"/>
            <rFont val="Tahoma"/>
            <family val="2"/>
            <charset val="238"/>
          </rPr>
          <t>Zbigniew.Obara:</t>
        </r>
        <r>
          <rPr>
            <sz val="9"/>
            <color indexed="81"/>
            <rFont val="Tahoma"/>
            <family val="2"/>
            <charset val="238"/>
          </rPr>
          <t xml:space="preserve">
j.w.</t>
        </r>
      </text>
    </comment>
    <comment ref="B1293" authorId="1" shapeId="0" xr:uid="{00000000-0006-0000-3000-000006000000}">
      <text>
        <r>
          <rPr>
            <b/>
            <sz val="9"/>
            <color indexed="81"/>
            <rFont val="Tahoma"/>
            <family val="2"/>
            <charset val="238"/>
          </rPr>
          <t>zbigniew.obara:</t>
        </r>
        <r>
          <rPr>
            <sz val="9"/>
            <color indexed="81"/>
            <rFont val="Tahoma"/>
            <family val="2"/>
            <charset val="238"/>
          </rPr>
          <t xml:space="preserve">
jest Geschäftsführung/Vorstand opcja tu i w kolejnych segmentach</t>
        </r>
      </text>
    </comment>
    <comment ref="B1671" authorId="3" shapeId="0" xr:uid="{00000000-0006-0000-3000-000007000000}">
      <text>
        <r>
          <rPr>
            <b/>
            <sz val="9"/>
            <color indexed="81"/>
            <rFont val="Tahoma"/>
            <family val="2"/>
            <charset val="238"/>
          </rPr>
          <t>Suchocka, Elżbieta:</t>
        </r>
        <r>
          <rPr>
            <sz val="9"/>
            <color indexed="81"/>
            <rFont val="Tahoma"/>
            <family val="2"/>
            <charset val="238"/>
          </rPr>
          <t xml:space="preserve">
Tu powinna być alternatywa na Geschäftsführer i Vorstandsmitglied</t>
        </r>
      </text>
    </comment>
    <comment ref="B1672" authorId="3" shapeId="0" xr:uid="{00000000-0006-0000-3000-000008000000}">
      <text>
        <r>
          <rPr>
            <b/>
            <sz val="9"/>
            <color indexed="81"/>
            <rFont val="Tahoma"/>
            <family val="2"/>
            <charset val="238"/>
          </rPr>
          <t>Suchocka, Elżbieta:</t>
        </r>
        <r>
          <rPr>
            <sz val="9"/>
            <color indexed="81"/>
            <rFont val="Tahoma"/>
            <family val="2"/>
            <charset val="238"/>
          </rPr>
          <t xml:space="preserve">
Tu również alternatywa na Geschäftsführung und Vorstand</t>
        </r>
      </text>
    </comment>
    <comment ref="A1751" authorId="4" shapeId="0" xr:uid="{00000000-0006-0000-3000-000009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 ref="A1767" authorId="4" shapeId="0" xr:uid="{00000000-0006-0000-3000-00000A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B11" authorId="0" shapeId="0" xr:uid="{00000000-0006-0000-1100-000001000000}">
      <text>
        <r>
          <rPr>
            <b/>
            <sz val="8"/>
            <color indexed="81"/>
            <rFont val="Tahoma"/>
            <family val="2"/>
            <charset val="238"/>
          </rPr>
          <t>sprawdzenie zgodności z notą 1.1.a</t>
        </r>
      </text>
    </comment>
    <comment ref="C11" authorId="0" shapeId="0" xr:uid="{00000000-0006-0000-1100-000002000000}">
      <text>
        <r>
          <rPr>
            <b/>
            <sz val="8"/>
            <color indexed="81"/>
            <rFont val="Tahoma"/>
            <family val="2"/>
            <charset val="238"/>
          </rPr>
          <t>sprawdzenie zgodności z notą 1.1.a</t>
        </r>
      </text>
    </comment>
    <comment ref="B13" authorId="0" shapeId="0" xr:uid="{00000000-0006-0000-1100-000003000000}">
      <text>
        <r>
          <rPr>
            <b/>
            <sz val="8"/>
            <color indexed="81"/>
            <rFont val="Tahoma"/>
            <family val="2"/>
            <charset val="238"/>
          </rPr>
          <t>sprawdzenie zgodności z notą 1.1.a</t>
        </r>
        <r>
          <rPr>
            <sz val="8"/>
            <color indexed="81"/>
            <rFont val="Tahoma"/>
            <family val="2"/>
            <charset val="238"/>
          </rPr>
          <t xml:space="preserve">
</t>
        </r>
      </text>
    </comment>
    <comment ref="C13" authorId="0" shapeId="0" xr:uid="{00000000-0006-0000-1100-000004000000}">
      <text>
        <r>
          <rPr>
            <b/>
            <sz val="8"/>
            <color indexed="81"/>
            <rFont val="Tahoma"/>
            <family val="2"/>
            <charset val="238"/>
          </rPr>
          <t>sprawdzenie zgodności z notą 1.1.a</t>
        </r>
      </text>
    </comment>
    <comment ref="B14" authorId="0" shapeId="0" xr:uid="{00000000-0006-0000-1100-000005000000}">
      <text>
        <r>
          <rPr>
            <b/>
            <sz val="8"/>
            <color indexed="81"/>
            <rFont val="Tahoma"/>
            <family val="2"/>
            <charset val="238"/>
          </rPr>
          <t>sprawdzenie zgodności z notą 1.1.a</t>
        </r>
      </text>
    </comment>
    <comment ref="C14" authorId="0" shapeId="0" xr:uid="{00000000-0006-0000-1100-000006000000}">
      <text>
        <r>
          <rPr>
            <b/>
            <sz val="8"/>
            <color indexed="81"/>
            <rFont val="Tahoma"/>
            <family val="2"/>
            <charset val="238"/>
          </rPr>
          <t>sprawdzenie zgodności z notą 1.1.a</t>
        </r>
      </text>
    </comment>
    <comment ref="B15" authorId="0" shapeId="0" xr:uid="{00000000-0006-0000-1100-000007000000}">
      <text>
        <r>
          <rPr>
            <b/>
            <sz val="8"/>
            <color indexed="81"/>
            <rFont val="Tahoma"/>
            <family val="2"/>
            <charset val="238"/>
          </rPr>
          <t>sprawdzenie zgodności z notą 1.1.a</t>
        </r>
      </text>
    </comment>
    <comment ref="C15" authorId="0" shapeId="0" xr:uid="{00000000-0006-0000-1100-000008000000}">
      <text>
        <r>
          <rPr>
            <b/>
            <sz val="8"/>
            <color indexed="81"/>
            <rFont val="Tahoma"/>
            <family val="2"/>
            <charset val="238"/>
          </rPr>
          <t>sprawdzenie zgodności z notą 1.1.a</t>
        </r>
      </text>
    </comment>
    <comment ref="B16" authorId="0" shapeId="0" xr:uid="{00000000-0006-0000-1100-000009000000}">
      <text>
        <r>
          <rPr>
            <b/>
            <sz val="8"/>
            <color indexed="81"/>
            <rFont val="Tahoma"/>
            <family val="2"/>
            <charset val="238"/>
          </rPr>
          <t>sprawdzenie zgodności z notą 1.1.a</t>
        </r>
      </text>
    </comment>
    <comment ref="C16" authorId="0" shapeId="0" xr:uid="{00000000-0006-0000-1100-00000A000000}">
      <text>
        <r>
          <rPr>
            <b/>
            <sz val="8"/>
            <color indexed="81"/>
            <rFont val="Tahoma"/>
            <family val="2"/>
            <charset val="238"/>
          </rPr>
          <t>sprawdzenie zgodności z notą 1.1.a</t>
        </r>
      </text>
    </comment>
    <comment ref="B18" authorId="0" shapeId="0" xr:uid="{00000000-0006-0000-1100-00000B000000}">
      <text>
        <r>
          <rPr>
            <b/>
            <sz val="8"/>
            <color indexed="81"/>
            <rFont val="Tahoma"/>
            <family val="2"/>
            <charset val="238"/>
          </rPr>
          <t>sprawdzenie zgodności z notą 1.1.b</t>
        </r>
      </text>
    </comment>
    <comment ref="C18" authorId="0" shapeId="0" xr:uid="{00000000-0006-0000-1100-00000C000000}">
      <text>
        <r>
          <rPr>
            <b/>
            <sz val="8"/>
            <color indexed="81"/>
            <rFont val="Tahoma"/>
            <family val="2"/>
            <charset val="238"/>
          </rPr>
          <t>sprawdzenie zgodności z notą 1.1.b</t>
        </r>
      </text>
    </comment>
    <comment ref="U20" authorId="0" shapeId="0" xr:uid="{00000000-0006-0000-1100-00000D000000}">
      <text>
        <r>
          <rPr>
            <b/>
            <sz val="8"/>
            <color indexed="81"/>
            <rFont val="Tahoma"/>
            <family val="2"/>
            <charset val="238"/>
          </rPr>
          <t>kontrola zgodności wyniku netto z wykazanym w rachunku zysków i strat</t>
        </r>
      </text>
    </comment>
    <comment ref="V20" authorId="0" shapeId="0" xr:uid="{00000000-0006-0000-1100-00000E000000}">
      <text>
        <r>
          <rPr>
            <b/>
            <sz val="8"/>
            <color indexed="81"/>
            <rFont val="Tahoma"/>
            <family val="2"/>
            <charset val="238"/>
          </rPr>
          <t>kontrola zgodności wyniku netto z wykazanym w rachunku zysków i strat</t>
        </r>
      </text>
    </comment>
    <comment ref="B21" authorId="0" shapeId="0" xr:uid="{00000000-0006-0000-1100-00000F000000}">
      <text>
        <r>
          <rPr>
            <b/>
            <sz val="8"/>
            <color indexed="81"/>
            <rFont val="Tahoma"/>
            <family val="2"/>
            <charset val="238"/>
          </rPr>
          <t>sprawdzenie zgodności z notą 1.1.b</t>
        </r>
      </text>
    </comment>
    <comment ref="C21" authorId="0" shapeId="0" xr:uid="{00000000-0006-0000-1100-000010000000}">
      <text>
        <r>
          <rPr>
            <b/>
            <sz val="8"/>
            <color indexed="81"/>
            <rFont val="Tahoma"/>
            <family val="2"/>
            <charset val="238"/>
          </rPr>
          <t>sprawdzenie zgodności z notą 1.1.b</t>
        </r>
      </text>
    </comment>
    <comment ref="B22" authorId="0" shapeId="0" xr:uid="{00000000-0006-0000-1100-000011000000}">
      <text>
        <r>
          <rPr>
            <b/>
            <sz val="8"/>
            <color indexed="81"/>
            <rFont val="Tahoma"/>
            <family val="2"/>
            <charset val="238"/>
          </rPr>
          <t>sprawdzenie zgodności z notą 1.1.b</t>
        </r>
      </text>
    </comment>
    <comment ref="C22" authorId="0" shapeId="0" xr:uid="{00000000-0006-0000-1100-000012000000}">
      <text>
        <r>
          <rPr>
            <b/>
            <sz val="8"/>
            <color indexed="81"/>
            <rFont val="Tahoma"/>
            <family val="2"/>
            <charset val="238"/>
          </rPr>
          <t>sprawdzenie zgodności z notą 1.1.b</t>
        </r>
      </text>
    </comment>
    <comment ref="B23" authorId="0" shapeId="0" xr:uid="{00000000-0006-0000-1100-000013000000}">
      <text>
        <r>
          <rPr>
            <b/>
            <sz val="8"/>
            <color indexed="81"/>
            <rFont val="Tahoma"/>
            <family val="2"/>
            <charset val="238"/>
          </rPr>
          <t>sprawdzenie zgodności z notą 1.1.b</t>
        </r>
      </text>
    </comment>
    <comment ref="C23" authorId="0" shapeId="0" xr:uid="{00000000-0006-0000-1100-000014000000}">
      <text>
        <r>
          <rPr>
            <b/>
            <sz val="8"/>
            <color indexed="81"/>
            <rFont val="Tahoma"/>
            <family val="2"/>
            <charset val="238"/>
          </rPr>
          <t>sprawdzenie zgodności z notą 1.1.b</t>
        </r>
      </text>
    </comment>
    <comment ref="B24" authorId="0" shapeId="0" xr:uid="{00000000-0006-0000-1100-000015000000}">
      <text>
        <r>
          <rPr>
            <b/>
            <sz val="8"/>
            <color indexed="81"/>
            <rFont val="Tahoma"/>
            <family val="2"/>
            <charset val="238"/>
          </rPr>
          <t>sprawdzenie zgodności z notą 1.1.b</t>
        </r>
      </text>
    </comment>
    <comment ref="C24" authorId="0" shapeId="0" xr:uid="{00000000-0006-0000-1100-000016000000}">
      <text>
        <r>
          <rPr>
            <b/>
            <sz val="8"/>
            <color indexed="81"/>
            <rFont val="Tahoma"/>
            <family val="2"/>
            <charset val="238"/>
          </rPr>
          <t>sprawdzenie zgodności z notą 1.1.b</t>
        </r>
      </text>
    </comment>
    <comment ref="B25" authorId="0" shapeId="0" xr:uid="{00000000-0006-0000-1100-000017000000}">
      <text>
        <r>
          <rPr>
            <b/>
            <sz val="8"/>
            <color indexed="81"/>
            <rFont val="Tahoma"/>
            <family val="2"/>
            <charset val="238"/>
          </rPr>
          <t>sprawdzenie zgodności z notą 1.1.b</t>
        </r>
      </text>
    </comment>
    <comment ref="C25" authorId="0" shapeId="0" xr:uid="{00000000-0006-0000-1100-000018000000}">
      <text>
        <r>
          <rPr>
            <b/>
            <sz val="8"/>
            <color indexed="81"/>
            <rFont val="Tahoma"/>
            <family val="2"/>
            <charset val="238"/>
          </rPr>
          <t>sprawdzenie zgodności z notą 1.1.b</t>
        </r>
      </text>
    </comment>
    <comment ref="B28" authorId="0" shapeId="0" xr:uid="{00000000-0006-0000-1100-00001B000000}">
      <text>
        <r>
          <rPr>
            <b/>
            <sz val="8"/>
            <color indexed="81"/>
            <rFont val="Tahoma"/>
            <family val="2"/>
            <charset val="238"/>
          </rPr>
          <t>sprawdzenie zgodności z notą 1.1.b</t>
        </r>
      </text>
    </comment>
    <comment ref="C28" authorId="0" shapeId="0" xr:uid="{00000000-0006-0000-1100-00001C000000}">
      <text>
        <r>
          <rPr>
            <b/>
            <sz val="8"/>
            <color indexed="81"/>
            <rFont val="Tahoma"/>
            <family val="2"/>
            <charset val="238"/>
          </rPr>
          <t>sprawdzenie zgodności z notą 1.1.b</t>
        </r>
      </text>
    </comment>
    <comment ref="U28" authorId="0" shapeId="0" xr:uid="{00000000-0006-0000-1100-000019000000}">
      <text>
        <r>
          <rPr>
            <b/>
            <sz val="8"/>
            <color indexed="81"/>
            <rFont val="Tahoma"/>
            <family val="2"/>
            <charset val="238"/>
          </rPr>
          <t>sprawdzenie zgodności z notą 1.8</t>
        </r>
      </text>
    </comment>
    <comment ref="V28" authorId="0" shapeId="0" xr:uid="{00000000-0006-0000-1100-00001A000000}">
      <text>
        <r>
          <rPr>
            <b/>
            <sz val="8"/>
            <color indexed="81"/>
            <rFont val="Tahoma"/>
            <family val="2"/>
            <charset val="238"/>
          </rPr>
          <t>sprawdzenie zgodności z notą 1.8</t>
        </r>
      </text>
    </comment>
    <comment ref="B29" authorId="0" shapeId="0" xr:uid="{00000000-0006-0000-1100-00001D000000}">
      <text>
        <r>
          <rPr>
            <b/>
            <sz val="8"/>
            <color indexed="81"/>
            <rFont val="Tahoma"/>
            <family val="2"/>
            <charset val="238"/>
          </rPr>
          <t>sprawdzenie zgodności z notą 1.1.b</t>
        </r>
      </text>
    </comment>
    <comment ref="C29" authorId="0" shapeId="0" xr:uid="{00000000-0006-0000-1100-00001E000000}">
      <text>
        <r>
          <rPr>
            <b/>
            <sz val="8"/>
            <color indexed="81"/>
            <rFont val="Tahoma"/>
            <family val="2"/>
            <charset val="238"/>
          </rPr>
          <t>sprawdzenie zgodności z notą 1.1.b</t>
        </r>
      </text>
    </comment>
    <comment ref="B37" authorId="0" shapeId="0" xr:uid="{00000000-0006-0000-1100-00001F000000}">
      <text>
        <r>
          <rPr>
            <b/>
            <sz val="8"/>
            <color indexed="81"/>
            <rFont val="Tahoma"/>
            <family val="2"/>
            <charset val="238"/>
          </rPr>
          <t>sprawdzenie zgodności z notą 1.1.c</t>
        </r>
      </text>
    </comment>
    <comment ref="C37" authorId="0" shapeId="0" xr:uid="{00000000-0006-0000-1100-000020000000}">
      <text>
        <r>
          <rPr>
            <b/>
            <sz val="8"/>
            <color indexed="81"/>
            <rFont val="Tahoma"/>
            <family val="2"/>
            <charset val="238"/>
          </rPr>
          <t>sprawdzenie zgodności z notą 1.1.c</t>
        </r>
      </text>
    </comment>
    <comment ref="B39" authorId="0" shapeId="0" xr:uid="{00000000-0006-0000-1100-000021000000}">
      <text>
        <r>
          <rPr>
            <b/>
            <sz val="8"/>
            <color indexed="81"/>
            <rFont val="Tahoma"/>
            <family val="2"/>
            <charset val="238"/>
          </rPr>
          <t>sprawdzenie zgodności z notą 1.1.c</t>
        </r>
      </text>
    </comment>
    <comment ref="C39" authorId="0" shapeId="0" xr:uid="{00000000-0006-0000-1100-000022000000}">
      <text>
        <r>
          <rPr>
            <b/>
            <sz val="8"/>
            <color indexed="81"/>
            <rFont val="Tahoma"/>
            <family val="2"/>
            <charset val="238"/>
          </rPr>
          <t>sprawdzenie zgodności z notą 1.1.c</t>
        </r>
      </text>
    </comment>
    <comment ref="B40" authorId="0" shapeId="0" xr:uid="{00000000-0006-0000-1100-000023000000}">
      <text>
        <r>
          <rPr>
            <b/>
            <sz val="8"/>
            <color indexed="81"/>
            <rFont val="Tahoma"/>
            <family val="2"/>
            <charset val="238"/>
          </rPr>
          <t>sprawdzenie zgodności z notą 1.1.c</t>
        </r>
      </text>
    </comment>
    <comment ref="C40" authorId="0" shapeId="0" xr:uid="{00000000-0006-0000-1100-000024000000}">
      <text>
        <r>
          <rPr>
            <b/>
            <sz val="8"/>
            <color indexed="81"/>
            <rFont val="Tahoma"/>
            <family val="2"/>
            <charset val="238"/>
          </rPr>
          <t>sprawdzenie zgodności z notą 1.1.c</t>
        </r>
      </text>
    </comment>
    <comment ref="B41" authorId="0" shapeId="0" xr:uid="{00000000-0006-0000-1100-000025000000}">
      <text>
        <r>
          <rPr>
            <b/>
            <sz val="8"/>
            <color indexed="81"/>
            <rFont val="Tahoma"/>
            <family val="2"/>
            <charset val="238"/>
          </rPr>
          <t>sprawdzenie zgodności z notą 1.1.c</t>
        </r>
      </text>
    </comment>
    <comment ref="C41" authorId="0" shapeId="0" xr:uid="{00000000-0006-0000-1100-000026000000}">
      <text>
        <r>
          <rPr>
            <b/>
            <sz val="8"/>
            <color indexed="81"/>
            <rFont val="Tahoma"/>
            <family val="2"/>
            <charset val="238"/>
          </rPr>
          <t>sprawdzenie zgodności z notą 1.1.c</t>
        </r>
      </text>
    </comment>
    <comment ref="U43" authorId="0" shapeId="0" xr:uid="{00000000-0006-0000-1100-000027000000}">
      <text>
        <r>
          <rPr>
            <b/>
            <sz val="8"/>
            <color indexed="81"/>
            <rFont val="Tahoma"/>
            <family val="2"/>
            <charset val="238"/>
          </rPr>
          <t>sprawdzenie zgodności z notą 1.10</t>
        </r>
      </text>
    </comment>
    <comment ref="U52" authorId="0" shapeId="0" xr:uid="{00000000-0006-0000-1100-000028000000}">
      <text>
        <r>
          <rPr>
            <b/>
            <sz val="8"/>
            <color indexed="81"/>
            <rFont val="Tahoma"/>
            <family val="2"/>
            <charset val="238"/>
          </rPr>
          <t>sprawdzenie zgodności z notą 1.10</t>
        </r>
      </text>
    </comment>
    <comment ref="B61" authorId="0" shapeId="0" xr:uid="{00000000-0006-0000-1100-000029000000}">
      <text>
        <r>
          <rPr>
            <b/>
            <sz val="8"/>
            <color indexed="81"/>
            <rFont val="Tahoma"/>
            <family val="2"/>
            <charset val="238"/>
          </rPr>
          <t>sprawdzenie zgodności z notą 1.1.c</t>
        </r>
      </text>
    </comment>
    <comment ref="C61" authorId="0" shapeId="0" xr:uid="{00000000-0006-0000-1100-00002A000000}">
      <text>
        <r>
          <rPr>
            <b/>
            <sz val="8"/>
            <color indexed="81"/>
            <rFont val="Tahoma"/>
            <family val="2"/>
            <charset val="238"/>
          </rPr>
          <t>sprawdzenie zgodności z notą 1.1.c</t>
        </r>
      </text>
    </comment>
    <comment ref="B63" authorId="0" shapeId="0" xr:uid="{00000000-0006-0000-1100-00002B000000}">
      <text>
        <r>
          <rPr>
            <b/>
            <sz val="8"/>
            <color indexed="81"/>
            <rFont val="Tahoma"/>
            <family val="2"/>
            <charset val="238"/>
          </rPr>
          <t>sprawdzenie zgodności z notą 1.11</t>
        </r>
      </text>
    </comment>
    <comment ref="U92" authorId="0" shapeId="0" xr:uid="{00000000-0006-0000-1100-00002C000000}">
      <text>
        <r>
          <rPr>
            <b/>
            <sz val="8"/>
            <color indexed="81"/>
            <rFont val="Tahoma"/>
            <family val="2"/>
            <charset val="238"/>
          </rPr>
          <t>sprawdzenie zgodności z notą 1.11</t>
        </r>
      </text>
    </comment>
    <comment ref="B111" authorId="0" shapeId="0" xr:uid="{00000000-0006-0000-1100-00002D000000}">
      <text>
        <r>
          <rPr>
            <b/>
            <sz val="8"/>
            <color indexed="81"/>
            <rFont val="Tahoma"/>
            <family val="2"/>
            <charset val="238"/>
          </rPr>
          <t>sprawdzenie zgodności z notą 1.11</t>
        </r>
      </text>
    </comment>
    <comment ref="J144" authorId="0" shapeId="0" xr:uid="{00000000-0006-0000-1100-00002E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K144" authorId="0" shapeId="0" xr:uid="{00000000-0006-0000-1100-00002F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 ref="S144" authorId="0" shapeId="0" xr:uid="{00000000-0006-0000-1100-000030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T144" authorId="0" shapeId="0" xr:uid="{00000000-0006-0000-1100-000031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alicja.rozanska</author>
    <author>KasiaK</author>
    <author>krzysztof.stajkowski</author>
  </authors>
  <commentList>
    <comment ref="F9" authorId="0" shapeId="0" xr:uid="{00000000-0006-0000-1700-000001000000}">
      <text>
        <r>
          <rPr>
            <b/>
            <sz val="9"/>
            <color indexed="81"/>
            <rFont val="Tahoma"/>
            <family val="2"/>
            <charset val="238"/>
          </rPr>
          <t>alicja.rozanska:</t>
        </r>
        <r>
          <rPr>
            <sz val="9"/>
            <color indexed="81"/>
            <rFont val="Tahoma"/>
            <family val="2"/>
            <charset val="238"/>
          </rPr>
          <t xml:space="preserve">
skopiuj dane z RZIS z roku ubiegłego</t>
        </r>
      </text>
    </comment>
    <comment ref="G76" authorId="1" shapeId="0" xr:uid="{00000000-0006-0000-1700-000002000000}">
      <text>
        <r>
          <rPr>
            <b/>
            <sz val="8"/>
            <color indexed="81"/>
            <rFont val="Tahoma"/>
            <family val="2"/>
            <charset val="238"/>
          </rPr>
          <t>sprawdzenie zgodności z notą 2</t>
        </r>
        <r>
          <rPr>
            <sz val="8"/>
            <color indexed="81"/>
            <rFont val="Tahoma"/>
            <family val="2"/>
            <charset val="238"/>
          </rPr>
          <t xml:space="preserve">
</t>
        </r>
      </text>
    </comment>
    <comment ref="G81" authorId="2" shapeId="0" xr:uid="{00000000-0006-0000-1700-000003000000}">
      <text>
        <r>
          <rPr>
            <b/>
            <sz val="9"/>
            <color indexed="81"/>
            <rFont val="Tahoma"/>
            <family val="2"/>
            <charset val="238"/>
          </rPr>
          <t>W komórce obok dodana jest wartość +0,0001 aby nie wystąpił błąd duplikatu w Power BI</t>
        </r>
      </text>
    </comment>
    <comment ref="E87" authorId="1" shapeId="0" xr:uid="{00000000-0006-0000-1700-000004000000}">
      <text>
        <r>
          <rPr>
            <b/>
            <sz val="8"/>
            <color indexed="81"/>
            <rFont val="Tahoma"/>
            <family val="2"/>
            <charset val="238"/>
          </rPr>
          <t>kontrola zgodności z wynikem netto wykazanym w bilansie</t>
        </r>
      </text>
    </comment>
    <comment ref="F87" authorId="1" shapeId="0" xr:uid="{00000000-0006-0000-1700-000005000000}">
      <text>
        <r>
          <rPr>
            <b/>
            <sz val="8"/>
            <color indexed="81"/>
            <rFont val="Tahoma"/>
            <family val="2"/>
            <charset val="238"/>
          </rPr>
          <t>kontrola zgodności z wynikem netto wykazanym w bilansie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s>
  <commentList>
    <comment ref="E13" authorId="0" shapeId="0" xr:uid="{00000000-0006-0000-2400-00000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2" authorId="0" shapeId="0" xr:uid="{00000000-0006-0000-2400-000002000000}">
      <text>
        <r>
          <rPr>
            <b/>
            <sz val="8"/>
            <color indexed="81"/>
            <rFont val="Tahoma"/>
            <family val="2"/>
            <charset val="238"/>
          </rPr>
          <t>przeksięgowania zmniejszające należy wpisać ze znakiem ujemnym</t>
        </r>
      </text>
    </comment>
    <comment ref="H33" authorId="0" shapeId="0" xr:uid="{00000000-0006-0000-2400-000003000000}">
      <text>
        <r>
          <rPr>
            <b/>
            <sz val="8"/>
            <color indexed="81"/>
            <rFont val="Tahoma"/>
            <family val="2"/>
            <charset val="238"/>
          </rPr>
          <t>sprawdzenie zgodności z pozycjami bilansu</t>
        </r>
      </text>
    </comment>
    <comment ref="I33" authorId="0" shapeId="0" xr:uid="{00000000-0006-0000-2400-000004000000}">
      <text>
        <r>
          <rPr>
            <b/>
            <sz val="8"/>
            <color indexed="81"/>
            <rFont val="Tahoma"/>
            <family val="2"/>
            <charset val="238"/>
          </rPr>
          <t>sprawdzenie zgodności z pozycjami bilansu</t>
        </r>
        <r>
          <rPr>
            <sz val="8"/>
            <color indexed="81"/>
            <rFont val="Tahoma"/>
            <family val="2"/>
            <charset val="238"/>
          </rPr>
          <t xml:space="preserve">
</t>
        </r>
      </text>
    </comment>
    <comment ref="H34" authorId="0" shapeId="0" xr:uid="{00000000-0006-0000-2400-000005000000}">
      <text>
        <r>
          <rPr>
            <b/>
            <sz val="8"/>
            <color indexed="81"/>
            <rFont val="Tahoma"/>
            <family val="2"/>
            <charset val="238"/>
          </rPr>
          <t>sprawdzenie zgodności z pozycjami bilansu:</t>
        </r>
        <r>
          <rPr>
            <sz val="8"/>
            <color indexed="81"/>
            <rFont val="Tahoma"/>
            <family val="2"/>
            <charset val="238"/>
          </rPr>
          <t xml:space="preserve">
</t>
        </r>
      </text>
    </comment>
    <comment ref="I34" authorId="0" shapeId="0" xr:uid="{00000000-0006-0000-2400-000006000000}">
      <text>
        <r>
          <rPr>
            <b/>
            <sz val="8"/>
            <color indexed="81"/>
            <rFont val="Tahoma"/>
            <family val="2"/>
            <charset val="238"/>
          </rPr>
          <t>sprawdzenie zgodności z pozycjami bilansu</t>
        </r>
        <r>
          <rPr>
            <sz val="8"/>
            <color indexed="81"/>
            <rFont val="Tahoma"/>
            <family val="2"/>
            <charset val="238"/>
          </rPr>
          <t xml:space="preserve">
</t>
        </r>
      </text>
    </comment>
    <comment ref="H35" authorId="0" shapeId="0" xr:uid="{00000000-0006-0000-2400-000007000000}">
      <text>
        <r>
          <rPr>
            <b/>
            <sz val="8"/>
            <color indexed="81"/>
            <rFont val="Tahoma"/>
            <family val="2"/>
            <charset val="238"/>
          </rPr>
          <t>sprawdzenie zgodności z pozycjami bilansu</t>
        </r>
        <r>
          <rPr>
            <sz val="8"/>
            <color indexed="81"/>
            <rFont val="Tahoma"/>
            <family val="2"/>
            <charset val="238"/>
          </rPr>
          <t xml:space="preserve">
</t>
        </r>
      </text>
    </comment>
    <comment ref="I35" authorId="0" shapeId="0" xr:uid="{00000000-0006-0000-2400-000008000000}">
      <text>
        <r>
          <rPr>
            <b/>
            <sz val="8"/>
            <color indexed="81"/>
            <rFont val="Tahoma"/>
            <family val="2"/>
            <charset val="238"/>
          </rPr>
          <t>sprawdzenie zgodności z pozycjami bilansu</t>
        </r>
        <r>
          <rPr>
            <sz val="8"/>
            <color indexed="81"/>
            <rFont val="Tahoma"/>
            <family val="2"/>
            <charset val="238"/>
          </rPr>
          <t xml:space="preserve">
</t>
        </r>
      </text>
    </comment>
    <comment ref="H36" authorId="0" shapeId="0" xr:uid="{00000000-0006-0000-2400-000009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400-00000A000000}">
      <text>
        <r>
          <rPr>
            <b/>
            <sz val="8"/>
            <color indexed="81"/>
            <rFont val="Tahoma"/>
            <family val="2"/>
            <charset val="238"/>
          </rPr>
          <t>sprawdzenie zgodności z pozycjami bilansu</t>
        </r>
        <r>
          <rPr>
            <sz val="8"/>
            <color indexed="81"/>
            <rFont val="Tahoma"/>
            <family val="2"/>
            <charset val="238"/>
          </rPr>
          <t xml:space="preserve">
</t>
        </r>
      </text>
    </comment>
    <comment ref="H37" authorId="0" shapeId="0" xr:uid="{00000000-0006-0000-2400-00000B000000}">
      <text>
        <r>
          <rPr>
            <b/>
            <sz val="8"/>
            <color indexed="81"/>
            <rFont val="Tahoma"/>
            <family val="2"/>
            <charset val="238"/>
          </rPr>
          <t>sprawdzenie zgodności z pozycjami bilansu</t>
        </r>
        <r>
          <rPr>
            <sz val="8"/>
            <color indexed="81"/>
            <rFont val="Tahoma"/>
            <family val="2"/>
            <charset val="238"/>
          </rPr>
          <t xml:space="preserve">
</t>
        </r>
      </text>
    </comment>
    <comment ref="I37" authorId="0" shapeId="0" xr:uid="{00000000-0006-0000-2400-00000C000000}">
      <text>
        <r>
          <rPr>
            <b/>
            <sz val="8"/>
            <color indexed="81"/>
            <rFont val="Tahoma"/>
            <family val="2"/>
            <charset val="238"/>
          </rPr>
          <t>sprawdzenie zgodności z pozycjami bilansu</t>
        </r>
        <r>
          <rPr>
            <sz val="8"/>
            <color indexed="81"/>
            <rFont val="Tahoma"/>
            <family val="2"/>
            <charset val="238"/>
          </rPr>
          <t xml:space="preserve">
</t>
        </r>
      </text>
    </comment>
    <comment ref="E44" authorId="0" shapeId="0" xr:uid="{00000000-0006-0000-2400-00000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53" authorId="0" shapeId="0" xr:uid="{00000000-0006-0000-2400-00000E000000}">
      <text>
        <r>
          <rPr>
            <b/>
            <sz val="8"/>
            <color indexed="81"/>
            <rFont val="Tahoma"/>
            <family val="2"/>
            <charset val="238"/>
          </rPr>
          <t>przeksięgowania zmniejszające należy wpisać ze znakiem ujemnym</t>
        </r>
      </text>
    </comment>
    <comment ref="H64" authorId="0" shapeId="0" xr:uid="{00000000-0006-0000-2400-00000F000000}">
      <text>
        <r>
          <rPr>
            <b/>
            <sz val="8"/>
            <color indexed="81"/>
            <rFont val="Tahoma"/>
            <family val="2"/>
            <charset val="238"/>
          </rPr>
          <t>sprawdzenie zgodności z pozycjami bilansu</t>
        </r>
        <r>
          <rPr>
            <sz val="8"/>
            <color indexed="81"/>
            <rFont val="Tahoma"/>
            <family val="2"/>
            <charset val="238"/>
          </rPr>
          <t xml:space="preserve">
</t>
        </r>
      </text>
    </comment>
    <comment ref="H65" authorId="0" shapeId="0" xr:uid="{00000000-0006-0000-2400-000010000000}">
      <text>
        <r>
          <rPr>
            <b/>
            <sz val="8"/>
            <color indexed="81"/>
            <rFont val="Tahoma"/>
            <family val="2"/>
            <charset val="238"/>
          </rPr>
          <t>sprawdzenie zgodności z pozycjami bilansu</t>
        </r>
        <r>
          <rPr>
            <sz val="8"/>
            <color indexed="81"/>
            <rFont val="Tahoma"/>
            <family val="2"/>
            <charset val="238"/>
          </rPr>
          <t xml:space="preserve">
</t>
        </r>
      </text>
    </comment>
    <comment ref="H66" authorId="0" shapeId="0" xr:uid="{00000000-0006-0000-2400-000011000000}">
      <text>
        <r>
          <rPr>
            <b/>
            <sz val="8"/>
            <color indexed="81"/>
            <rFont val="Tahoma"/>
            <family val="2"/>
            <charset val="238"/>
          </rPr>
          <t>sprawdzenie zgodności z pozycjami bilansu</t>
        </r>
        <r>
          <rPr>
            <sz val="8"/>
            <color indexed="81"/>
            <rFont val="Tahoma"/>
            <family val="2"/>
            <charset val="238"/>
          </rPr>
          <t xml:space="preserve">
</t>
        </r>
      </text>
    </comment>
    <comment ref="H67" authorId="0" shapeId="0" xr:uid="{00000000-0006-0000-2400-000012000000}">
      <text>
        <r>
          <rPr>
            <b/>
            <sz val="8"/>
            <color indexed="81"/>
            <rFont val="Tahoma"/>
            <family val="2"/>
            <charset val="238"/>
          </rPr>
          <t>sprawdzenie zgodności z pozycjami bilansu</t>
        </r>
        <r>
          <rPr>
            <sz val="8"/>
            <color indexed="81"/>
            <rFont val="Tahoma"/>
            <family val="2"/>
            <charset val="238"/>
          </rPr>
          <t xml:space="preserve">
</t>
        </r>
      </text>
    </comment>
    <comment ref="H68" authorId="0" shapeId="0" xr:uid="{00000000-0006-0000-2400-000013000000}">
      <text>
        <r>
          <rPr>
            <b/>
            <sz val="8"/>
            <color indexed="81"/>
            <rFont val="Tahoma"/>
            <family val="2"/>
            <charset val="238"/>
          </rPr>
          <t>sprawdzenie zgodności z pozycjami bilansu</t>
        </r>
        <r>
          <rPr>
            <sz val="8"/>
            <color indexed="81"/>
            <rFont val="Tahoma"/>
            <family val="2"/>
            <charset val="238"/>
          </rPr>
          <t xml:space="preserve">
</t>
        </r>
      </text>
    </comment>
    <comment ref="E77" authorId="0" shapeId="0" xr:uid="{00000000-0006-0000-2400-000014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89" authorId="0" shapeId="0" xr:uid="{00000000-0006-0000-2400-000015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06" authorId="0" shapeId="0" xr:uid="{00000000-0006-0000-2400-000016000000}">
      <text>
        <r>
          <rPr>
            <b/>
            <sz val="8"/>
            <color indexed="81"/>
            <rFont val="Tahoma"/>
            <family val="2"/>
            <charset val="238"/>
          </rPr>
          <t>sprawdzenie zgodności z pozycjami bilansu</t>
        </r>
      </text>
    </comment>
    <comment ref="I106" authorId="0" shapeId="0" xr:uid="{00000000-0006-0000-2400-000017000000}">
      <text>
        <r>
          <rPr>
            <b/>
            <sz val="8"/>
            <color indexed="81"/>
            <rFont val="Tahoma"/>
            <family val="2"/>
            <charset val="238"/>
          </rPr>
          <t>sprawdzenie zgodności z pozycjami bilansu</t>
        </r>
      </text>
    </comment>
    <comment ref="H107" authorId="0" shapeId="0" xr:uid="{00000000-0006-0000-2400-000018000000}">
      <text>
        <r>
          <rPr>
            <b/>
            <sz val="8"/>
            <color indexed="81"/>
            <rFont val="Tahoma"/>
            <family val="2"/>
            <charset val="238"/>
          </rPr>
          <t>sprawdzenie zgodności z pozycjami bilansu</t>
        </r>
      </text>
    </comment>
    <comment ref="I107" authorId="0" shapeId="0" xr:uid="{00000000-0006-0000-2400-000019000000}">
      <text>
        <r>
          <rPr>
            <b/>
            <sz val="8"/>
            <color indexed="81"/>
            <rFont val="Tahoma"/>
            <family val="2"/>
            <charset val="238"/>
          </rPr>
          <t>sprawdzenie zgodności z pozycjami bilansu</t>
        </r>
      </text>
    </comment>
    <comment ref="H108" authorId="0" shapeId="0" xr:uid="{00000000-0006-0000-2400-00001A000000}">
      <text>
        <r>
          <rPr>
            <b/>
            <sz val="8"/>
            <color indexed="81"/>
            <rFont val="Tahoma"/>
            <family val="2"/>
            <charset val="238"/>
          </rPr>
          <t>sprawdzenie zgodności z pozycjami bilansu</t>
        </r>
      </text>
    </comment>
    <comment ref="I108" authorId="0" shapeId="0" xr:uid="{00000000-0006-0000-2400-00001B000000}">
      <text>
        <r>
          <rPr>
            <b/>
            <sz val="8"/>
            <color indexed="81"/>
            <rFont val="Tahoma"/>
            <family val="2"/>
            <charset val="238"/>
          </rPr>
          <t>sprawdzenie zgodności z pozycjami bilansu</t>
        </r>
      </text>
    </comment>
    <comment ref="H109" authorId="0" shapeId="0" xr:uid="{00000000-0006-0000-2400-00001C000000}">
      <text>
        <r>
          <rPr>
            <b/>
            <sz val="8"/>
            <color indexed="81"/>
            <rFont val="Tahoma"/>
            <family val="2"/>
            <charset val="238"/>
          </rPr>
          <t>sprawdzenie zgodności z pozycjami bilansu</t>
        </r>
      </text>
    </comment>
    <comment ref="I109" authorId="0" shapeId="0" xr:uid="{00000000-0006-0000-2400-00001D000000}">
      <text>
        <r>
          <rPr>
            <b/>
            <sz val="8"/>
            <color indexed="81"/>
            <rFont val="Tahoma"/>
            <family val="2"/>
            <charset val="238"/>
          </rPr>
          <t>sprawdzenie zgodności z pozycjami bilansu</t>
        </r>
      </text>
    </comment>
    <comment ref="H110" authorId="0" shapeId="0" xr:uid="{00000000-0006-0000-2400-00001E000000}">
      <text>
        <r>
          <rPr>
            <b/>
            <sz val="8"/>
            <color indexed="81"/>
            <rFont val="Tahoma"/>
            <family val="2"/>
            <charset val="238"/>
          </rPr>
          <t>sprawdzenie zgodności z pozycjami bilansu</t>
        </r>
      </text>
    </comment>
    <comment ref="I110" authorId="0" shapeId="0" xr:uid="{00000000-0006-0000-2400-00001F000000}">
      <text>
        <r>
          <rPr>
            <b/>
            <sz val="8"/>
            <color indexed="81"/>
            <rFont val="Tahoma"/>
            <family val="2"/>
            <charset val="238"/>
          </rPr>
          <t>sprawdzenie zgodności z pozycjami bilansu</t>
        </r>
      </text>
    </comment>
    <comment ref="H111" authorId="0" shapeId="0" xr:uid="{00000000-0006-0000-2400-000020000000}">
      <text>
        <r>
          <rPr>
            <b/>
            <sz val="8"/>
            <color indexed="81"/>
            <rFont val="Tahoma"/>
            <family val="2"/>
            <charset val="238"/>
          </rPr>
          <t>sprawdzenie zgodności z pozycjami bilansu</t>
        </r>
      </text>
    </comment>
    <comment ref="I111" authorId="0" shapeId="0" xr:uid="{00000000-0006-0000-2400-000021000000}">
      <text>
        <r>
          <rPr>
            <b/>
            <sz val="8"/>
            <color indexed="81"/>
            <rFont val="Tahoma"/>
            <family val="2"/>
            <charset val="238"/>
          </rPr>
          <t>sprawdzenie zgodności z pozycjami bilansu</t>
        </r>
      </text>
    </comment>
    <comment ref="H112" authorId="0" shapeId="0" xr:uid="{00000000-0006-0000-2400-000022000000}">
      <text>
        <r>
          <rPr>
            <b/>
            <sz val="8"/>
            <color indexed="81"/>
            <rFont val="Tahoma"/>
            <family val="2"/>
            <charset val="238"/>
          </rPr>
          <t>sprawdzenie zgodności z pozycjami bilansu</t>
        </r>
      </text>
    </comment>
    <comment ref="I112" authorId="0" shapeId="0" xr:uid="{00000000-0006-0000-2400-000023000000}">
      <text>
        <r>
          <rPr>
            <b/>
            <sz val="8"/>
            <color indexed="81"/>
            <rFont val="Tahoma"/>
            <family val="2"/>
            <charset val="238"/>
          </rPr>
          <t>sprawdzenie zgodności z pozycjami bilansu</t>
        </r>
      </text>
    </comment>
    <comment ref="H113" authorId="0" shapeId="0" xr:uid="{00000000-0006-0000-2400-000024000000}">
      <text>
        <r>
          <rPr>
            <b/>
            <sz val="8"/>
            <color indexed="81"/>
            <rFont val="Tahoma"/>
            <family val="2"/>
            <charset val="238"/>
          </rPr>
          <t>sprawdzenie zgodności z pozycjami bilansu</t>
        </r>
      </text>
    </comment>
    <comment ref="I113" authorId="0" shapeId="0" xr:uid="{00000000-0006-0000-2400-000025000000}">
      <text>
        <r>
          <rPr>
            <b/>
            <sz val="8"/>
            <color indexed="81"/>
            <rFont val="Tahoma"/>
            <family val="2"/>
            <charset val="238"/>
          </rPr>
          <t>sprawdzenie zgodności z pozycjami bilansu</t>
        </r>
        <r>
          <rPr>
            <sz val="8"/>
            <color indexed="81"/>
            <rFont val="Tahoma"/>
            <family val="2"/>
            <charset val="238"/>
          </rPr>
          <t xml:space="preserve">
</t>
        </r>
      </text>
    </comment>
    <comment ref="E121" authorId="0" shapeId="0" xr:uid="{00000000-0006-0000-2400-000026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37" authorId="0" shapeId="0" xr:uid="{00000000-0006-0000-2400-000027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49" authorId="0" shapeId="0" xr:uid="{00000000-0006-0000-2400-000028000000}">
      <text>
        <r>
          <rPr>
            <b/>
            <sz val="8"/>
            <color indexed="81"/>
            <rFont val="Tahoma"/>
            <family val="2"/>
            <charset val="238"/>
          </rPr>
          <t>sprawdzenie zgodności z pozycjami bilansu</t>
        </r>
      </text>
    </comment>
    <comment ref="H150" authorId="0" shapeId="0" xr:uid="{00000000-0006-0000-2400-000029000000}">
      <text>
        <r>
          <rPr>
            <b/>
            <sz val="8"/>
            <color indexed="81"/>
            <rFont val="Tahoma"/>
            <family val="2"/>
            <charset val="238"/>
          </rPr>
          <t>sprawdzenie zgodności z pozycjami bilansu</t>
        </r>
      </text>
    </comment>
    <comment ref="H151" authorId="0" shapeId="0" xr:uid="{00000000-0006-0000-2400-00002A000000}">
      <text>
        <r>
          <rPr>
            <b/>
            <sz val="8"/>
            <color indexed="81"/>
            <rFont val="Tahoma"/>
            <family val="2"/>
            <charset val="238"/>
          </rPr>
          <t>sprawdzenie zgodności z pozycjami bilansu</t>
        </r>
      </text>
    </comment>
    <comment ref="H152" authorId="0" shapeId="0" xr:uid="{00000000-0006-0000-2400-00002B000000}">
      <text>
        <r>
          <rPr>
            <b/>
            <sz val="8"/>
            <color indexed="81"/>
            <rFont val="Tahoma"/>
            <family val="2"/>
            <charset val="238"/>
          </rPr>
          <t>sprawdzenie zgodności z pozycjami bilansu</t>
        </r>
      </text>
    </comment>
    <comment ref="H153" authorId="0" shapeId="0" xr:uid="{00000000-0006-0000-2400-00002C000000}">
      <text>
        <r>
          <rPr>
            <b/>
            <sz val="8"/>
            <color indexed="81"/>
            <rFont val="Tahoma"/>
            <family val="2"/>
            <charset val="238"/>
          </rPr>
          <t>sprawdzenie zgodności z pozycjami bilansu</t>
        </r>
      </text>
    </comment>
    <comment ref="H154" authorId="0" shapeId="0" xr:uid="{00000000-0006-0000-2400-00002D000000}">
      <text>
        <r>
          <rPr>
            <b/>
            <sz val="8"/>
            <color indexed="81"/>
            <rFont val="Tahoma"/>
            <family val="2"/>
            <charset val="238"/>
          </rPr>
          <t>sprawdzenie zgodności z pozycjami bilansu</t>
        </r>
      </text>
    </comment>
    <comment ref="H155" authorId="0" shapeId="0" xr:uid="{00000000-0006-0000-2400-00002E000000}">
      <text>
        <r>
          <rPr>
            <b/>
            <sz val="8"/>
            <color indexed="81"/>
            <rFont val="Tahoma"/>
            <family val="2"/>
            <charset val="238"/>
          </rPr>
          <t>sprawdzenie zgodności z pozycjami bilansu</t>
        </r>
      </text>
    </comment>
    <comment ref="H156" authorId="0" shapeId="0" xr:uid="{00000000-0006-0000-2400-00002F000000}">
      <text>
        <r>
          <rPr>
            <b/>
            <sz val="8"/>
            <color indexed="81"/>
            <rFont val="Tahoma"/>
            <family val="2"/>
            <charset val="238"/>
          </rPr>
          <t>sprawdzenie zgodności z pozycjami bilansu</t>
        </r>
        <r>
          <rPr>
            <sz val="8"/>
            <color indexed="81"/>
            <rFont val="Tahoma"/>
            <family val="2"/>
            <charset val="238"/>
          </rPr>
          <t xml:space="preserve">
</t>
        </r>
      </text>
    </comment>
    <comment ref="E168" authorId="0" shapeId="0" xr:uid="{00000000-0006-0000-2400-000030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77" authorId="0" shapeId="0" xr:uid="{00000000-0006-0000-2400-00003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86" authorId="0" shapeId="0" xr:uid="{00000000-0006-0000-2400-000032000000}">
      <text>
        <r>
          <rPr>
            <b/>
            <sz val="8"/>
            <color indexed="81"/>
            <rFont val="Tahoma"/>
            <family val="2"/>
            <charset val="238"/>
          </rPr>
          <t>sprawdzenie zgodności z pozycjami bilansu</t>
        </r>
      </text>
    </comment>
    <comment ref="I186" authorId="0" shapeId="0" xr:uid="{00000000-0006-0000-2400-000033000000}">
      <text>
        <r>
          <rPr>
            <b/>
            <sz val="8"/>
            <color indexed="81"/>
            <rFont val="Tahoma"/>
            <family val="2"/>
            <charset val="238"/>
          </rPr>
          <t>sprawdzenie zgodności z pozycjami bilansu</t>
        </r>
      </text>
    </comment>
    <comment ref="H187" authorId="0" shapeId="0" xr:uid="{00000000-0006-0000-2400-000034000000}">
      <text>
        <r>
          <rPr>
            <b/>
            <sz val="8"/>
            <color indexed="81"/>
            <rFont val="Tahoma"/>
            <family val="2"/>
            <charset val="238"/>
          </rPr>
          <t>sprawdzenie zgodności z pozycjami bilansu</t>
        </r>
      </text>
    </comment>
    <comment ref="I187" authorId="0" shapeId="0" xr:uid="{00000000-0006-0000-2400-000035000000}">
      <text>
        <r>
          <rPr>
            <b/>
            <sz val="8"/>
            <color indexed="81"/>
            <rFont val="Tahoma"/>
            <family val="2"/>
            <charset val="238"/>
          </rPr>
          <t>sprawdzenie zgodności z pozycjami bilansu</t>
        </r>
      </text>
    </comment>
    <comment ref="H188" authorId="0" shapeId="0" xr:uid="{00000000-0006-0000-2400-000036000000}">
      <text>
        <r>
          <rPr>
            <b/>
            <sz val="8"/>
            <color indexed="81"/>
            <rFont val="Tahoma"/>
            <family val="2"/>
            <charset val="238"/>
          </rPr>
          <t>sprawdzenie zgodności z pozycjami bilansu</t>
        </r>
      </text>
    </comment>
    <comment ref="I188" authorId="0" shapeId="0" xr:uid="{00000000-0006-0000-2400-000037000000}">
      <text>
        <r>
          <rPr>
            <b/>
            <sz val="8"/>
            <color indexed="81"/>
            <rFont val="Tahoma"/>
            <family val="2"/>
            <charset val="238"/>
          </rPr>
          <t>sprawdzenie zgodności z pozycjami bilansu</t>
        </r>
      </text>
    </comment>
    <comment ref="H189" authorId="0" shapeId="0" xr:uid="{00000000-0006-0000-2400-000038000000}">
      <text>
        <r>
          <rPr>
            <b/>
            <sz val="8"/>
            <color indexed="81"/>
            <rFont val="Tahoma"/>
            <family val="2"/>
            <charset val="238"/>
          </rPr>
          <t>sprawdzenie zgodności z pozycjami bilansu</t>
        </r>
      </text>
    </comment>
    <comment ref="I189" authorId="0" shapeId="0" xr:uid="{00000000-0006-0000-2400-000039000000}">
      <text>
        <r>
          <rPr>
            <b/>
            <sz val="8"/>
            <color indexed="81"/>
            <rFont val="Tahoma"/>
            <family val="2"/>
            <charset val="238"/>
          </rPr>
          <t>sprawdzenie zgodności z pozycjami bilansu</t>
        </r>
      </text>
    </comment>
    <comment ref="H190" authorId="0" shapeId="0" xr:uid="{00000000-0006-0000-2400-00003A000000}">
      <text>
        <r>
          <rPr>
            <b/>
            <sz val="8"/>
            <color indexed="81"/>
            <rFont val="Tahoma"/>
            <family val="2"/>
            <charset val="238"/>
          </rPr>
          <t>sprawdzenie zgodności z pozycjami bilansu</t>
        </r>
      </text>
    </comment>
    <comment ref="I190" authorId="0" shapeId="0" xr:uid="{00000000-0006-0000-2400-00003B000000}">
      <text>
        <r>
          <rPr>
            <b/>
            <sz val="8"/>
            <color indexed="81"/>
            <rFont val="Tahoma"/>
            <family val="2"/>
            <charset val="238"/>
          </rPr>
          <t>sprawdzenie zgodności z pozycjami bilansu</t>
        </r>
        <r>
          <rPr>
            <sz val="8"/>
            <color indexed="81"/>
            <rFont val="Tahoma"/>
            <family val="2"/>
            <charset val="238"/>
          </rPr>
          <t xml:space="preserve">
</t>
        </r>
      </text>
    </comment>
    <comment ref="B192" authorId="1" shapeId="0" xr:uid="{00000000-0006-0000-2400-00003C000000}">
      <text>
        <r>
          <rPr>
            <b/>
            <sz val="9"/>
            <color indexed="81"/>
            <rFont val="Tahoma"/>
            <family val="2"/>
            <charset val="238"/>
          </rPr>
          <t>alicja.rozanska:</t>
        </r>
        <r>
          <rPr>
            <sz val="9"/>
            <color indexed="81"/>
            <rFont val="Tahoma"/>
            <family val="2"/>
            <charset val="238"/>
          </rPr>
          <t xml:space="preserve">
w przypadku, gdy nie jest konieczny komentarz, proszę ukryć wiersze</t>
        </r>
      </text>
    </comment>
    <comment ref="E202" authorId="0" shapeId="0" xr:uid="{00000000-0006-0000-2400-00003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11" authorId="0" shapeId="0" xr:uid="{00000000-0006-0000-2400-00003E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220" authorId="0" shapeId="0" xr:uid="{00000000-0006-0000-2400-00003F000000}">
      <text>
        <r>
          <rPr>
            <b/>
            <sz val="8"/>
            <color indexed="81"/>
            <rFont val="Tahoma"/>
            <family val="2"/>
            <charset val="238"/>
          </rPr>
          <t>sprawdzenie zgodności z pozycjami bilansu</t>
        </r>
      </text>
    </comment>
    <comment ref="H221" authorId="0" shapeId="0" xr:uid="{00000000-0006-0000-2400-000040000000}">
      <text>
        <r>
          <rPr>
            <b/>
            <sz val="8"/>
            <color indexed="81"/>
            <rFont val="Tahoma"/>
            <family val="2"/>
            <charset val="238"/>
          </rPr>
          <t>sprawdzenie zgodności z pozycjami bilansu</t>
        </r>
      </text>
    </comment>
    <comment ref="H222" authorId="0" shapeId="0" xr:uid="{00000000-0006-0000-2400-000041000000}">
      <text>
        <r>
          <rPr>
            <b/>
            <sz val="8"/>
            <color indexed="81"/>
            <rFont val="Tahoma"/>
            <family val="2"/>
            <charset val="238"/>
          </rPr>
          <t>sprawdzenie zgodności z pozycjami bilansu</t>
        </r>
      </text>
    </comment>
    <comment ref="H223" authorId="0" shapeId="0" xr:uid="{00000000-0006-0000-2400-000042000000}">
      <text>
        <r>
          <rPr>
            <b/>
            <sz val="8"/>
            <color indexed="81"/>
            <rFont val="Tahoma"/>
            <family val="2"/>
            <charset val="238"/>
          </rPr>
          <t>sprawdzenie zgodności z pozycjami bilansu</t>
        </r>
      </text>
    </comment>
    <comment ref="H224" authorId="0" shapeId="0" xr:uid="{00000000-0006-0000-2400-000043000000}">
      <text>
        <r>
          <rPr>
            <b/>
            <sz val="8"/>
            <color indexed="81"/>
            <rFont val="Tahoma"/>
            <family val="2"/>
            <charset val="238"/>
          </rPr>
          <t>sprawdzenie zgodności z pozycjami bilansu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KasiaK</author>
    <author>Kolenkiewicz, Paweł</author>
  </authors>
  <commentList>
    <comment ref="F74" authorId="0" shapeId="0" xr:uid="{00000000-0006-0000-2500-000001000000}">
      <text>
        <r>
          <rPr>
            <b/>
            <sz val="8"/>
            <color indexed="81"/>
            <rFont val="Tahoma"/>
            <family val="2"/>
            <charset val="238"/>
          </rPr>
          <t>korekty zmniejszające wpisywać ze znakiem ujemnym</t>
        </r>
      </text>
    </comment>
    <comment ref="F75" authorId="0" shapeId="0" xr:uid="{00000000-0006-0000-2500-000002000000}">
      <text>
        <r>
          <rPr>
            <b/>
            <sz val="8"/>
            <color indexed="81"/>
            <rFont val="Tahoma"/>
            <family val="2"/>
            <charset val="238"/>
          </rPr>
          <t>korekty zmniejszające wpisywać ze znakiem ujemnym</t>
        </r>
        <r>
          <rPr>
            <sz val="8"/>
            <color indexed="81"/>
            <rFont val="Tahoma"/>
            <family val="2"/>
            <charset val="238"/>
          </rPr>
          <t xml:space="preserve">
</t>
        </r>
      </text>
    </comment>
    <comment ref="F76" authorId="0" shapeId="0" xr:uid="{00000000-0006-0000-2500-000003000000}">
      <text>
        <r>
          <rPr>
            <b/>
            <sz val="8"/>
            <color indexed="81"/>
            <rFont val="Tahoma"/>
            <family val="2"/>
            <charset val="238"/>
          </rPr>
          <t>korekty zmniejszające wpisywać ze znakiem ujemnym</t>
        </r>
        <r>
          <rPr>
            <sz val="8"/>
            <color indexed="81"/>
            <rFont val="Tahoma"/>
            <family val="2"/>
            <charset val="238"/>
          </rPr>
          <t xml:space="preserve">
</t>
        </r>
      </text>
    </comment>
    <comment ref="F77" authorId="0" shapeId="0" xr:uid="{00000000-0006-0000-2500-000004000000}">
      <text>
        <r>
          <rPr>
            <b/>
            <sz val="8"/>
            <color indexed="81"/>
            <rFont val="Tahoma"/>
            <family val="2"/>
            <charset val="238"/>
          </rPr>
          <t>korekty zmniejszające wpisywać ze znakiem ujemnym</t>
        </r>
        <r>
          <rPr>
            <sz val="8"/>
            <color indexed="81"/>
            <rFont val="Tahoma"/>
            <family val="2"/>
            <charset val="238"/>
          </rPr>
          <t xml:space="preserve">
</t>
        </r>
      </text>
    </comment>
    <comment ref="F78" authorId="0" shapeId="0" xr:uid="{00000000-0006-0000-2500-000005000000}">
      <text>
        <r>
          <rPr>
            <b/>
            <sz val="8"/>
            <color indexed="81"/>
            <rFont val="Tahoma"/>
            <family val="2"/>
            <charset val="238"/>
          </rPr>
          <t>korekty zmniejszające wpisywać ze znakiem ujemnym</t>
        </r>
        <r>
          <rPr>
            <sz val="8"/>
            <color indexed="81"/>
            <rFont val="Tahoma"/>
            <family val="2"/>
            <charset val="238"/>
          </rPr>
          <t xml:space="preserve">
</t>
        </r>
      </text>
    </comment>
    <comment ref="F79" authorId="0" shapeId="0" xr:uid="{00000000-0006-0000-2500-000006000000}">
      <text>
        <r>
          <rPr>
            <b/>
            <sz val="8"/>
            <color indexed="81"/>
            <rFont val="Tahoma"/>
            <family val="2"/>
            <charset val="238"/>
          </rPr>
          <t>korekty zmniejszające wpisywać ze znakiem ujemnym</t>
        </r>
        <r>
          <rPr>
            <sz val="8"/>
            <color indexed="81"/>
            <rFont val="Tahoma"/>
            <family val="2"/>
            <charset val="238"/>
          </rPr>
          <t xml:space="preserve">
</t>
        </r>
      </text>
    </comment>
    <comment ref="F85" authorId="0" shapeId="0" xr:uid="{00000000-0006-0000-2500-000007000000}">
      <text>
        <r>
          <rPr>
            <b/>
            <sz val="8"/>
            <color indexed="81"/>
            <rFont val="Tahoma"/>
            <family val="2"/>
            <charset val="238"/>
          </rPr>
          <t>korekty zmniejszające wpisywać ze znakiem ujemnym</t>
        </r>
      </text>
    </comment>
    <comment ref="F86" authorId="0" shapeId="0" xr:uid="{00000000-0006-0000-2500-000008000000}">
      <text>
        <r>
          <rPr>
            <b/>
            <sz val="8"/>
            <color indexed="81"/>
            <rFont val="Tahoma"/>
            <family val="2"/>
            <charset val="238"/>
          </rPr>
          <t>korekty zmniejszające wpisywać ze znakiem ujemnym</t>
        </r>
        <r>
          <rPr>
            <sz val="8"/>
            <color indexed="81"/>
            <rFont val="Tahoma"/>
            <family val="2"/>
            <charset val="238"/>
          </rPr>
          <t xml:space="preserve">
</t>
        </r>
      </text>
    </comment>
    <comment ref="F87" authorId="0" shapeId="0" xr:uid="{00000000-0006-0000-2500-000009000000}">
      <text>
        <r>
          <rPr>
            <b/>
            <sz val="8"/>
            <color indexed="81"/>
            <rFont val="Tahoma"/>
            <family val="2"/>
            <charset val="238"/>
          </rPr>
          <t>korekty zmniejszające wpisywać ze znakiem ujemnym</t>
        </r>
        <r>
          <rPr>
            <sz val="8"/>
            <color indexed="81"/>
            <rFont val="Tahoma"/>
            <family val="2"/>
            <charset val="238"/>
          </rPr>
          <t xml:space="preserve">
</t>
        </r>
      </text>
    </comment>
    <comment ref="F88" authorId="0" shapeId="0" xr:uid="{00000000-0006-0000-2500-00000A000000}">
      <text>
        <r>
          <rPr>
            <b/>
            <sz val="8"/>
            <color indexed="81"/>
            <rFont val="Tahoma"/>
            <family val="2"/>
            <charset val="238"/>
          </rPr>
          <t>korekty zmniejszające wpisywać ze znakiem ujemnym</t>
        </r>
        <r>
          <rPr>
            <sz val="8"/>
            <color indexed="81"/>
            <rFont val="Tahoma"/>
            <family val="2"/>
            <charset val="238"/>
          </rPr>
          <t xml:space="preserve">
</t>
        </r>
      </text>
    </comment>
    <comment ref="F89" authorId="0" shapeId="0" xr:uid="{00000000-0006-0000-2500-00000B000000}">
      <text>
        <r>
          <rPr>
            <b/>
            <sz val="8"/>
            <color indexed="81"/>
            <rFont val="Tahoma"/>
            <family val="2"/>
            <charset val="238"/>
          </rPr>
          <t>korekty zmniejszające wpisywać ze znakiem ujemnym</t>
        </r>
        <r>
          <rPr>
            <sz val="8"/>
            <color indexed="81"/>
            <rFont val="Tahoma"/>
            <family val="2"/>
            <charset val="238"/>
          </rPr>
          <t xml:space="preserve">
</t>
        </r>
      </text>
    </comment>
    <comment ref="F90" authorId="0" shapeId="0" xr:uid="{00000000-0006-0000-2500-00000C000000}">
      <text>
        <r>
          <rPr>
            <b/>
            <sz val="8"/>
            <color indexed="81"/>
            <rFont val="Tahoma"/>
            <family val="2"/>
            <charset val="238"/>
          </rPr>
          <t>korekty zmniejszające wpisywać ze znakiem ujemnym</t>
        </r>
        <r>
          <rPr>
            <sz val="8"/>
            <color indexed="81"/>
            <rFont val="Tahoma"/>
            <family val="2"/>
            <charset val="238"/>
          </rPr>
          <t xml:space="preserve">
</t>
        </r>
      </text>
    </comment>
    <comment ref="C99" authorId="1" shapeId="0" xr:uid="{00000000-0006-0000-2500-00000D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 ref="C116" authorId="1" shapeId="0" xr:uid="{00000000-0006-0000-2500-00000E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Kupczak, Alicja</author>
  </authors>
  <commentList>
    <comment ref="I22" authorId="0" shapeId="0" xr:uid="{00000000-0006-0000-2600-000001000000}">
      <text>
        <r>
          <rPr>
            <b/>
            <sz val="8"/>
            <color indexed="81"/>
            <rFont val="Tahoma"/>
            <family val="2"/>
            <charset val="238"/>
          </rPr>
          <t>sprawdzenie zgodności z pozycjami bilansu</t>
        </r>
        <r>
          <rPr>
            <sz val="8"/>
            <color indexed="81"/>
            <rFont val="Tahoma"/>
            <family val="2"/>
            <charset val="238"/>
          </rPr>
          <t xml:space="preserve">
</t>
        </r>
      </text>
    </comment>
    <comment ref="J22" authorId="0" shapeId="0" xr:uid="{00000000-0006-0000-2600-000002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600-000003000000}">
      <text>
        <r>
          <rPr>
            <b/>
            <sz val="8"/>
            <color indexed="81"/>
            <rFont val="Tahoma"/>
            <family val="2"/>
            <charset val="238"/>
          </rPr>
          <t>sprawdzenie zgodności z pozycjami bilansu</t>
        </r>
        <r>
          <rPr>
            <sz val="8"/>
            <color indexed="81"/>
            <rFont val="Tahoma"/>
            <family val="2"/>
            <charset val="238"/>
          </rPr>
          <t xml:space="preserve">
</t>
        </r>
      </text>
    </comment>
    <comment ref="C38" authorId="1" shapeId="0" xr:uid="{00000000-0006-0000-2600-000004000000}">
      <text>
        <r>
          <rPr>
            <b/>
            <sz val="9"/>
            <color indexed="81"/>
            <rFont val="Tahoma"/>
            <family val="2"/>
            <charset val="238"/>
          </rPr>
          <t>alicja.rozanska:</t>
        </r>
        <r>
          <rPr>
            <sz val="9"/>
            <color indexed="81"/>
            <rFont val="Tahoma"/>
            <family val="2"/>
            <charset val="238"/>
          </rPr>
          <t xml:space="preserve">
nota dotyczy wyłącznie zobowiązań długoterminowych i powinna być zgodna z pozycją zobowiązań długoterminowych w bilansie spółki</t>
        </r>
      </text>
    </comment>
    <comment ref="D51" authorId="2" shapeId="0" xr:uid="{0B4378FB-7A5C-4709-906B-DC8DB2FBD506}">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52" authorId="0" shapeId="0" xr:uid="{00000000-0006-0000-2600-000005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52" authorId="0" shapeId="0" xr:uid="{00000000-0006-0000-2600-000006000000}">
      <text>
        <r>
          <rPr>
            <b/>
            <sz val="8"/>
            <color indexed="81"/>
            <rFont val="Tahoma"/>
            <family val="2"/>
            <charset val="238"/>
          </rPr>
          <t>sprawdzenie zgodności z pozycją bilansu zobowiązania długoterminowe</t>
        </r>
      </text>
    </comment>
    <comment ref="K52" authorId="0" shapeId="0" xr:uid="{00000000-0006-0000-2600-000007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D65" authorId="2" shapeId="0" xr:uid="{295C97FD-B413-4495-B282-58837B0389A7}">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66" authorId="0" shapeId="0" xr:uid="{00000000-0006-0000-2600-000008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66" authorId="0" shapeId="0" xr:uid="{00000000-0006-0000-2600-000009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K66" authorId="0" shapeId="0" xr:uid="{00000000-0006-0000-2600-00000A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I96" authorId="0" shapeId="0" xr:uid="{00000000-0006-0000-2600-00000B000000}">
      <text>
        <r>
          <rPr>
            <b/>
            <sz val="8"/>
            <color indexed="81"/>
            <rFont val="Tahoma"/>
            <family val="2"/>
            <charset val="238"/>
          </rPr>
          <t>sprawdzenie zgodności z pozycjami bilansu</t>
        </r>
        <r>
          <rPr>
            <sz val="8"/>
            <color indexed="81"/>
            <rFont val="Tahoma"/>
            <family val="2"/>
            <charset val="238"/>
          </rPr>
          <t xml:space="preserve">
</t>
        </r>
      </text>
    </comment>
    <comment ref="I117" authorId="0" shapeId="0" xr:uid="{00000000-0006-0000-2600-00000C000000}">
      <text>
        <r>
          <rPr>
            <b/>
            <sz val="8"/>
            <color indexed="81"/>
            <rFont val="Tahoma"/>
            <family val="2"/>
            <charset val="238"/>
          </rPr>
          <t>sprawdzenie zgodności z pozycjami bilansu</t>
        </r>
        <r>
          <rPr>
            <sz val="8"/>
            <color indexed="81"/>
            <rFont val="Tahoma"/>
            <family val="2"/>
            <charset val="23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L13" authorId="0" shapeId="0" xr:uid="{00000000-0006-0000-2800-000001000000}">
      <text>
        <r>
          <rPr>
            <b/>
            <sz val="8"/>
            <color indexed="81"/>
            <rFont val="Tahoma"/>
            <family val="2"/>
            <charset val="238"/>
          </rPr>
          <t>sprawdzenie zgodności z rachunkiem zysków i strat</t>
        </r>
        <r>
          <rPr>
            <sz val="8"/>
            <color indexed="81"/>
            <rFont val="Tahoma"/>
            <family val="2"/>
            <charset val="238"/>
          </rPr>
          <t xml:space="preserve">
</t>
        </r>
      </text>
    </comment>
    <comment ref="L14" authorId="0" shapeId="0" xr:uid="{00000000-0006-0000-2800-000002000000}">
      <text>
        <r>
          <rPr>
            <b/>
            <sz val="8"/>
            <color indexed="81"/>
            <rFont val="Tahoma"/>
            <family val="2"/>
            <charset val="238"/>
          </rPr>
          <t>sprawdzenie zgodności z rachunkiem zysków i strat</t>
        </r>
        <r>
          <rPr>
            <sz val="8"/>
            <color indexed="81"/>
            <rFont val="Tahoma"/>
            <family val="2"/>
            <charset val="238"/>
          </rPr>
          <t xml:space="preserve">
</t>
        </r>
      </text>
    </comment>
    <comment ref="L20" authorId="0" shapeId="0" xr:uid="{00000000-0006-0000-2800-000003000000}">
      <text>
        <r>
          <rPr>
            <b/>
            <sz val="8"/>
            <color indexed="81"/>
            <rFont val="Tahoma"/>
            <family val="2"/>
            <charset val="238"/>
          </rPr>
          <t>sprawdzenie zgodności z rachunkiem zysków i strat</t>
        </r>
        <r>
          <rPr>
            <sz val="8"/>
            <color indexed="81"/>
            <rFont val="Tahoma"/>
            <family val="2"/>
            <charset val="238"/>
          </rPr>
          <t xml:space="preserve">
</t>
        </r>
      </text>
    </comment>
    <comment ref="L21" authorId="0" shapeId="0" xr:uid="{00000000-0006-0000-2800-000004000000}">
      <text>
        <r>
          <rPr>
            <b/>
            <sz val="8"/>
            <color indexed="81"/>
            <rFont val="Tahoma"/>
            <family val="2"/>
            <charset val="238"/>
          </rPr>
          <t>sprawdzenie zgodności z rachunkiem zysków i strat</t>
        </r>
        <r>
          <rPr>
            <sz val="8"/>
            <color indexed="81"/>
            <rFont val="Tahoma"/>
            <family val="2"/>
            <charset val="238"/>
          </rPr>
          <t xml:space="preserve">
</t>
        </r>
      </text>
    </comment>
    <comment ref="L121" authorId="0" shapeId="0" xr:uid="{00000000-0006-0000-2800-000005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4" authorId="0" shapeId="0" xr:uid="{00000000-0006-0000-2800-000006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9" authorId="0" shapeId="0" xr:uid="{00000000-0006-0000-2800-000007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92" authorId="0" shapeId="0" xr:uid="{00000000-0006-0000-2800-000008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Alicja.Rozanska</author>
  </authors>
  <commentList>
    <comment ref="C30" authorId="0" shapeId="0" xr:uid="{00000000-0006-0000-2A00-000001000000}">
      <text>
        <r>
          <rPr>
            <sz val="8"/>
            <color indexed="81"/>
            <rFont val="Tahoma"/>
            <family val="2"/>
            <charset val="238"/>
          </rPr>
          <t>wstaw z odpowiednim znakiem:
+ zapłacone,
– otrzymane</t>
        </r>
      </text>
    </comment>
    <comment ref="C47" authorId="1" shapeId="0" xr:uid="{00000000-0006-0000-2A00-000002000000}">
      <text>
        <r>
          <rPr>
            <b/>
            <sz val="9"/>
            <color indexed="81"/>
            <rFont val="Tahoma"/>
            <family val="2"/>
            <charset val="238"/>
          </rPr>
          <t>Alicja.Rozanska:</t>
        </r>
        <r>
          <rPr>
            <sz val="9"/>
            <color indexed="81"/>
            <rFont val="Tahoma"/>
            <family val="2"/>
            <charset val="238"/>
          </rPr>
          <t xml:space="preserve">
podgrupy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4000000}" keepAlive="1" name="Zapytanie — Kopia Sprawozdanie finansowe 2019 - duże jednostki_wzór_v 07 01 2020_z_AX xlsm" type="5" refreshedVersion="6" deleted="1" background="1" saveData="1">
    <dbPr connection="" comman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<sst xmlns="http://schemas.openxmlformats.org/spreadsheetml/2006/main" count="9057" uniqueCount="6943">
  <si>
    <t>Tax advisory services</t>
  </si>
  <si>
    <t>Part of liabilities incurred jointly</t>
  </si>
  <si>
    <t>Poniesione w ostatnim roku i planowane na następny rok nakłady na niefinansowe aktywa trwałe</t>
  </si>
  <si>
    <t>Verlust aufgrund der Einstellung der Investitionstätigkeit</t>
  </si>
  <si>
    <t>Offengelegte Inventurmehrbestände bei Gegenständen der Investitionstätigkeit</t>
  </si>
  <si>
    <t>Offengelegte Inventurfehlbestände bei Gegenständen der Investitionstätigkeit</t>
  </si>
  <si>
    <t>Ergebnis aus der Investitionstätigkeit insgesamt</t>
  </si>
  <si>
    <t>darunter</t>
  </si>
  <si>
    <t>Insgesamt Rückstellungen nach der Korrektur</t>
  </si>
  <si>
    <t>Bestandsänderung</t>
  </si>
  <si>
    <t>Kurzfristige Forderungen gegen dritte Unternehmen</t>
  </si>
  <si>
    <t>Insgesamt Forderungen netto</t>
  </si>
  <si>
    <t>Sonstige Korrekturen</t>
  </si>
  <si>
    <t>Forderungen netto nach Korrekturen insgesamt</t>
  </si>
  <si>
    <t>Kurzfristige Verbindlichkeiten gegenüber dritten Unternehmen</t>
  </si>
  <si>
    <t>Insgesamt Verbindlichkeiten</t>
  </si>
  <si>
    <t>Verbindlichkeiten aufgrund des Erwerbs von immateriellen Vermögensgegenständen und Rechten sowie Sachanlagen</t>
  </si>
  <si>
    <t>darunter Verbindlichkeiten aus der Finanzierungstätigkeit</t>
  </si>
  <si>
    <t>Verbindlichkeiten aufgrund des Erwerbs von eigenen Anteilen (Aktien)</t>
  </si>
  <si>
    <t>Veränderung der Kapitalrücklage</t>
  </si>
  <si>
    <t>satzungsgemäß gebildet</t>
  </si>
  <si>
    <t>Type of shares:</t>
  </si>
  <si>
    <t>Wartość nominalna akcji (udziałów):</t>
  </si>
  <si>
    <t>Change in owners' equity</t>
  </si>
  <si>
    <t>Note the to cash flow statement</t>
  </si>
  <si>
    <t>Dividends and other payments to owners</t>
  </si>
  <si>
    <t>Liabilities other than profit distribution related payments to owners</t>
  </si>
  <si>
    <t>Non-current accruals (equity and liabilities)</t>
  </si>
  <si>
    <t>Current accruals (equity and liabilities)</t>
  </si>
  <si>
    <t>Net impairment losses, value adjustment write-downs of non-current assets and current financial assets (plus or minus)</t>
  </si>
  <si>
    <t>Zapasy do wartości sprzedanych towarów i kosztu wytworzenia sprzedanych produktów</t>
  </si>
  <si>
    <t xml:space="preserve"> - wynik zdarzeń nadzwyczajnych</t>
  </si>
  <si>
    <t>buildings, premises and engineering constructions</t>
  </si>
  <si>
    <t>technical equipment and machinery</t>
  </si>
  <si>
    <t>vehicles</t>
  </si>
  <si>
    <t>PLN</t>
  </si>
  <si>
    <t>AKTYWA</t>
  </si>
  <si>
    <t>ASSETS</t>
  </si>
  <si>
    <t>Payment of dividends and other items to owners</t>
  </si>
  <si>
    <t>Profit distribution related payments other than payments to owners</t>
  </si>
  <si>
    <t>Redemption of debt securities</t>
  </si>
  <si>
    <t>Other financial liabilities</t>
  </si>
  <si>
    <t>Income Statement</t>
  </si>
  <si>
    <t>(nature of expense method)</t>
  </si>
  <si>
    <t>those from related parties</t>
  </si>
  <si>
    <t>Change in inventories of finished goods and work-in-progress</t>
  </si>
  <si>
    <t>Costs of operating activities</t>
  </si>
  <si>
    <t>Depreciation and amortisation</t>
  </si>
  <si>
    <t>Raw materials and energy used</t>
  </si>
  <si>
    <t>External services</t>
  </si>
  <si>
    <t>Wages and salaries</t>
  </si>
  <si>
    <t>Other expenses</t>
  </si>
  <si>
    <t>Other operating income</t>
  </si>
  <si>
    <t>Other operating expenses</t>
  </si>
  <si>
    <t xml:space="preserve">Other </t>
  </si>
  <si>
    <t>Result of extraordinary items</t>
  </si>
  <si>
    <t>Extraordinary gains</t>
  </si>
  <si>
    <t>Profit (loss) before tax</t>
  </si>
  <si>
    <t>Income taxes</t>
  </si>
  <si>
    <t>Other obligatory appropriations of profit (loss)</t>
  </si>
  <si>
    <t>(function of expense method)</t>
  </si>
  <si>
    <t>those sold to related parties</t>
  </si>
  <si>
    <t>Production cost of finished goods sold</t>
  </si>
  <si>
    <t>Distribution costs</t>
  </si>
  <si>
    <t>Administrative expenses</t>
  </si>
  <si>
    <t>Statement of changes in equity</t>
  </si>
  <si>
    <t>Issued share capital at the beginning of the period</t>
  </si>
  <si>
    <t>Movements in share capital</t>
  </si>
  <si>
    <t>Zmiana stanu zobowiązań</t>
  </si>
  <si>
    <t>Inne wydatki finansowe</t>
  </si>
  <si>
    <t>Przepływy pieniężne netto z działalności finansowej</t>
  </si>
  <si>
    <t>Przepływy pieniężne netto razem</t>
  </si>
  <si>
    <t>Wynagrodzenie Rady Nadzorczej</t>
  </si>
  <si>
    <t>Udzielone członkom Zarządu</t>
  </si>
  <si>
    <t>Tytuł</t>
  </si>
  <si>
    <t>Stopa procentowa</t>
  </si>
  <si>
    <t>Udzielone członkom Rady Nadzorczej</t>
  </si>
  <si>
    <t>nazwa jednostki powiązanej</t>
  </si>
  <si>
    <t>waluta transakcji</t>
  </si>
  <si>
    <t>wartość transakcji w walucie</t>
  </si>
  <si>
    <t>wartość transakcji w PLN</t>
  </si>
  <si>
    <t>informacja o rodzaju transakcji</t>
  </si>
  <si>
    <t>procent udziałów</t>
  </si>
  <si>
    <t>stopień udziału w zarządzaniu</t>
  </si>
  <si>
    <t>disposals</t>
  </si>
  <si>
    <t>Treasury shares at the end of the period</t>
  </si>
  <si>
    <t>Movements in capital reserves</t>
  </si>
  <si>
    <t xml:space="preserve">share premium </t>
  </si>
  <si>
    <t>Balance sheet date</t>
  </si>
  <si>
    <t>Zmiana stanu środków pieniężnych z tytułu różnic kursowych</t>
  </si>
  <si>
    <t>Środki pieniężne o ograniczonej możliwości dysponowania</t>
  </si>
  <si>
    <t>1.2.</t>
  </si>
  <si>
    <t>5.2.</t>
  </si>
  <si>
    <t>7.</t>
  </si>
  <si>
    <t>10.</t>
  </si>
  <si>
    <t>Umorzenie zaciągniętych kredytów i pożyczek i innych zobowiązań finansowych (minus)</t>
  </si>
  <si>
    <t>Umorzenie udzielonych pożyczek długoterminowych (plus)</t>
  </si>
  <si>
    <t>Niepieniężne zyski spowodowane zdarzeniami losowymi w składnikach działalności inwestycyjnej (minus)</t>
  </si>
  <si>
    <t>Inwestycje długoterminowe</t>
  </si>
  <si>
    <t>podatek akcyzowy</t>
  </si>
  <si>
    <t>- result of extraordinary items</t>
  </si>
  <si>
    <t>- income tax</t>
  </si>
  <si>
    <t>Other receipts from operating activities</t>
  </si>
  <si>
    <t>Die kurzfristigen Investitionen werden wie folgt bewertet:</t>
  </si>
  <si>
    <t>e) Vorräte</t>
  </si>
  <si>
    <t>f) Forderungen</t>
  </si>
  <si>
    <t>g) Rückstellungen</t>
  </si>
  <si>
    <t>h) Verbindlichkeiten</t>
  </si>
  <si>
    <t>The Company is registered under the business name:</t>
  </si>
  <si>
    <t>Share capital</t>
  </si>
  <si>
    <t>Management Board and representation</t>
  </si>
  <si>
    <t>Rachunek przepływów pieniężnych</t>
  </si>
  <si>
    <t>(metoda pośrednia)</t>
  </si>
  <si>
    <t>Korekty razem</t>
  </si>
  <si>
    <t>Zyski (straty) z tytułu różnic kursowych</t>
  </si>
  <si>
    <t>Zysk (strata) z działalności inwestycyjnej</t>
  </si>
  <si>
    <t>Zmiana stanu rezerw</t>
  </si>
  <si>
    <t>Zmiana stanu należności</t>
  </si>
  <si>
    <t>Zmiana stanu zobowiązań krótkoterminowych, z wyjątkiem pożyczek i kredytów</t>
  </si>
  <si>
    <t>Inne korekty</t>
  </si>
  <si>
    <t>Wpływy</t>
  </si>
  <si>
    <t>Przepływy pieniężne netto z działalności operacyjnej</t>
  </si>
  <si>
    <t>Zbycie wartości niematerialnych i prawnych oraz rzeczowych aktywów trwałych</t>
  </si>
  <si>
    <t>A.II.9. Zmiana stanu rozliczeń międzyokresowych</t>
  </si>
  <si>
    <t xml:space="preserve"> A. II. 10. Inne korekty</t>
  </si>
  <si>
    <t>Rentowność kapitału własnego</t>
  </si>
  <si>
    <t>Uzyskane wyniki z poszczególnych rodzajów działalności wykazane w rachunku zysków i strat za badany okres:</t>
  </si>
  <si>
    <t xml:space="preserve"> - wynik na sprzedaży</t>
  </si>
  <si>
    <t xml:space="preserve"> - wynik na pozostałej działalności operacyjnej</t>
  </si>
  <si>
    <t xml:space="preserve"> - wynik na działalności finansowej</t>
  </si>
  <si>
    <t xml:space="preserve"> - podatek dochodowy</t>
  </si>
  <si>
    <t>Kwota</t>
  </si>
  <si>
    <t>Reguły wprowadzania:</t>
  </si>
  <si>
    <t>Dzień bilansowy</t>
  </si>
  <si>
    <t>grunty (w tym prawo użytkowania wieczystego gruntu)</t>
  </si>
  <si>
    <t>control fields</t>
  </si>
  <si>
    <t>Detaillierte Beschreibung</t>
  </si>
  <si>
    <t>Firma der Gesellschaft</t>
  </si>
  <si>
    <t>Unternehmensgegenstand der übertragenden Gesellschaft</t>
  </si>
  <si>
    <t>Informationen über Gesellschaften, mit denen eine Verschmelzung durch Interessenzusammenführung erfolgte</t>
  </si>
  <si>
    <t>A.II.3. Zinsen und Gewinnbeteiligungen (Dividenden)</t>
  </si>
  <si>
    <t>Gewinn aus der Veräußerung der Investitionen</t>
  </si>
  <si>
    <t>Verlust aus der Veräußerung der Investitionen</t>
  </si>
  <si>
    <t>Forderungen aufgrund des Verkaufs von Sachanlagen oder aus nicht geldlichen Geschäften und Vorgängen</t>
  </si>
  <si>
    <t>Veränderung der Geldmittel und Äquivalente der Geldmittel</t>
  </si>
  <si>
    <t xml:space="preserve">Im Berichtszeitraum oblag die Geschäftsführung: </t>
  </si>
  <si>
    <t>Aufwendungen der verkauften Erzeugnisse, Waren und Roh-, Hilfs- und Betriebsstoffe</t>
  </si>
  <si>
    <t>Erlöse aus dem Verkauf von Erzeugnissen, Waren und Roh-, Hilfs- und Betriebsstoffen</t>
  </si>
  <si>
    <t>Verbindlichkeiten aus Lieferungen und Leistungen zum Wert der verkauften Waren und zu Herstellungskosten der verkauften Erzeugnisse</t>
  </si>
  <si>
    <t>Vorräte zum Wert der verkauften Waren und zu Herstellungskosten der verkauften Erzeugnisse</t>
  </si>
  <si>
    <t xml:space="preserve">aus Lieferungen und Leistungen, darunter mit einer Restlaufzeit von: </t>
  </si>
  <si>
    <t>bis zu 12 Monaten</t>
  </si>
  <si>
    <t>Ergebnis aus dem Verkauf der für die Investitionstätigkeit eingesetzten Vermögensgegenstände</t>
  </si>
  <si>
    <t>VISITENKARTE DER GESELLSCHAFT</t>
  </si>
  <si>
    <t>VERKAUF</t>
  </si>
  <si>
    <t>ANGESTELLTE</t>
  </si>
  <si>
    <t>WIRTSCHAFTSLAGE</t>
  </si>
  <si>
    <t>VORAUSSICHTLICHE ENTWICKLUNG DER GESELLSCHAFT</t>
  </si>
  <si>
    <t>ZUSAMMENFASSUNG</t>
  </si>
  <si>
    <t>Die Gesellschaft ist unter der Firma eingetragen:</t>
  </si>
  <si>
    <t>Geschäftsführung und Vertretung</t>
  </si>
  <si>
    <t>Aufsichtsrat</t>
  </si>
  <si>
    <t>Zum Aufsichtsrat gehören:</t>
  </si>
  <si>
    <t>Unternehmensgegenstand der Gesellschaft</t>
  </si>
  <si>
    <t>Niederlassungen der Gesellschaft</t>
  </si>
  <si>
    <t>Bilanzstruktur</t>
  </si>
  <si>
    <t>Struktur der Gewinn- und Verlustrechnung</t>
  </si>
  <si>
    <t>Umsatzerlöse und ihnen gleichgestellte Erträge</t>
  </si>
  <si>
    <t>Dynamik der Bilanz in laufenden Preisen</t>
  </si>
  <si>
    <t>Dynamik der Gewinn- und Verlustrechnung in laufenden Preisen</t>
  </si>
  <si>
    <t>Kennzahlen</t>
  </si>
  <si>
    <t>Bilanzsumme</t>
  </si>
  <si>
    <t>Rentabilität</t>
  </si>
  <si>
    <t>Vermögensrentabilität</t>
  </si>
  <si>
    <t>Umsatzrentabilität netto</t>
  </si>
  <si>
    <t>Umsatzrentabilität brutto</t>
  </si>
  <si>
    <t>Eigenkapitalrentabilität</t>
  </si>
  <si>
    <t>Jahresergebnis nach Steuern zum Eigenkapital</t>
  </si>
  <si>
    <t>Verschuldung</t>
  </si>
  <si>
    <t>Verbindlichkeiten zum Vermögen</t>
  </si>
  <si>
    <t>Liquidität</t>
  </si>
  <si>
    <t>1. Grades</t>
  </si>
  <si>
    <t>2. Grades</t>
  </si>
  <si>
    <t>3. Grades</t>
  </si>
  <si>
    <t>Eigenkapital, Rückstellungen und langfristige Verbindlichkeiten zu Passiva</t>
  </si>
  <si>
    <t>Wirtschaftlichkeitskennzahlen</t>
  </si>
  <si>
    <t>Umschlagshäufigkeit der Forderungen</t>
  </si>
  <si>
    <t>Forderungen aus Lieferungen und Leistungen zu Umsatzerlösen</t>
  </si>
  <si>
    <t>Umschlagshäufigkeit der Verbindlichkeiten</t>
  </si>
  <si>
    <t>Umschlagshäufigkeit der Vorräte</t>
  </si>
  <si>
    <t>Tage</t>
  </si>
  <si>
    <t>b) zużycie materiałów i energii</t>
  </si>
  <si>
    <t>nota 3</t>
  </si>
  <si>
    <t>Uzgodnienie przepływów netto z działalności operacyjnej, sporządzone metodą pośrednią (przy stosowaniu metody bezpośredniej)</t>
  </si>
  <si>
    <t>nota 4</t>
  </si>
  <si>
    <t>Odsetki od lokat powyżej 3 miesięcy</t>
  </si>
  <si>
    <t>loss carried forward to be covered</t>
  </si>
  <si>
    <t>data transferred from another worksheet</t>
  </si>
  <si>
    <t>Enter relevant data:</t>
  </si>
  <si>
    <t>postal code</t>
  </si>
  <si>
    <t>The Company prepares the income statement using</t>
  </si>
  <si>
    <t>the nature of expense method</t>
  </si>
  <si>
    <t>the function of expense method</t>
  </si>
  <si>
    <t>the direct method</t>
  </si>
  <si>
    <t>the indirect method</t>
  </si>
  <si>
    <t>other non-current financial assets</t>
  </si>
  <si>
    <t>in third parties</t>
  </si>
  <si>
    <t>Other non-current investments</t>
  </si>
  <si>
    <t>Non-current prepayments</t>
  </si>
  <si>
    <t>Deferred tax assets</t>
  </si>
  <si>
    <t>Other prepayments</t>
  </si>
  <si>
    <t>Current assets</t>
  </si>
  <si>
    <t>Inventories</t>
  </si>
  <si>
    <t xml:space="preserve">Raw materials </t>
  </si>
  <si>
    <t>Semi-finished goods and work-in-progress</t>
  </si>
  <si>
    <t>Finished goods</t>
  </si>
  <si>
    <t>Merchandise</t>
  </si>
  <si>
    <t>Current receivables</t>
  </si>
  <si>
    <t>Receivables from related parties</t>
  </si>
  <si>
    <t>up to 12 months</t>
  </si>
  <si>
    <t>after 12 months</t>
  </si>
  <si>
    <t>other</t>
  </si>
  <si>
    <t>Receivables from third parties</t>
  </si>
  <si>
    <t>tax, subsidy, customs duty, social security, health insurance and other benefits receivable</t>
  </si>
  <si>
    <t>other receivables</t>
  </si>
  <si>
    <t>receivables at court</t>
  </si>
  <si>
    <t>Current investments</t>
  </si>
  <si>
    <t>Current financial assets</t>
  </si>
  <si>
    <t>other current financial assets</t>
  </si>
  <si>
    <t>cash, cash equivalents and other monetary assets</t>
  </si>
  <si>
    <t>cash in hand and at bank</t>
  </si>
  <si>
    <t>other cash equivalents</t>
  </si>
  <si>
    <t>other monetary assets</t>
  </si>
  <si>
    <t>Other current investments</t>
  </si>
  <si>
    <t>Current prepayments</t>
  </si>
  <si>
    <t>Total assets</t>
  </si>
  <si>
    <t>Owners' equity</t>
  </si>
  <si>
    <t>Issued share capital</t>
  </si>
  <si>
    <t>Capital reserves</t>
  </si>
  <si>
    <t>Revaluation reserve</t>
  </si>
  <si>
    <t>profit distribution (legal requirements)</t>
  </si>
  <si>
    <t>covering the loss</t>
  </si>
  <si>
    <t>Capital reserves at the end of the period</t>
  </si>
  <si>
    <t>Movements in revaluation reserve</t>
  </si>
  <si>
    <t>sale of tangible assets</t>
  </si>
  <si>
    <t>%</t>
  </si>
  <si>
    <t>1.6</t>
  </si>
  <si>
    <t>1.7</t>
  </si>
  <si>
    <t>1.13</t>
  </si>
  <si>
    <t>Jeżeli okaże się, że automatycznie tłumaczony tekst trzeba zmienić, należy to zrobić w następujący sposób:</t>
  </si>
  <si>
    <t xml:space="preserve">    1. skopiować dotychczasową zawartość,</t>
  </si>
  <si>
    <t xml:space="preserve">    2. wkleić tę zawartość jako wartość (wklej specjalnie jako wartość),</t>
  </si>
  <si>
    <t>Niektóre nazwy pozycji sprawozdania finansowego w języku polskim mieszczą się w jednej linii, a w języku niemieckim w dwóch liniach (lub odwrotnie). W związku z tym należy sprawdzić, odpowiednio: czy cała nazwa niemieckiej pozycji jest widoczna względnie czy nie należy zmniejszyć wysokości wiersza.</t>
  </si>
  <si>
    <t>Standardowa wysokość wiersza wynosi 12,75 punktów. Zwiększając wysokość wierszy należy pamiętać, aby docelowa wysokość wiersza była wielokrotnością 12,75. Zbyt mała wysokość wiersza spowoduje ukrycie "ogonków" takich liter jak "p", "g", jednocześnie zbyt duża wysokość wiersza objawi się zbyt dużym odstępem pomiędzy akapitami.</t>
  </si>
  <si>
    <t>Wskazówki dla przygotowujących sprawozdanie finansowe</t>
  </si>
  <si>
    <t>(+) steuerlich nicht abzugsfähige Betriebsausgaben</t>
  </si>
  <si>
    <t>(-) steuerlich nicht abzugsfähige Betriebsausgaben aus den Vorjahren, die im Geschäftsjahr steuerlich abzugsfähige Betriebsausgaben darstellen</t>
  </si>
  <si>
    <t>Einkommen</t>
  </si>
  <si>
    <t>ŁAD KORPORACYJNY</t>
  </si>
  <si>
    <t>udzielone pożyczki</t>
  </si>
  <si>
    <t>inne długoterminowe aktywa finansowe</t>
  </si>
  <si>
    <t>w pozostałych jednostkach</t>
  </si>
  <si>
    <t>Inne inwestycje długoterminowe</t>
  </si>
  <si>
    <t>Długoterminowe rozliczenia międzyokresowe</t>
  </si>
  <si>
    <t>Aktywa z tytułu odroczonego podatku dochodowego</t>
  </si>
  <si>
    <t>Aktywa obrotowe</t>
  </si>
  <si>
    <t>Należności krótkoterminowe</t>
  </si>
  <si>
    <t>Należności od jednostek powiązanych</t>
  </si>
  <si>
    <t>z tytułu dostaw i usług, o okresie spłaty:</t>
  </si>
  <si>
    <t>do 12 miesięcy</t>
  </si>
  <si>
    <t>powyżej 12 miesięcy</t>
  </si>
  <si>
    <t>inne</t>
  </si>
  <si>
    <t>Należności od pozostałych jednostek</t>
  </si>
  <si>
    <t>dochodzone na drodze sądowej</t>
  </si>
  <si>
    <t>Aktywa razem</t>
  </si>
  <si>
    <t>Koszty działalności operacyjnej</t>
  </si>
  <si>
    <t>Zużycie materiałów i energii</t>
  </si>
  <si>
    <t>including outlays planned for environmental protection</t>
  </si>
  <si>
    <t>Damages received due to extraordinary items</t>
  </si>
  <si>
    <t xml:space="preserve">Extraordinary gains </t>
  </si>
  <si>
    <t>Income tax on result of extraordinary items</t>
  </si>
  <si>
    <t>(in case of differences between changes in some balance sheet items and changes in the same items shown in cash flow statement, their reasons should be explained)</t>
  </si>
  <si>
    <t>Average employment during the financial year</t>
  </si>
  <si>
    <t>Female</t>
  </si>
  <si>
    <t>Male</t>
  </si>
  <si>
    <t>Remuneration for the Supervisory Board</t>
  </si>
  <si>
    <t>Amount</t>
  </si>
  <si>
    <t>Interest rate</t>
  </si>
  <si>
    <t>Name and business activity of the joint venture</t>
  </si>
  <si>
    <t>Part of property, plant and equipment, and intangible assets controlled jointly</t>
  </si>
  <si>
    <t>Revenues from the joint venture</t>
  </si>
  <si>
    <t>Costs related to the joint venture</t>
  </si>
  <si>
    <t>Contingent liabilities concerning the joint venture</t>
  </si>
  <si>
    <t>Investment liabilities concerning the joint venture</t>
  </si>
  <si>
    <t>name of related party</t>
  </si>
  <si>
    <t>value of transaction in the currency</t>
  </si>
  <si>
    <t>value of transaction in PLN</t>
  </si>
  <si>
    <t>information on the nature of transaction</t>
  </si>
  <si>
    <t>Nominal value of shares:</t>
  </si>
  <si>
    <t>Data of the consolidated companies for the period from XX.XX.XXXX to XX.XX.XXXX.</t>
  </si>
  <si>
    <t xml:space="preserve">Revenues   </t>
  </si>
  <si>
    <t>Profit./loss</t>
  </si>
  <si>
    <t>Introduction to the financial statements</t>
  </si>
  <si>
    <t>Balance sheet</t>
  </si>
  <si>
    <t>Objaśnienia struktury środków pieniężnych przyjętych do rachunku przepływów pieniężnych (przy stosowaniu metody bezpośredniej i pośredniej)</t>
  </si>
  <si>
    <t>Informationen über Erträge, Aufwendungen und Ergebnisse aus Tätigkeiten, deren Einstellung im Geschäftsjahr erfolgte oder für das Folgejahr vorgesehen ist</t>
  </si>
  <si>
    <t>Abrechnung der Hauptposten, die die steuerliche Bemessungsgrundlage vom Ergebnis vor Steuern unterscheiden:</t>
  </si>
  <si>
    <t>b) Verbrauch an Roh- Hilfs- und Betriebsstoffen und Energie</t>
  </si>
  <si>
    <t>b) Środki trwałe</t>
  </si>
  <si>
    <t>Inne środki trwałe</t>
  </si>
  <si>
    <t>Geldmittel am Ende des Geschäftsjahres</t>
  </si>
  <si>
    <t>Durchschnittlicher Beschäftigungsstand im Geschäftsjahr</t>
  </si>
  <si>
    <t>Frauen</t>
  </si>
  <si>
    <t>Männer</t>
  </si>
  <si>
    <t>in related parties</t>
  </si>
  <si>
    <t>shares</t>
  </si>
  <si>
    <t>other securities</t>
  </si>
  <si>
    <t>loans advanced</t>
  </si>
  <si>
    <t xml:space="preserve"> - Ergebnis aus der Finanzierungstätigkeit</t>
  </si>
  <si>
    <t xml:space="preserve"> - Ergebnis aus den außerordentlichen Ereignissen</t>
  </si>
  <si>
    <t xml:space="preserve">LAGEBERICHT DER </t>
  </si>
  <si>
    <t>jest</t>
  </si>
  <si>
    <t>Technical equipment and machinery</t>
  </si>
  <si>
    <t>Vehicles</t>
  </si>
  <si>
    <t>Other tangible assets</t>
  </si>
  <si>
    <t>Schedule of non-current investments</t>
  </si>
  <si>
    <t>Name of shareholder</t>
  </si>
  <si>
    <t>Value of shares</t>
  </si>
  <si>
    <t>Number of shares</t>
  </si>
  <si>
    <t>Unit value</t>
  </si>
  <si>
    <t>1) not overdue</t>
  </si>
  <si>
    <t>2) overdue</t>
  </si>
  <si>
    <t>up to 90 days</t>
  </si>
  <si>
    <t>over 360 days</t>
  </si>
  <si>
    <t>Value adjustment write-downs of receivables</t>
  </si>
  <si>
    <t>Receivables after value adjustment write-downs</t>
  </si>
  <si>
    <t>3) including overdue receivables covered by bankruptcy, liquidation and composition proceedings</t>
  </si>
  <si>
    <t>Trade liabilities</t>
  </si>
  <si>
    <t>Total (1+2)</t>
  </si>
  <si>
    <t>Non-current liabilities by a balance sheet item</t>
  </si>
  <si>
    <t>Pomimo automatyzacji wielu punktów należy pamiętać, że nasza firma jest specyficzna pod wieloma względami. Dlatego w razie konieczności należy odpowiednio zmodyfikować tekst.</t>
  </si>
  <si>
    <t xml:space="preserve">    4. przetłumaczyć.</t>
  </si>
  <si>
    <t>Wartości niematerialne i prawne są ujmowane w księgach po cenie ich nabycia i umarzane metodą liniową w okresie:</t>
  </si>
  <si>
    <t>Spółka sporządza rachunek zysków i strat w wersji porównawczej.</t>
  </si>
  <si>
    <t>Spółka sporządza rachunek zysków i strat w wersji kalkulacyjnej.</t>
  </si>
  <si>
    <t>BILANS</t>
  </si>
  <si>
    <t>WPROWADZENIE</t>
  </si>
  <si>
    <t>PASYWA</t>
  </si>
  <si>
    <t>Rok poprzedni</t>
  </si>
  <si>
    <t>(direct method)</t>
  </si>
  <si>
    <t>Dostawy i usługi</t>
  </si>
  <si>
    <t>Wynagrodzenia netto</t>
  </si>
  <si>
    <t>Inne wydatki operacyjne</t>
  </si>
  <si>
    <t>CF mb</t>
  </si>
  <si>
    <t>CF mp</t>
  </si>
  <si>
    <t>RZiS Kal.</t>
  </si>
  <si>
    <t>RZiS Por.</t>
  </si>
  <si>
    <t>Z. Zm. w Kap.</t>
  </si>
  <si>
    <t>nota 1.1.a</t>
  </si>
  <si>
    <t>DODATKOWE INFORMACJE I OBJAŚNIENIA</t>
  </si>
  <si>
    <t>nota 1.1.b</t>
  </si>
  <si>
    <t>nota 1.1.c</t>
  </si>
  <si>
    <t>nota 1.9</t>
  </si>
  <si>
    <t>powyżej 360 dni</t>
  </si>
  <si>
    <t xml:space="preserve">Należności po uwzględnieniu odpisów aktualizujących </t>
  </si>
  <si>
    <t>3) w tym przeterminowane objęte postępowaniem upadłościowym, likwidacyjnym i układowym</t>
  </si>
  <si>
    <t>Liabilities incurred for the purpose of the joint venture or for purchase of property, plant and equipment used</t>
  </si>
  <si>
    <t>- fundamental economic and financial ratios, characterising the activities of related parties in the relevant year and in the prior financial year.</t>
  </si>
  <si>
    <t xml:space="preserve">Liabilities due to the purchase of property investments and intangible asset investment </t>
  </si>
  <si>
    <t>Value adjustment write-down of assets under construction which failed to bring effects</t>
  </si>
  <si>
    <t>Redemption of long-term loans advanced (plus)</t>
  </si>
  <si>
    <t>Interest</t>
  </si>
  <si>
    <t>Zobowiązania inne, niż wypłaty na rzecz właścicieli, z tytułu podziału zysku</t>
  </si>
  <si>
    <t>zysk / strata netto spółki za ostatni rok obrotowy</t>
  </si>
  <si>
    <t>Zobowiązania wobec budżetu państwa lub jednostek samorządu terytorialnego z tytułu uzyskania prawa własności budynków i budowli</t>
  </si>
  <si>
    <t>Finanzaufwendungen</t>
  </si>
  <si>
    <t>Außerordentliches Ergebnis</t>
  </si>
  <si>
    <t>Außerordentliche Erträge</t>
  </si>
  <si>
    <t>Außerordentliche Aufwendungen</t>
  </si>
  <si>
    <t>Ergebnis vor Steuern</t>
  </si>
  <si>
    <t xml:space="preserve">Körperschaftsteuer </t>
  </si>
  <si>
    <t>Gewinn- und Verlustrechnung</t>
  </si>
  <si>
    <t>(Umsatzkostenverfahren)</t>
  </si>
  <si>
    <t>Herstellungskosten der verkauften Erzeugnisse</t>
  </si>
  <si>
    <t>Rohertrag</t>
  </si>
  <si>
    <t>Vertriebskosten</t>
  </si>
  <si>
    <t>Allgemeine Verwaltungskosten</t>
  </si>
  <si>
    <t>Kapitalflussrechnung</t>
  </si>
  <si>
    <t>(indirekte Methode)</t>
  </si>
  <si>
    <t>Korrekturen insgesamt</t>
  </si>
  <si>
    <t>Kursgewinne/Kursverluste</t>
  </si>
  <si>
    <t>Ergebnis aus der Investitionstätigkeit</t>
  </si>
  <si>
    <t>Veräußerung von Investitionen in Immobilien sowie immaterielle Vermögensgegenstände und Rechte</t>
  </si>
  <si>
    <t>Dividenden und Gewinnbeteiligungen</t>
  </si>
  <si>
    <t>podmioty powiązane</t>
  </si>
  <si>
    <t>podmioty niepowiązane</t>
  </si>
  <si>
    <t>w tym zapłacone</t>
  </si>
  <si>
    <t>Odpisy aktualizujące należności</t>
  </si>
  <si>
    <t>Dane o odpisach aktualizujących należności</t>
  </si>
  <si>
    <t>Tytuł odpisu</t>
  </si>
  <si>
    <t>Zmiana stanu produktów</t>
  </si>
  <si>
    <t>Podatek dochodowy</t>
  </si>
  <si>
    <t>Urządzenia techniczne i maszyny</t>
  </si>
  <si>
    <t>nota 2</t>
  </si>
  <si>
    <t>(-) odliczenia od dochodu</t>
  </si>
  <si>
    <t>Dochód do opodatkowania</t>
  </si>
  <si>
    <t>Koszty związane ze wspólnym przedsięwzięciem</t>
  </si>
  <si>
    <t>Zobowiązania warunkowe dotyczące wspólnego przedsięwzięcia</t>
  </si>
  <si>
    <t>nota 7</t>
  </si>
  <si>
    <t>Przedmiot działalności spółki:</t>
  </si>
  <si>
    <t>Dane połączonych spółek za okres od XX.XX.XXXX do XX.XX.XXXX</t>
  </si>
  <si>
    <t>Koszty</t>
  </si>
  <si>
    <t>Zysk / strata</t>
  </si>
  <si>
    <t>środki pieniężne i inne aktywa pieniężne</t>
  </si>
  <si>
    <t>Pozostałe przychody operacyjne</t>
  </si>
  <si>
    <t>Usługi obce</t>
  </si>
  <si>
    <t>Wynagrodzenia</t>
  </si>
  <si>
    <t>Amortyzacja</t>
  </si>
  <si>
    <t>Depreciation</t>
  </si>
  <si>
    <t>Pozostałe</t>
  </si>
  <si>
    <t>(wariant porównawczy)</t>
  </si>
  <si>
    <t>Koszty ogólnego zarządu</t>
  </si>
  <si>
    <t>Zestawienie zmian w kapitale (funduszu) własnym</t>
  </si>
  <si>
    <t>1.1.</t>
  </si>
  <si>
    <t>3) darunter überfällige Verbindlichkeiten, die Gegenstand von Insolvenz-, Liquidations- und Vergleichsverfahren sind</t>
  </si>
  <si>
    <t>tworzony zgodnie ze statutem</t>
  </si>
  <si>
    <t>A.II.4. Zysk (strata) z działalności inwestycyjnej</t>
  </si>
  <si>
    <t>A.II.5. Zmiana stanu rezerw na zobowiązania</t>
  </si>
  <si>
    <t>Net (profit) loss for the period</t>
  </si>
  <si>
    <t>Foreign exchange gains (losses)</t>
  </si>
  <si>
    <t>Increase (decrease) in provisions</t>
  </si>
  <si>
    <t>Increase (decrease) in inventories</t>
  </si>
  <si>
    <t>Increase (decrease) in receivables</t>
  </si>
  <si>
    <t>Increase (decrease) in current liabilities (excl. loans and credits)</t>
  </si>
  <si>
    <t>Informationen über die durchschnittliche Beschäftigung im Geschäftsjahr mit Aufteilung in Berufsgruppen</t>
  </si>
  <si>
    <t>Zapasy wycenia się następująco:</t>
  </si>
  <si>
    <t xml:space="preserve">Inventories are valued as follows: </t>
  </si>
  <si>
    <t>amount</t>
  </si>
  <si>
    <t>Passive Rechnungsabgrenzung</t>
  </si>
  <si>
    <t>Verbrauch an Roh-, Hilfs- und Betriebsstoffen und Energie</t>
  </si>
  <si>
    <t>Neubewertung der nicht finanziellen Vermögenswerte</t>
  </si>
  <si>
    <t>Rezerwy tworzone są według następujących zasad:</t>
  </si>
  <si>
    <t>Podstawowy przedmiot działalności:</t>
  </si>
  <si>
    <t>profit distribution (over minimal legal requirements)</t>
  </si>
  <si>
    <t>zwiększenie (z tytułu)</t>
  </si>
  <si>
    <t>Zwiększenia</t>
  </si>
  <si>
    <t>Stan na początek roku obrotowego</t>
  </si>
  <si>
    <t>Zmniejszenia</t>
  </si>
  <si>
    <t>Stan na koniec roku obrotowego</t>
  </si>
  <si>
    <t>Land under usufruct right</t>
  </si>
  <si>
    <t>Share capital ownership structure and the number and nominal value of subscribed shares, incl. preference shares</t>
  </si>
  <si>
    <t>Wartość jednostki</t>
  </si>
  <si>
    <t>Propozycje co do podziału zysku/pokrycia straty za rok obrotowy</t>
  </si>
  <si>
    <t>Proposals with respect to profit distribution/cover of losses for the financial year</t>
  </si>
  <si>
    <t>Value adjustment write-downs</t>
  </si>
  <si>
    <t>Bierne rozliczenia międzyokresowe</t>
  </si>
  <si>
    <t>Umorzenie</t>
  </si>
  <si>
    <t>Wartość netto</t>
  </si>
  <si>
    <t>Zmiana stanu zapasów</t>
  </si>
  <si>
    <t>Zmiana stanu rozliczeń międzyokresowych</t>
  </si>
  <si>
    <t>……………………….</t>
  </si>
  <si>
    <t>Otrzymane odszkodowania z tytułu zdarzeń losowych</t>
  </si>
  <si>
    <t>NOTES TO THE FINANCIAL STATEMENTS</t>
  </si>
  <si>
    <t>Schedule of intangible assets</t>
  </si>
  <si>
    <t>Description</t>
  </si>
  <si>
    <t>Total</t>
  </si>
  <si>
    <t>Gross value</t>
  </si>
  <si>
    <t>Additions</t>
  </si>
  <si>
    <t>Disposals</t>
  </si>
  <si>
    <t>Net value</t>
  </si>
  <si>
    <t>Return on assets</t>
  </si>
  <si>
    <t>Return on sales</t>
  </si>
  <si>
    <t>Net profit against sale of finished goods and merchandise</t>
  </si>
  <si>
    <t>Gross return on sales</t>
  </si>
  <si>
    <t>Return on equity</t>
  </si>
  <si>
    <t>Net profit against owners’ equity</t>
  </si>
  <si>
    <t>Indebtedness</t>
  </si>
  <si>
    <t>Cover of assets with liabilities</t>
  </si>
  <si>
    <t>Liabilities against total assets</t>
  </si>
  <si>
    <t>Liquidity</t>
  </si>
  <si>
    <t xml:space="preserve">Current ratio </t>
  </si>
  <si>
    <t>Current assets against current liabilities</t>
  </si>
  <si>
    <t>Quick ratio</t>
  </si>
  <si>
    <t xml:space="preserve">Current assets less inventories against current liabilities </t>
  </si>
  <si>
    <t>Cash ratio</t>
  </si>
  <si>
    <t>Stability of the capital structure</t>
  </si>
  <si>
    <t>Owners’ equity plus provisions plus non-current liabilities against total equity &amp; liabilities</t>
  </si>
  <si>
    <t>Economic efficiency</t>
  </si>
  <si>
    <t xml:space="preserve">Collection of receivables </t>
  </si>
  <si>
    <t>Trade receivables against sale of finished goods and merchandise</t>
  </si>
  <si>
    <t xml:space="preserve">Payment of liabilities </t>
  </si>
  <si>
    <t>Trade payables against cost of merchandise sold plus production cost of finished goods sold</t>
  </si>
  <si>
    <t>Inventories turnover</t>
  </si>
  <si>
    <t>Inventories against cost of merchandise sold plus production cost of finished goods sold</t>
  </si>
  <si>
    <t>days</t>
  </si>
  <si>
    <t>Vergütung für den Aufsichtsrat</t>
  </si>
  <si>
    <t>Betrag</t>
  </si>
  <si>
    <t>Zinssatz</t>
  </si>
  <si>
    <t>Informationen über Geschäfte mit verbundenen Unternehmen</t>
  </si>
  <si>
    <t>Name des verbundenen Unternehmens</t>
  </si>
  <si>
    <t>Währung des Geschäfts</t>
  </si>
  <si>
    <t>Wert des Geschäfts in Fremdwährung</t>
  </si>
  <si>
    <t>Wert des Geschäfts in PLN</t>
  </si>
  <si>
    <t>Information über die Art des Geschäfts</t>
  </si>
  <si>
    <t>Pozostałe koszty operacyjne</t>
  </si>
  <si>
    <t>prawo wieczystego użytkowania gruntu</t>
  </si>
  <si>
    <t>Wprowadzenie do sprawozdania finansowego</t>
  </si>
  <si>
    <t>Inwestycje krótkoterminowe</t>
  </si>
  <si>
    <t>Krótkoterminowe aktywa finansowe</t>
  </si>
  <si>
    <t>inne krótkoterminowe aktywa finansowe</t>
  </si>
  <si>
    <t>Sales revenue and sales equivalents</t>
  </si>
  <si>
    <t>Revenue from sale of finished goods, merchandise and raw materials</t>
  </si>
  <si>
    <t>Wynik netto do kapitału własnego</t>
  </si>
  <si>
    <t>Aktywa obrotowe ogółem bez zapasów do zobowiązań krótkoterminowych</t>
  </si>
  <si>
    <t>pola do wypełnienia</t>
  </si>
  <si>
    <t>Veränderung der Neubewertungsrücklage</t>
  </si>
  <si>
    <t>kwota</t>
  </si>
  <si>
    <t>Wartość firmy</t>
  </si>
  <si>
    <t>nota do Z. Zm. w Kap.</t>
  </si>
  <si>
    <t>Zysk ze zbycia inwestycji</t>
  </si>
  <si>
    <t>nota 5</t>
  </si>
  <si>
    <t>Aktualizacja wartości aktywów niefinansowych</t>
  </si>
  <si>
    <t>Pozostałe obowiązkowe zmniejszenia zysku (zwiększenia straty)</t>
  </si>
  <si>
    <t>Środki trwałe</t>
  </si>
  <si>
    <t>urządzenia techniczne i maszyny</t>
  </si>
  <si>
    <t>inne środki trwałe</t>
  </si>
  <si>
    <t>środki transportu</t>
  </si>
  <si>
    <t>Środki trwałe w budowie</t>
  </si>
  <si>
    <t>Zaliczki na środki trwałe w budowie</t>
  </si>
  <si>
    <t>Od jednostek powiązanych</t>
  </si>
  <si>
    <t>Od pozostałych jednostek</t>
  </si>
  <si>
    <t>Nieruchomości</t>
  </si>
  <si>
    <t>Długoterminowe aktywa finansowe</t>
  </si>
  <si>
    <t>-</t>
  </si>
  <si>
    <t>w jednostkach powiązanych</t>
  </si>
  <si>
    <t>udziały lub akcje</t>
  </si>
  <si>
    <t>inne papiery wartościowe</t>
  </si>
  <si>
    <t>Inwestycje w nieruchomości oraz wartości niematerialne i prawne</t>
  </si>
  <si>
    <t>Na aktywa finansowe, w tym:</t>
  </si>
  <si>
    <t>nabycie aktywów finansowych</t>
  </si>
  <si>
    <t>udzielone pożyczki długoterminowe</t>
  </si>
  <si>
    <t>Inne wydatki inwestycyjne</t>
  </si>
  <si>
    <t>Nabycie udziałów (akcji) własnych</t>
  </si>
  <si>
    <t>Dywidendy i inne wypłaty na rzecz właścicieli</t>
  </si>
  <si>
    <t>Spłaty kredytów i pożyczek</t>
  </si>
  <si>
    <t>Wykup dłużnych papierów wartościowych</t>
  </si>
  <si>
    <t>Z tytułu innych zobowiązań finansowych</t>
  </si>
  <si>
    <t>Odsetki</t>
  </si>
  <si>
    <t>including outlays made for environmental protection</t>
  </si>
  <si>
    <t>Tag</t>
  </si>
  <si>
    <t>Das Geschäftsjahr beginnt am:</t>
  </si>
  <si>
    <t>Vorjahr</t>
  </si>
  <si>
    <t>Die Gewinn- und Verlustrechnung wird erstellt nach dem</t>
  </si>
  <si>
    <t xml:space="preserve">Gesamtkostenverfahren </t>
  </si>
  <si>
    <t>Umsatzkostenverfahren</t>
  </si>
  <si>
    <t>Datum der Erstellung des Jahresabschlusses</t>
  </si>
  <si>
    <t>Bilanzstichtag vor 2 Jahren</t>
  </si>
  <si>
    <t>Die Kapitalflussrechnung wird erstellt nach</t>
  </si>
  <si>
    <t>Środki trwałe podlegają okresowym aktualizacjom wyceny według zasad określonych przez Ministra Finansów.</t>
  </si>
  <si>
    <t>EINLEITUNG ZUM JAHRESABSCHLUSS</t>
  </si>
  <si>
    <t>Sitz der Gesellschaft</t>
  </si>
  <si>
    <t>Bewertungsmethoden:</t>
  </si>
  <si>
    <t>a) Immaterielle Vermögensgegenstände und Rechte</t>
  </si>
  <si>
    <t>Sonstige immaterielle Vermögensgegenstände und Rechte</t>
  </si>
  <si>
    <t>b) Sachanlagen</t>
  </si>
  <si>
    <t>Technische Anlagen und Maschinen</t>
  </si>
  <si>
    <t>Transportmittel</t>
  </si>
  <si>
    <t>Sonstige Sachanlagen</t>
  </si>
  <si>
    <t>c) Anlagen im Bau</t>
  </si>
  <si>
    <t>d) Investitionen</t>
  </si>
  <si>
    <t>Die langfristigen Investitionen werden wie folgt bewertet:</t>
  </si>
  <si>
    <t>Other services</t>
  </si>
  <si>
    <t>Erträge</t>
  </si>
  <si>
    <t>Aufwendungen</t>
  </si>
  <si>
    <t>Gewinn / Verlust</t>
  </si>
  <si>
    <t>Änderung des Eigenkapitals</t>
  </si>
  <si>
    <t>Total:</t>
  </si>
  <si>
    <t>Prepayments</t>
  </si>
  <si>
    <t>Item</t>
  </si>
  <si>
    <t>Exports</t>
  </si>
  <si>
    <t>Income</t>
  </si>
  <si>
    <t>(-) deductions from income</t>
  </si>
  <si>
    <t>Taxable income</t>
  </si>
  <si>
    <t>Basis for corporate income tax (in round figures)</t>
  </si>
  <si>
    <t>Income tax</t>
  </si>
  <si>
    <t>Change in deferred tax</t>
  </si>
  <si>
    <t>Total income tax</t>
  </si>
  <si>
    <t>Expenses</t>
  </si>
  <si>
    <t>a) depreciation</t>
  </si>
  <si>
    <t>b) raw materials and energy used</t>
  </si>
  <si>
    <t>c) external services</t>
  </si>
  <si>
    <t>d) taxes and charges</t>
  </si>
  <si>
    <t>e) wages and salaries</t>
  </si>
  <si>
    <t>PRZEWIDYWANY ROZWÓJ SPÓŁKI</t>
  </si>
  <si>
    <t>PODSUMOWANIE</t>
  </si>
  <si>
    <t>Spółka jest zarejestrowana pod firmą:</t>
  </si>
  <si>
    <t>Kapitał zakładowy</t>
  </si>
  <si>
    <t>Czynne rozliczenia międzyokresowe</t>
  </si>
  <si>
    <t>Inne rozliczenia międzyokresowe</t>
  </si>
  <si>
    <t>Inne</t>
  </si>
  <si>
    <t>dla jednostek powiązanych</t>
  </si>
  <si>
    <t>Strata ze zbycia inwestycji</t>
  </si>
  <si>
    <t>Wynik zdarzeń nadzwyczajnych</t>
  </si>
  <si>
    <t>Koszt wytworzenia produktów na własne potrzeby jednostki</t>
  </si>
  <si>
    <t>Reconciliation of net cash flows from operating activities, prepared using the indirect method (when using the direct method)</t>
  </si>
  <si>
    <t>Stabilität der Finanzierungsstruktur</t>
  </si>
  <si>
    <t>Jahresergebnis nach Steuern</t>
  </si>
  <si>
    <t>Jahresergebnis nach Steuern zu Aktiva</t>
  </si>
  <si>
    <t>Jahresergebnis nach Steuern zu Umsatzerlösen</t>
  </si>
  <si>
    <t>Deckung des Vermögens durch Verbindlichkeiten</t>
  </si>
  <si>
    <t>Kurzfristige Vermögenswerte zu kurzfristigen Verbindlichkeiten</t>
  </si>
  <si>
    <t>Kurzfristige Vermögenswerte ohne Vorräte zu kurzfristigen Verbindlichkeiten</t>
  </si>
  <si>
    <t xml:space="preserve"> - Körperschaftsteuer</t>
  </si>
  <si>
    <t>Veräußerung finanzieller Vermögenswerte</t>
  </si>
  <si>
    <t>Dividenden und sonstige Zahlungen an Eigentümer</t>
  </si>
  <si>
    <t>1) nicht überfällige Forderungen</t>
  </si>
  <si>
    <t>1) nicht überfällige Verbindlichkeiten</t>
  </si>
  <si>
    <t>2) überfällige Forderungen</t>
  </si>
  <si>
    <t>2) überfällige Verbindlichkeiten</t>
  </si>
  <si>
    <t>Verbundene Unternehmen</t>
  </si>
  <si>
    <t>Dritte Unternehmen</t>
  </si>
  <si>
    <t>The Company's business activity comprises:</t>
  </si>
  <si>
    <t xml:space="preserve">Current investments against current liabilities </t>
  </si>
  <si>
    <t>W okresie sprawozdawczym Zarząd sprawowali:</t>
  </si>
  <si>
    <t>nota 6</t>
  </si>
  <si>
    <t>Przychody uzyskane ze wspólnego przedsięwzięcia</t>
  </si>
  <si>
    <t>Należy ująć informację o stosowaniu ładu korporacyjnego w przypadku jednostek, których papiery wartościowe zostały dopuszczone do obrotu na jednym z rynków regulowanych Europejskiego Obszaru Gospodarczego.</t>
  </si>
  <si>
    <t xml:space="preserve"> - Ergebnis aus dem Verkauf</t>
  </si>
  <si>
    <t xml:space="preserve"> - Ergebnis aus der sonstigen betrieblichen Tätigkeit</t>
  </si>
  <si>
    <t>Rückzahlung von Krediten und Darlehen</t>
  </si>
  <si>
    <t>Geldmittel am Anfang des Geschäftsjahres</t>
  </si>
  <si>
    <t>mit Verfügbarkeitsbeschränkung</t>
  </si>
  <si>
    <t>(direkte Methode)</t>
  </si>
  <si>
    <t>Verkauf</t>
  </si>
  <si>
    <t>Lieferungen und Leistungen</t>
  </si>
  <si>
    <t>Sozial- und Krankenversicherung sowie andere Leistungen</t>
  </si>
  <si>
    <t>Eigenkapitalspiegel</t>
  </si>
  <si>
    <t>nazwa spółki</t>
  </si>
  <si>
    <t>siedziba spółki</t>
  </si>
  <si>
    <t>name of the company</t>
  </si>
  <si>
    <t>company registered office</t>
  </si>
  <si>
    <t>level of participation in management</t>
  </si>
  <si>
    <t>If the entity does not prepare consolidated financial statements, based on exemption or exclusion, information on:</t>
  </si>
  <si>
    <t>Treasury shares at the beginning of the period</t>
  </si>
  <si>
    <t>O.</t>
  </si>
  <si>
    <t>Przepływy środków pieniężnych z działalności finansowej</t>
  </si>
  <si>
    <t>Wartości niematerialne i prawne</t>
  </si>
  <si>
    <t>Nazwa i zakres działalności wspólnego przedsięwzięcia</t>
  </si>
  <si>
    <t>Procentowy udział jednostki w przedsięwzięciu</t>
  </si>
  <si>
    <t>Część wspólnie kontrolowanych rzeczowych składników aktywów trwałych oraz wartości niematerialnych i prawnych</t>
  </si>
  <si>
    <t>Zobowiązania zaciągnięte na potrzeby przedsięwzięcia lub zakup używanych rzeczowych składników aktywów trwałych</t>
  </si>
  <si>
    <t>Rozliczenie głównych pozycji różniących podstawę opodatkowania podatkiem dochodowym od wyniku finansowego (zysku, straty) brutto</t>
  </si>
  <si>
    <t>Revenues, expenses and results of activities discontinued in the financial year or expected to be discontinued in the next financial year</t>
  </si>
  <si>
    <t>Informacje o przychodach, kosztach i wynikach działalności zaniechanej w roku obrotowym lub przewidzianej do zaniechania w roku następnym</t>
  </si>
  <si>
    <t>Veränderung des gezeichneten Kapitals</t>
  </si>
  <si>
    <t xml:space="preserve">Zugänge  </t>
  </si>
  <si>
    <t xml:space="preserve">Abgänge  </t>
  </si>
  <si>
    <t>h) Zobowiązania</t>
  </si>
  <si>
    <t>Zestawienie wartości niematerialnych i prawnych</t>
  </si>
  <si>
    <t>Opis</t>
  </si>
  <si>
    <t>Zinsen</t>
  </si>
  <si>
    <t>Zbycie inwestycji w nieruchomości oraz wartości niematerialne i prawne</t>
  </si>
  <si>
    <t>Jahresüberschuss</t>
  </si>
  <si>
    <t>Jahresfehlbetrag</t>
  </si>
  <si>
    <t>Zusammenstellung der immateriellen Vermögensgegenstände und Rechte</t>
  </si>
  <si>
    <t>Insgesamt</t>
  </si>
  <si>
    <t>Bruttowert</t>
  </si>
  <si>
    <t>Stand am Anfang des Geschäftsjahres</t>
  </si>
  <si>
    <t>Zugänge</t>
  </si>
  <si>
    <t>Stand am Ende des Geschäftsjahres</t>
  </si>
  <si>
    <t>Abschreibung</t>
  </si>
  <si>
    <t>Nettowert</t>
  </si>
  <si>
    <t>Zusammenstellung der langfristigen Investitionen</t>
  </si>
  <si>
    <t>Immaterielle Vermögensgegenstände und Rechte</t>
  </si>
  <si>
    <t>Wert der Grundstücke im Erbnießbrauch</t>
  </si>
  <si>
    <t>Kapitalrücklage</t>
  </si>
  <si>
    <t>Zuführung</t>
  </si>
  <si>
    <t>Minderung</t>
  </si>
  <si>
    <t>Inanspruchnahme</t>
  </si>
  <si>
    <t>Auflösung</t>
  </si>
  <si>
    <t>Verwendungszweck der Rückstellung</t>
  </si>
  <si>
    <t>über 360 Tage</t>
  </si>
  <si>
    <t>Forderungen unter Berücksichtigung der Wertberichtigungen</t>
  </si>
  <si>
    <t>darunter bestätigt</t>
  </si>
  <si>
    <t>darunter bezahlt</t>
  </si>
  <si>
    <t>Art der Wertberichtigung</t>
  </si>
  <si>
    <t>3) darunter überfällige Forderungen, die Gegenstand von Insolvenz-, Liquidations- und Vergleichsverfahren sind</t>
  </si>
  <si>
    <t>Verbindlichkeiten aus Lieferungen und Leistungen</t>
  </si>
  <si>
    <t>Summe (1+2)</t>
  </si>
  <si>
    <t>Restlaufzeit:</t>
  </si>
  <si>
    <t>Aktive Rechnungsabgrenzungsposten</t>
  </si>
  <si>
    <t>Erfassung unter den Aufwendungen des Geschäftsjahres</t>
  </si>
  <si>
    <t>Position</t>
  </si>
  <si>
    <t>Inland</t>
  </si>
  <si>
    <t>Export</t>
  </si>
  <si>
    <t>Insgesamt:</t>
  </si>
  <si>
    <t>Zobowiązania z tytułu zakupu wartości niematerialnych i prawnych i środków trwałych</t>
  </si>
  <si>
    <t>Inne zobowiązania z tytułu działalności inwestycyjnej</t>
  </si>
  <si>
    <t>Zobowiązania z tytułu nabycia (akcji) własnych</t>
  </si>
  <si>
    <t>Zobowiązania z tytułu dywidend i innych wypłat na rzecz właścicieli</t>
  </si>
  <si>
    <t>Zobowiązania z tytułu dłużnych papierów wartościowych</t>
  </si>
  <si>
    <t>Inne zobowiązania finansowe</t>
  </si>
  <si>
    <t>Zobowiązania z tytułu umów leasingu finansowego</t>
  </si>
  <si>
    <t>Zobowiązania z tytułu kredytów i pożyczek</t>
  </si>
  <si>
    <t>Sąd właściwy lub inny organ prowadzący rejestr:</t>
  </si>
  <si>
    <t>Okres objęty sprawozdaniem finansowym:</t>
  </si>
  <si>
    <t xml:space="preserve">Sprawozdanie finansowe zostało sporządzone przy założeniu kontynuowania działalności gospodarczej przez Spółkę.  </t>
  </si>
  <si>
    <t>Nie istnieją żadne okoliczności wskazujące na zagrożenie dla kontynuowania działalności przez Spółkę.</t>
  </si>
  <si>
    <t>Revaluation reserve at the end of the period</t>
  </si>
  <si>
    <t>Other capital reserves at the beginning of the period</t>
  </si>
  <si>
    <t>Movements in other capital reserves</t>
  </si>
  <si>
    <t>Other capital reserves at the end of the period</t>
  </si>
  <si>
    <t>porównawczej</t>
  </si>
  <si>
    <t>Inwestycje długoterminowe wycenia się następująco:</t>
  </si>
  <si>
    <t>Inwestycje krótkoterminowe wycenia się następująco:</t>
  </si>
  <si>
    <t>e) Zapasy</t>
  </si>
  <si>
    <t>Issued share capital at the end of the period</t>
  </si>
  <si>
    <t>Inwestycje krótkoterminowe do zobowiązań krótkoterminowych</t>
  </si>
  <si>
    <t>Efektywność gospodarowania</t>
  </si>
  <si>
    <t>– Wechsel,</t>
  </si>
  <si>
    <t>Äquivalente der Geldmittel, darunter</t>
  </si>
  <si>
    <t>Bilanzbewertung der Geldmittel</t>
  </si>
  <si>
    <t>Abschreibung der Anlagen im Bau, die kein wirtschaftliches Ergebnis brachten</t>
  </si>
  <si>
    <t>Seite</t>
  </si>
  <si>
    <t>HAUPTTEIL</t>
  </si>
  <si>
    <t>fields to fill in</t>
  </si>
  <si>
    <t>Tangible assets are subject to periodical revaluation in compliance with the principles specified by the Minister of Finance.</t>
  </si>
  <si>
    <t>Pozostałe usługi</t>
  </si>
  <si>
    <t>Skutki zdarzeń losowych</t>
  </si>
  <si>
    <t>2.10.</t>
  </si>
  <si>
    <t>Wynik na operacjach nadzwyczajnych</t>
  </si>
  <si>
    <t>Podatek dochodowy od wyniku na operacjach nadzwyczajnych</t>
  </si>
  <si>
    <t>In the reporting period the Company was managed by:</t>
  </si>
  <si>
    <t>Supervisory Board</t>
  </si>
  <si>
    <t>The members of the Supervisory Board are:</t>
  </si>
  <si>
    <t>Balance sheet structure</t>
  </si>
  <si>
    <t>Income statement structure</t>
  </si>
  <si>
    <t xml:space="preserve">Relative changes in the balance sheet in current prices </t>
  </si>
  <si>
    <t>Relative changes in the income statement in current prices</t>
  </si>
  <si>
    <t>Ratios</t>
  </si>
  <si>
    <t>Balance sheet total</t>
  </si>
  <si>
    <t>Profitability</t>
  </si>
  <si>
    <t>nota do CF</t>
  </si>
  <si>
    <t>Struktura środków pieniężnych do sprawozdania z przepływu środków pieniężnych</t>
  </si>
  <si>
    <t>A.II.3. Odsetki i udziały w zyskach (dywidendy)</t>
  </si>
  <si>
    <t>zapłacone</t>
  </si>
  <si>
    <t>otrzymane</t>
  </si>
  <si>
    <t>Odsetki od udzielonych pożyczek</t>
  </si>
  <si>
    <t>Zysk (strata) na sprzedaży składników działalności inwestycyjnej</t>
  </si>
  <si>
    <t>Przekazane darowizny niepieniężnych składników działalności inwestycyjnej</t>
  </si>
  <si>
    <t>Ujawnione niedobory inwentaryzacyjne składników działalności inwestycyjnej</t>
  </si>
  <si>
    <t>A.II.7. Zmiana stanu należności</t>
  </si>
  <si>
    <t>Należności z tytułu sprzedaży środków trwałych lub z operacji i zdarzeń niepieniężnych</t>
  </si>
  <si>
    <t>w tym, zobowiązania z działalności inwestycyjnej</t>
  </si>
  <si>
    <t>Zobowiązania z tytułu zakupu inwestycji w nieruchomości i wartości niematerialne i prawne</t>
  </si>
  <si>
    <t>w tym, zobowiązania z działalności finansowej</t>
  </si>
  <si>
    <t>Zobowiązania z działalności operacyjnej</t>
  </si>
  <si>
    <t>Dotacje w roku ich otrzymania, jeżeli wpłynęły w całości, odniesione na wyn. fin. bieżącego okresu</t>
  </si>
  <si>
    <t xml:space="preserve">E. Bilansowa zmiana środków pieniężnych </t>
  </si>
  <si>
    <t>Nazwa jednostki:</t>
  </si>
  <si>
    <t>Other</t>
  </si>
  <si>
    <t>Pozostałe rezerwy</t>
  </si>
  <si>
    <t>Zobowiązania krótkoterminowe</t>
  </si>
  <si>
    <t>Zobowiązania z tytułu dostaw i usług</t>
  </si>
  <si>
    <t xml:space="preserve"> </t>
  </si>
  <si>
    <t>Fundusze specjalne</t>
  </si>
  <si>
    <t>Special funds</t>
  </si>
  <si>
    <t>Other capital reserves</t>
  </si>
  <si>
    <t>Accumulated profit (loss) carried forward</t>
  </si>
  <si>
    <t>Net profit (loss) for the period</t>
  </si>
  <si>
    <t>CZĘŚĆ OGÓLNA</t>
  </si>
  <si>
    <t>o ograniczonej możliwości dysponowania</t>
  </si>
  <si>
    <t>Środki pieniężne na początek okresu</t>
  </si>
  <si>
    <t>Accumulated profit (loss) carried forward at the beginning of the period</t>
  </si>
  <si>
    <t>distribution of accumulated profit carried forward</t>
  </si>
  <si>
    <t>Goodwill</t>
  </si>
  <si>
    <t>Inne wartości niematerialne i prawne</t>
  </si>
  <si>
    <t>Zmiany kapitału (funduszu) podstawowego</t>
  </si>
  <si>
    <t>wydania udziałów (emisji akcji)</t>
  </si>
  <si>
    <t>zmniejszenie (z tytułu)</t>
  </si>
  <si>
    <t>Zmiana należnych wpłat na kapitał podstawowy</t>
  </si>
  <si>
    <t>2.2.</t>
  </si>
  <si>
    <t>3.</t>
  </si>
  <si>
    <t>3.1.</t>
  </si>
  <si>
    <t>4.1.</t>
  </si>
  <si>
    <t>5.1.</t>
  </si>
  <si>
    <t>6.</t>
  </si>
  <si>
    <t>umorzenia udziałów (akcji)</t>
  </si>
  <si>
    <t>Należne wpłaty na kapitał podstawowy na początek okresu</t>
  </si>
  <si>
    <t>Należne wpłaty na kapitał podstawowy na koniec okresu</t>
  </si>
  <si>
    <t>Udziały (akcje) własne na początek okresu</t>
  </si>
  <si>
    <t>zwiększenie</t>
  </si>
  <si>
    <t>zmniejszenie</t>
  </si>
  <si>
    <t>Udziały (akcje) własne na koniec okresu</t>
  </si>
  <si>
    <t>Zmiany kapitału (funduszu) zapasowego</t>
  </si>
  <si>
    <t>emisji akcji powyżej wartości nominalnej</t>
  </si>
  <si>
    <t>(metoda bezpośrednia)</t>
  </si>
  <si>
    <t>Data sporządzenia sprawozdania finansowego</t>
  </si>
  <si>
    <t>Osoba sporządzająca:</t>
  </si>
  <si>
    <t>Zarząd:</t>
  </si>
  <si>
    <t>Increase (decrease) in prepayments and accruals</t>
  </si>
  <si>
    <t>Other adjustments</t>
  </si>
  <si>
    <t>Net cash from operating activities</t>
  </si>
  <si>
    <t>Cash flows from investing activities</t>
  </si>
  <si>
    <t>Receipts</t>
  </si>
  <si>
    <t>Sale of intangible assets and property, plant and equipment</t>
  </si>
  <si>
    <t>Sale of property investments and intangible asset investments</t>
  </si>
  <si>
    <t>From financial assets, incl.:</t>
  </si>
  <si>
    <t>those in related parties</t>
  </si>
  <si>
    <t>those in third parties</t>
  </si>
  <si>
    <t>sale of financial assets</t>
  </si>
  <si>
    <t>dividends and profit sharing</t>
  </si>
  <si>
    <t>repayment of long-term loans advanced</t>
  </si>
  <si>
    <t>interest</t>
  </si>
  <si>
    <t>other receipts from financial assets</t>
  </si>
  <si>
    <t>Payments</t>
  </si>
  <si>
    <t>Purchase of intangible assets and property, plant and equipment</t>
  </si>
  <si>
    <t>Property investments and intangible asset investments</t>
  </si>
  <si>
    <t>For financial assets, incl.:</t>
  </si>
  <si>
    <t>purchase of financial assets</t>
  </si>
  <si>
    <t>long-term loans advanced</t>
  </si>
  <si>
    <t>Other payments for investing activities</t>
  </si>
  <si>
    <t>Net cash from investing activities</t>
  </si>
  <si>
    <t>Cash flows from financing activities</t>
  </si>
  <si>
    <t>Net proceeds from issuance of shares and other equity instruments and from additional capital contributions</t>
  </si>
  <si>
    <t>Issuance of debt securities</t>
  </si>
  <si>
    <t>Other receipts from financing activities</t>
  </si>
  <si>
    <t>Purchase of treasury shares</t>
  </si>
  <si>
    <t>środki pieniężne w kasie i na rachunkach</t>
  </si>
  <si>
    <t>inne środki pieniężne</t>
  </si>
  <si>
    <t>inne aktywa pieniężne</t>
  </si>
  <si>
    <t>Tytuł rezerwy</t>
  </si>
  <si>
    <t>w tym potwierdzone</t>
  </si>
  <si>
    <t>1) nieprzeterminowane</t>
  </si>
  <si>
    <t>2) przeterminowane</t>
  </si>
  <si>
    <t>Ogółem</t>
  </si>
  <si>
    <t>Zestawienie rzeczowych aktywów trwałych</t>
  </si>
  <si>
    <t>Zestawienie inwestycji długoterminowych</t>
  </si>
  <si>
    <t>1.3</t>
  </si>
  <si>
    <t>1.4</t>
  </si>
  <si>
    <t>Odsetki od kredytów</t>
  </si>
  <si>
    <t>Otrzymane i zarachowane dywidendy</t>
  </si>
  <si>
    <t>Pozostałe odsetki</t>
  </si>
  <si>
    <t>Razem odsetki</t>
  </si>
  <si>
    <t>Inne inwestycje krótkoterminowe</t>
  </si>
  <si>
    <t>Krótkoterminowe rozliczenia międzyokresowe</t>
  </si>
  <si>
    <t>Zysk (strata) z lat ubiegłych</t>
  </si>
  <si>
    <t>Zysk (strata) netto</t>
  </si>
  <si>
    <t>zmiana podatku odroczonego</t>
  </si>
  <si>
    <t>Strata na likwidacji działalności inwestycyjnej</t>
  </si>
  <si>
    <t>w tym planowane nakłady na ochronę środowiska</t>
  </si>
  <si>
    <t>2.9.</t>
  </si>
  <si>
    <t>Zarząd i przedstawicielstwo</t>
  </si>
  <si>
    <t>Przedmiot działalności jednostki</t>
  </si>
  <si>
    <t>Przedmiotem działalności jednostki jest:</t>
  </si>
  <si>
    <t>Oddziały Spółki</t>
  </si>
  <si>
    <t>Struktura bilansu</t>
  </si>
  <si>
    <t>Struktura rachunku zysków i strat</t>
  </si>
  <si>
    <t>Przychody netto ze sprzedaży i zrównane z nimi</t>
  </si>
  <si>
    <t>Wskaźniki</t>
  </si>
  <si>
    <t>Suma bilansowa</t>
  </si>
  <si>
    <t>Wynik finansowy netto</t>
  </si>
  <si>
    <t>Rentowność</t>
  </si>
  <si>
    <t>Rentowność majątku</t>
  </si>
  <si>
    <t>Wynik netto do aktywów</t>
  </si>
  <si>
    <t>Rentowność sprzedaży netto</t>
  </si>
  <si>
    <t>Wynik netto do sprzedaży produktów i towarów</t>
  </si>
  <si>
    <t>Wynik na sprzedaży do sprzedaży produktów i towarów</t>
  </si>
  <si>
    <t>Zadłużenie</t>
  </si>
  <si>
    <t>Pokrycie majątku zobowiązaniami</t>
  </si>
  <si>
    <t>Płynność</t>
  </si>
  <si>
    <t>I stopnia</t>
  </si>
  <si>
    <t>II stopnia</t>
  </si>
  <si>
    <t>III stopnia</t>
  </si>
  <si>
    <t>Trwałość struktury finansowania</t>
  </si>
  <si>
    <t>Szybkość obrotu należnościami</t>
  </si>
  <si>
    <t>Należności z dostaw i usług do sprzedaży produktów i towarów</t>
  </si>
  <si>
    <t>dni</t>
  </si>
  <si>
    <t>Szybkość obrotu zobowiązaniami</t>
  </si>
  <si>
    <t>spis treści</t>
  </si>
  <si>
    <t>Spis treści</t>
  </si>
  <si>
    <t>Strona</t>
  </si>
  <si>
    <t>WIZYTÓWKA SPÓŁKI</t>
  </si>
  <si>
    <t>SPRZEDAŻ</t>
  </si>
  <si>
    <t>PERSONEL</t>
  </si>
  <si>
    <t>ANALIZA FINANSOWA</t>
  </si>
  <si>
    <t>Ujawnione nadwyżki inwentaryzacyjne składników działalności inwestycyjnej</t>
  </si>
  <si>
    <t>Razem zysk (strata) z działalności inwestycyjnej</t>
  </si>
  <si>
    <t>w tym</t>
  </si>
  <si>
    <t>Rezerwa na odroczony podatek dochodowy utworzona w ciężar kosztów</t>
  </si>
  <si>
    <t>Razem rezerwy po korekcie</t>
  </si>
  <si>
    <t>Zmiana stanu</t>
  </si>
  <si>
    <t>Należności krótkoterminowe od jednostek powiązanych</t>
  </si>
  <si>
    <t>Należności krótkoterminowe od pozostałych jednostek</t>
  </si>
  <si>
    <t>Razem należności netto</t>
  </si>
  <si>
    <t>Razem należności netto po korektach</t>
  </si>
  <si>
    <t>Zobowiązania krótkoterminowe wobec jednostek powiązanych</t>
  </si>
  <si>
    <t>Zobowiązania krótkoterminowe wobec pozostałych jednostek</t>
  </si>
  <si>
    <t>Razem zobowiązania</t>
  </si>
  <si>
    <t>Real property</t>
  </si>
  <si>
    <t>nota 8</t>
  </si>
  <si>
    <t>Szczegółowe informacje dotyczące udziałowców.</t>
  </si>
  <si>
    <t>Inne informacje dotyczące sprzedaży.</t>
  </si>
  <si>
    <t>additions</t>
  </si>
  <si>
    <t>SPRAWOZDANIE</t>
  </si>
  <si>
    <t>Rada Nadzorcza</t>
  </si>
  <si>
    <t>Accumulated profit (loss) carried forward at the end of the period</t>
  </si>
  <si>
    <t>net profit</t>
  </si>
  <si>
    <t>net loss</t>
  </si>
  <si>
    <t>deductions from net profit</t>
  </si>
  <si>
    <t>Cash flow statement</t>
  </si>
  <si>
    <t>(indirect method)</t>
  </si>
  <si>
    <t>Cash flows from operating activities</t>
  </si>
  <si>
    <t>bezpośredniej</t>
  </si>
  <si>
    <t>pośredniej</t>
  </si>
  <si>
    <t>Spółka sporządza CF w wersji</t>
  </si>
  <si>
    <t>nie sporządza</t>
  </si>
  <si>
    <t>Dzień bilansowy sprzed 2 lat</t>
  </si>
  <si>
    <t>Zobowiązania i rezerwy na zobowiązania</t>
  </si>
  <si>
    <t>Rezerwy na zobowiązania</t>
  </si>
  <si>
    <t>Rezerwa z tytułu odroczonego podatku dochodowego</t>
  </si>
  <si>
    <t>Rezerwa na świadczenia emerytalne i podobne</t>
  </si>
  <si>
    <t>długoterminowa</t>
  </si>
  <si>
    <t>krótkoterminowa</t>
  </si>
  <si>
    <t>Zobowiązania długoterminowe</t>
  </si>
  <si>
    <t>Wobec jednostek powiązanych</t>
  </si>
  <si>
    <t>Wobec pozostałych jednostek</t>
  </si>
  <si>
    <t>kredyty i pożyczki</t>
  </si>
  <si>
    <t>z tytułu emisji dłużnych papierów wartościowych</t>
  </si>
  <si>
    <t>inne zobowiązania finansowe</t>
  </si>
  <si>
    <t>z tytułu dostaw i usług, o okresie wymagalności:</t>
  </si>
  <si>
    <t>zobowiązania wekslowe</t>
  </si>
  <si>
    <t>Pasywa razem</t>
  </si>
  <si>
    <t>z tytułu wynagrodzeń</t>
  </si>
  <si>
    <t>Rozliczenia międzyokresowe</t>
  </si>
  <si>
    <t>Ujemna wartość firmy</t>
  </si>
  <si>
    <t>Rachunek zysków i strat</t>
  </si>
  <si>
    <t>Bilans</t>
  </si>
  <si>
    <t>(wariant kalkulacyjny)</t>
  </si>
  <si>
    <t>od jednostek powiązanych</t>
  </si>
  <si>
    <t>jednostkom powiązanym</t>
  </si>
  <si>
    <t>Koszt wytworzenia sprzedanych produktów</t>
  </si>
  <si>
    <t>Liabilities and provisions for liabilities</t>
  </si>
  <si>
    <t>Provisions for liabilities</t>
  </si>
  <si>
    <t>non-current</t>
  </si>
  <si>
    <t>current</t>
  </si>
  <si>
    <t>Other provisions</t>
  </si>
  <si>
    <t>Non-current liabilities</t>
  </si>
  <si>
    <t>Against related parties</t>
  </si>
  <si>
    <t>Against third parties</t>
  </si>
  <si>
    <t>issued debt securities</t>
  </si>
  <si>
    <t>other financial liabilities</t>
  </si>
  <si>
    <t>Current liabilities</t>
  </si>
  <si>
    <t xml:space="preserve">other </t>
  </si>
  <si>
    <t>bills of exchange payable</t>
  </si>
  <si>
    <t>Część zobowiązań wspólnie zaciągniętych</t>
  </si>
  <si>
    <t>Zobowiązania inwestycyjne dotyczące wspólnego przedsięwzięcia</t>
  </si>
  <si>
    <t>Przychody finansowe</t>
  </si>
  <si>
    <t>(w przypadku różnic pomiędzy zmianami stanu niektórych pozycji w bilansie oraz zmianami tych samych pozycji wykazanymi w rachunku przepływów pieniężnych należy wyjaśnić ich przyczyny)</t>
  </si>
  <si>
    <t>Środki pieniężne na początek roku obrotowego</t>
  </si>
  <si>
    <t>Środki pieniężne na koniec roku obrotowego</t>
  </si>
  <si>
    <t>Przeciętny stan zatrudnienia w roku obrotowym</t>
  </si>
  <si>
    <t>Kobiety</t>
  </si>
  <si>
    <t>Mężczyźni</t>
  </si>
  <si>
    <t>4.2.</t>
  </si>
  <si>
    <t>Other payments for financing activities</t>
  </si>
  <si>
    <t>2.1.</t>
  </si>
  <si>
    <t>Pozycja</t>
  </si>
  <si>
    <t>Kraj</t>
  </si>
  <si>
    <t>Eksport</t>
  </si>
  <si>
    <t>Razem</t>
  </si>
  <si>
    <t>Kapitał (fundusz) własny na początek okresu (BO)</t>
  </si>
  <si>
    <t>I.a.</t>
  </si>
  <si>
    <t>Total net cash inflow/outflow</t>
  </si>
  <si>
    <t>Balance sheet change in cash and cash equivalents, incl.:</t>
  </si>
  <si>
    <t>W Radzie Nadzorczej zasiadają:</t>
  </si>
  <si>
    <t>Rentowność sprzedaży brutto</t>
  </si>
  <si>
    <t>Zobowiązania do majątku</t>
  </si>
  <si>
    <t>Kapitał własny, rezerwy i zobowiązania długoterminowe do sumy pasywów</t>
  </si>
  <si>
    <t>Zobowiązania z dostaw i usług do wartości sprzedanych towarów i kosztu wytworzenia sprzedanych produktów</t>
  </si>
  <si>
    <t>Szybkość obrotu zapasami</t>
  </si>
  <si>
    <t>zmiana stanu środków pieniężnych z tytułu różnic kursowych</t>
  </si>
  <si>
    <t>Zysk z lat ubiegłych na koniec okresu</t>
  </si>
  <si>
    <t>Strata z lat ubiegłych na początek okresu</t>
  </si>
  <si>
    <t>Strata z lat ubiegłych na początek okresu, po korektach</t>
  </si>
  <si>
    <t>przeniesienia straty z lat ubiegłych do pokrycia</t>
  </si>
  <si>
    <t>2.3.</t>
  </si>
  <si>
    <t>2.4.</t>
  </si>
  <si>
    <t>2.5.</t>
  </si>
  <si>
    <t>zysk / strata brutto</t>
  </si>
  <si>
    <t>(+) koszty nkup</t>
  </si>
  <si>
    <t>(-) koszty nkup z lat poprzednich stanowiące kup w roku obrotowym</t>
  </si>
  <si>
    <t>GA</t>
  </si>
  <si>
    <t>dane przeniesione z innego arkusza</t>
  </si>
  <si>
    <t>pola kontrolne</t>
  </si>
  <si>
    <t>formuły</t>
  </si>
  <si>
    <t>ulica i numer</t>
  </si>
  <si>
    <t>nazwa Spółki</t>
  </si>
  <si>
    <t>kod pocztowy</t>
  </si>
  <si>
    <t>siedziba</t>
  </si>
  <si>
    <t>rok</t>
  </si>
  <si>
    <t>miesiąc</t>
  </si>
  <si>
    <t>dzień</t>
  </si>
  <si>
    <t>Spółka sporządza rachunek zysków i strat w wersji</t>
  </si>
  <si>
    <t>Entry rules:</t>
  </si>
  <si>
    <t>Previous balance sheet date</t>
  </si>
  <si>
    <t>Date of preparation of the financial statements</t>
  </si>
  <si>
    <t>not applicable</t>
  </si>
  <si>
    <t>INTRODUCTION TO THE FINANCIAL STATEMENTS</t>
  </si>
  <si>
    <t>Name of the Company:</t>
  </si>
  <si>
    <t xml:space="preserve">Registered office: </t>
  </si>
  <si>
    <t>Basic business activity:</t>
  </si>
  <si>
    <t>Competent court or another body keeping the register:</t>
  </si>
  <si>
    <t>Period covered by the financial statements:</t>
  </si>
  <si>
    <t>Valuation methods:</t>
  </si>
  <si>
    <t>perpetual usufruct right</t>
  </si>
  <si>
    <t>Wertberichtigungen auf Forderungen</t>
  </si>
  <si>
    <t>Angaben zu Wertberichtigungen auf Forderungen</t>
  </si>
  <si>
    <t>(-) nicht steuerbare Betriebseinnahmen</t>
  </si>
  <si>
    <t>g) sonstige Aufwendungen der betrieblichen Tätigkeit</t>
  </si>
  <si>
    <t xml:space="preserve">Außerordentliche Aufwendungen </t>
  </si>
  <si>
    <t xml:space="preserve">Körperschaftsteuer auf das außerordentliche Ergebnis </t>
  </si>
  <si>
    <t>Vergütung für die Geschäftsführung</t>
  </si>
  <si>
    <t>sonstige Leistungen</t>
  </si>
  <si>
    <t>Falls die Gesellschaft keinen Konzernabschluss erstellt, weil sie Befreiungen und Ausschlüsse in Anspruch nimmt, Informationen über:</t>
  </si>
  <si>
    <t xml:space="preserve">Note zur Kapitalflussrechnung </t>
  </si>
  <si>
    <t>Erhaltene und erfasste Dividenden</t>
  </si>
  <si>
    <t>Dividenden und andere Zahlungen an Eigentümer</t>
  </si>
  <si>
    <t>Übergebene Schenkungen der nicht geldlichen Gegenstände der Investitionstätigkeit</t>
  </si>
  <si>
    <t>Rückstellung für latente Steuern, erfasst als Aufwand</t>
  </si>
  <si>
    <t>Kurzfristige Forderungen gegen verbundene Unternehmen</t>
  </si>
  <si>
    <t>Kurzfristige Verbindlichkeiten gegenüber verbundenen Unternehmen</t>
  </si>
  <si>
    <t>darunter Verbindlichkeiten aus der Investitionstätigkeit</t>
  </si>
  <si>
    <t>Verbindlichkeiten aufgrund des Erwerbs von Investitionen in Immobilien und immaterielle Vermögensgegenstände und Rechte</t>
  </si>
  <si>
    <t>Sonstige Verbindlichkeiten aus der Investitionstätigkeit</t>
  </si>
  <si>
    <t>Verbindlichkeiten aus Dividenden und sonstigen Zahlungen an Eigentümer</t>
  </si>
  <si>
    <t>Andere Verbindlichkeiten als Gewinnausschüttungen an Eigentümer</t>
  </si>
  <si>
    <t>Verbindlichkeiten aus schuldrechtlichen Wertpapieren</t>
  </si>
  <si>
    <t>Verbindlichkeiten aus der laufenden Geschäftstätigkeit</t>
  </si>
  <si>
    <t>1. Bestandsveränderung</t>
  </si>
  <si>
    <t>2. Bestandsveränderung</t>
  </si>
  <si>
    <t>Nicht geldliche Verluste aufgrund von nicht vorhersehbaren Ereignissen in den Gegenständen der Investitionstätigkeit (plus)</t>
  </si>
  <si>
    <t>Nicht geldliche Gewinne aufgrund von nicht vorhersehbaren Ereignissen in den Gegenständen der Investitionstätigkeit (minus)</t>
  </si>
  <si>
    <t>Zuschüsse im Jahre deren Erhalts, wenn sie im Vollwert eingingen, bezogen auf das Ergebnis der laufenden Periode</t>
  </si>
  <si>
    <t>– Schecks,</t>
  </si>
  <si>
    <t>– sonstige</t>
  </si>
  <si>
    <t>Geldmittel und Äquivalente der Geldmittel insgesamt</t>
  </si>
  <si>
    <t>Ergebnis aus dem Verkauf zu Umsatzerlösen</t>
  </si>
  <si>
    <t>Die erwirtschafteten Ergebnisse aus den einzelnen Geschäftsbereichen in der Gewinn- und Verlustrechnung für den Prüfungszeitraum:</t>
  </si>
  <si>
    <t>Verbindlichkeiten aus Lieferungen und Leistungen zu Aufwendungen der betrieblichen Tätigkeit</t>
  </si>
  <si>
    <t>Vorräte zu Aufwendungen der betrieblichen Tätigkeit</t>
  </si>
  <si>
    <t>Verbindlichkeiten aus Krediten und Darlehen</t>
  </si>
  <si>
    <t>Inhaltsverzeichnis</t>
  </si>
  <si>
    <t>Langfristige Rechnungsabgrenzungsposten (Passiva)</t>
  </si>
  <si>
    <t>Kurzfristige Rechnungsabgrenzungsposten (Passiva)</t>
  </si>
  <si>
    <t>Usługi doradztwa podatkowego</t>
  </si>
  <si>
    <t>Nota do rachunku przepływów środków pieniężnych</t>
  </si>
  <si>
    <t>Struktur der Geldmittel aus der Kapitalflussrechnung</t>
  </si>
  <si>
    <t>Zinsen auf Einlagen über 3 Monate</t>
  </si>
  <si>
    <t>bezahlte</t>
  </si>
  <si>
    <t xml:space="preserve">erhaltene </t>
  </si>
  <si>
    <t>Darlehenszinsen</t>
  </si>
  <si>
    <t>erhaltene</t>
  </si>
  <si>
    <t>Kreditzinsen</t>
  </si>
  <si>
    <t>Sonstige Zinsen</t>
  </si>
  <si>
    <t>Zinsen insgesamt</t>
  </si>
  <si>
    <t>A.II.4. Ergebnis aus der Investitionstätigkeit</t>
  </si>
  <si>
    <t>WPROWADZENIE DO SPRAWOZDANIA FINANSOWEGO</t>
  </si>
  <si>
    <t>Siedziba jednostki:</t>
  </si>
  <si>
    <t>Strata z lat ubiegłych na koniec okresu</t>
  </si>
  <si>
    <t>Zysk (strata) z lat ubiegłych na koniec okresu</t>
  </si>
  <si>
    <t>Wynik netto</t>
  </si>
  <si>
    <t>zysk netto</t>
  </si>
  <si>
    <t>strata netto</t>
  </si>
  <si>
    <t>odpisy z zysku</t>
  </si>
  <si>
    <t>Kapitał (fundusz) własny na koniec okresu (BZ)</t>
  </si>
  <si>
    <t>Insgesamt Körperschaftsteuer</t>
  </si>
  <si>
    <t>c) Fremdleistungen</t>
  </si>
  <si>
    <t>d) Steuern und Gebühren</t>
  </si>
  <si>
    <t>e) Löhne und Gehälter</t>
  </si>
  <si>
    <t>Herstellungskosten der Anlagen im Bau</t>
  </si>
  <si>
    <t>darunter für Umweltschutzmaßnahmen</t>
  </si>
  <si>
    <t>Erhaltene Entschädigungen aufgrund von unvorhersehbaren Ereignissen</t>
  </si>
  <si>
    <t>Folgen unvorhersehbarer Ereignisse</t>
  </si>
  <si>
    <t>Erläuterungen zur Struktur der Geldmittel, die der Kapitalflussrechnung zugrunde liegen (unter Anwendung der direkten und indirekten Methode)</t>
  </si>
  <si>
    <t>trade payables falling due:</t>
  </si>
  <si>
    <t>Bilansowa zmiana stanu środków pieniężnych, w tym:</t>
  </si>
  <si>
    <t>Środki pieniężne na koniec okresu, w tym:</t>
  </si>
  <si>
    <t>Ekwiwalenty środków pieniężnych, w tym:</t>
  </si>
  <si>
    <t>Other interest</t>
  </si>
  <si>
    <t>Total interest</t>
  </si>
  <si>
    <t xml:space="preserve">Granted donations of non-pecuniary investment assets  </t>
  </si>
  <si>
    <t>A.II.5. Increase (decrease) in provisions for liabilities</t>
  </si>
  <si>
    <t>including</t>
  </si>
  <si>
    <t>Increase (decrease)</t>
  </si>
  <si>
    <t>A.II.7. Increase (decrease) in receivables</t>
  </si>
  <si>
    <t>Non-current receivables</t>
  </si>
  <si>
    <t>nota 1.10</t>
  </si>
  <si>
    <t>Suma (1+2)</t>
  </si>
  <si>
    <t>Zobowiązania długoterminowe według pozycji bilansu</t>
  </si>
  <si>
    <t>nota 1.11</t>
  </si>
  <si>
    <t>Należności długoterminowe</t>
  </si>
  <si>
    <t>Zapasy</t>
  </si>
  <si>
    <t>Materiały</t>
  </si>
  <si>
    <t>Półprodukty i produkty w toku</t>
  </si>
  <si>
    <t>Produkty gotowe</t>
  </si>
  <si>
    <t>Towary</t>
  </si>
  <si>
    <t>krótkoterminowe</t>
  </si>
  <si>
    <t>Aktywa trwałe</t>
  </si>
  <si>
    <t>Zaliczki na wartości niematerialne i prawne</t>
  </si>
  <si>
    <t>Rzeczowe aktywa trwałe</t>
  </si>
  <si>
    <t>pokrycia straty</t>
  </si>
  <si>
    <t>Einleitung zum Jahresabschluss</t>
  </si>
  <si>
    <t>Bilanz</t>
  </si>
  <si>
    <t>CONTENTS</t>
  </si>
  <si>
    <t>Interest on deposits (more than 3 months)</t>
  </si>
  <si>
    <t>paid</t>
  </si>
  <si>
    <t>received</t>
  </si>
  <si>
    <t>Interest on loans advanced</t>
  </si>
  <si>
    <t xml:space="preserve">paid </t>
  </si>
  <si>
    <t>Received and calculated dividends</t>
  </si>
  <si>
    <t>Dotacje</t>
  </si>
  <si>
    <t>d)</t>
  </si>
  <si>
    <t>e)</t>
  </si>
  <si>
    <t>VIII.</t>
  </si>
  <si>
    <t>f)</t>
  </si>
  <si>
    <t>g)</t>
  </si>
  <si>
    <t>h)</t>
  </si>
  <si>
    <t>i)</t>
  </si>
  <si>
    <t>Koszty zakończonych prac rozwojowych</t>
  </si>
  <si>
    <t>Przychody netto ze sprzedaży produktów, towarów i materiałów</t>
  </si>
  <si>
    <t>Koszty sprzedanych produktów, towarów i materiałów</t>
  </si>
  <si>
    <t>Dynamika bilansu w cenach bieżących</t>
  </si>
  <si>
    <t>Dynamika rachunku zysków i strat w cenach bieżących</t>
  </si>
  <si>
    <t>Koszty finansowe</t>
  </si>
  <si>
    <t>Zyski nadzwyczajne</t>
  </si>
  <si>
    <t>Straty nadzwyczajne</t>
  </si>
  <si>
    <t>Extraordinary losses</t>
  </si>
  <si>
    <t>Kapitał (fundusz) podstawowy na koniec okresu</t>
  </si>
  <si>
    <t>Stan kapitału (funduszu) zapasowego na koniec okresu</t>
  </si>
  <si>
    <t>Pozostałe kapitały (fundusze) rezerwowe na początek okresu</t>
  </si>
  <si>
    <t>other tangible assets</t>
  </si>
  <si>
    <t>Assets under construction</t>
  </si>
  <si>
    <t xml:space="preserve">Non-current receivables </t>
  </si>
  <si>
    <t>From related parties</t>
  </si>
  <si>
    <t>From third parties</t>
  </si>
  <si>
    <t>Non-current investments</t>
  </si>
  <si>
    <t>Non-current financial assets</t>
  </si>
  <si>
    <t>Balance sheet date 2 years ago</t>
  </si>
  <si>
    <t>1. Zmiana stanu</t>
  </si>
  <si>
    <t>Długoterminowe rozliczenia międzyokresowe (pasywa)</t>
  </si>
  <si>
    <t>Krótkoterminowe rozliczenia międzyokresowe (pasywa)</t>
  </si>
  <si>
    <t>Ogółem zmiana stanu rozliczeń międzyokresowych (1+2)</t>
  </si>
  <si>
    <t>Niepieniężne straty spowodowane zdarzeniami losowymi w składnikach działalności inwestycyjnej (plus)</t>
  </si>
  <si>
    <t>Odpisy netto z tytułu utraty wartości, korygujące wartość składników aktywów trwałych oraz krótkoterminowych aktywów finansowych (plus lub minus)</t>
  </si>
  <si>
    <t>Odpisanie wartości środków trwałych w budowie, które nie dały efektu gospodarczego</t>
  </si>
  <si>
    <t xml:space="preserve">Środki pieniężne w kasie </t>
  </si>
  <si>
    <t>Środki pieniężne na rachunkach bankowych</t>
  </si>
  <si>
    <t>Lokaty bankowe do 3 miesięcy</t>
  </si>
  <si>
    <t>–  czeki,</t>
  </si>
  <si>
    <t>–  weksle,</t>
  </si>
  <si>
    <t>–  inne</t>
  </si>
  <si>
    <t>Razem środki pieniężne oraz ekwiwalenty środków pieniężnych</t>
  </si>
  <si>
    <t>Zmiana środków pieniężnych oraz ekwiwalentów środków pieniężnych</t>
  </si>
  <si>
    <t>Wycena bilansowa środków pieniężnych</t>
  </si>
  <si>
    <t>Zmiany pozostałych kapitałów (funduszy) rezerwowych</t>
  </si>
  <si>
    <t>Zysk z lat ubiegłych na początek okresu, po korektach</t>
  </si>
  <si>
    <t>Kapitał (fundusz) własny, po uwzględnieniu proponowanego podziału zysku (pokrycia straty)</t>
  </si>
  <si>
    <t>Odsetki i udziały w zyskach (dywidendy)</t>
  </si>
  <si>
    <t>zbycie aktywów finansowych</t>
  </si>
  <si>
    <t>spłata udzielonych pożyczek długoterminowych</t>
  </si>
  <si>
    <t>Przepływy pieniężne netto z działalności inwestycyjnej</t>
  </si>
  <si>
    <t>Wpływy netto z wydania udziałów (emisji akcji) i innych instrumentów kapitałowych oraz dopłat do kapitału</t>
  </si>
  <si>
    <t>Kredyty i pożyczki</t>
  </si>
  <si>
    <t>Emisja dłużnych papierów wartościowych</t>
  </si>
  <si>
    <t>Inne wpływy finansowe</t>
  </si>
  <si>
    <t>The Company prepares the cash flow statement using</t>
  </si>
  <si>
    <t>The cash flow statement is prepared using the indirect method.</t>
  </si>
  <si>
    <t>The cash flow statement is prepared using the direct method.</t>
  </si>
  <si>
    <t>Value adjustment of non-financial assets</t>
  </si>
  <si>
    <t>Outstanding share capital contributions at the beginning of the period</t>
  </si>
  <si>
    <t>Movements in outstanding share capital contributions</t>
  </si>
  <si>
    <t>Outstanding share capital contributions at the end of the period</t>
  </si>
  <si>
    <t>Z aktywów finansowych, w tym:</t>
  </si>
  <si>
    <t>dywidendy i udziały w zyskach</t>
  </si>
  <si>
    <t>odsetki</t>
  </si>
  <si>
    <t>inne wpływy z aktywów finansowych</t>
  </si>
  <si>
    <t>Inne wpływy inwestycyjne</t>
  </si>
  <si>
    <t>Wydatki</t>
  </si>
  <si>
    <t>Nabycie wartości niematerialnych i prawnych oraz rzeczowych aktywów trwałych</t>
  </si>
  <si>
    <t>długoterminowe</t>
  </si>
  <si>
    <t>C.</t>
  </si>
  <si>
    <t>D.</t>
  </si>
  <si>
    <t>E.</t>
  </si>
  <si>
    <t>F.</t>
  </si>
  <si>
    <t>G.</t>
  </si>
  <si>
    <t>H.</t>
  </si>
  <si>
    <t>J.</t>
  </si>
  <si>
    <t>K.</t>
  </si>
  <si>
    <t>L.</t>
  </si>
  <si>
    <t>M.</t>
  </si>
  <si>
    <t>N.</t>
  </si>
  <si>
    <t>Rok obrotowy rozpoczyna się:</t>
  </si>
  <si>
    <t>Zysk (strata) brutto</t>
  </si>
  <si>
    <t>Write-down specification</t>
  </si>
  <si>
    <t>Issued debt securities</t>
  </si>
  <si>
    <t xml:space="preserve">Specification </t>
  </si>
  <si>
    <t>d) Investments</t>
  </si>
  <si>
    <t>d) Inwestycje</t>
  </si>
  <si>
    <t>c) Środki trwałe w budowie</t>
  </si>
  <si>
    <t>c) Assets under construction</t>
  </si>
  <si>
    <t>b) Tangible assets</t>
  </si>
  <si>
    <t>a) Intangible assets</t>
  </si>
  <si>
    <t>Other receipts from investing activities</t>
  </si>
  <si>
    <t>Kapitał (fundusz) podstawowy</t>
  </si>
  <si>
    <t>Kapitał (fundusz) zapasowy</t>
  </si>
  <si>
    <t>Kapitał (fundusz) z aktualizacji wyceny</t>
  </si>
  <si>
    <t>Pozostałe kapitały (fundusze) rezerwowe</t>
  </si>
  <si>
    <t xml:space="preserve">Accumulated profit (loss) carried forward </t>
  </si>
  <si>
    <t>Balance at the beginning of the financial year</t>
  </si>
  <si>
    <t>Stan na początek roku obrotowego po korektach</t>
  </si>
  <si>
    <t>Balance at the beginning of the financial year after corrections</t>
  </si>
  <si>
    <t>Balance at the end of the financial year</t>
  </si>
  <si>
    <t>Wykorzystanie</t>
  </si>
  <si>
    <t>Used</t>
  </si>
  <si>
    <t>Rozwiązanie</t>
  </si>
  <si>
    <t>Reversed</t>
  </si>
  <si>
    <t>Okres spłaty</t>
  </si>
  <si>
    <t>Repayment period</t>
  </si>
  <si>
    <t>Informacje o transakcjach z jednostkami powiązanymi</t>
  </si>
  <si>
    <t>Information on transactions with related parties</t>
  </si>
  <si>
    <t>Opis szczegółowy</t>
  </si>
  <si>
    <t>Detailed description</t>
  </si>
  <si>
    <t>Podmioty powiązane</t>
  </si>
  <si>
    <t>Podmioty niepowiązane</t>
  </si>
  <si>
    <t>Related parties</t>
  </si>
  <si>
    <t>Tytuł czynnych rozliczeń międzyokresowych</t>
  </si>
  <si>
    <t>Specification of prepayments</t>
  </si>
  <si>
    <t>Ujęcie w kosztach roku obrotowego</t>
  </si>
  <si>
    <t>Tytuł biernych rozliczeń międzyokresowych</t>
  </si>
  <si>
    <t>Specification of accruals</t>
  </si>
  <si>
    <t>Wysokość i wyjaśnienie przyczyn odpisów aktualizujących środki trwałe</t>
  </si>
  <si>
    <t>Value adjustment write-downs of inventories</t>
  </si>
  <si>
    <t>KONZERNORDNUNG</t>
  </si>
  <si>
    <t>wages and salaries</t>
  </si>
  <si>
    <t>Accruals</t>
  </si>
  <si>
    <t>Negative goodwill</t>
  </si>
  <si>
    <t>Other accruals</t>
  </si>
  <si>
    <t>Total Equity and Liabilities</t>
  </si>
  <si>
    <t>1.5</t>
  </si>
  <si>
    <t>Zysk (strata) brutto ze sprzedaży</t>
  </si>
  <si>
    <t>Koszty sprzedaży</t>
  </si>
  <si>
    <t>Zysk (strata) ze sprzedaży</t>
  </si>
  <si>
    <t>Inne przychody operacyjne</t>
  </si>
  <si>
    <t>Strata ze zbycia niefinansowych aktywów trwałych</t>
  </si>
  <si>
    <t>Inne koszty operacyjne</t>
  </si>
  <si>
    <t>nota 9</t>
  </si>
  <si>
    <t>SPIS TREŚCI</t>
  </si>
  <si>
    <t>Previous year</t>
  </si>
  <si>
    <t>Structure of cash and cash equivalents against the cash flow statement</t>
  </si>
  <si>
    <t>2. Zmiana stanu</t>
  </si>
  <si>
    <t>Total increase (decrease) in prepayments and accruals (1+2)</t>
  </si>
  <si>
    <t>A.II.9. Increase (decrease) in prepayments and accruals</t>
  </si>
  <si>
    <t>- cheques,</t>
  </si>
  <si>
    <t>- bills of exchange,</t>
  </si>
  <si>
    <t>- other</t>
  </si>
  <si>
    <t>SPRAWOZDANIE ZARZĄDU Z DZIAŁALNOŚCI JEDNOSTKI</t>
  </si>
  <si>
    <t>CORPORATE GOVERNANCE</t>
  </si>
  <si>
    <t>Business activity of the Company</t>
  </si>
  <si>
    <t>Branch offices</t>
  </si>
  <si>
    <t>Aktywa obrotowe ogółem do zobowiązań krótkoterminowych</t>
  </si>
  <si>
    <t>Kapitał (fundusz) zapasowy na początek okresu</t>
  </si>
  <si>
    <t>Przepływy środków pieniężnych z działalności operacyjnej</t>
  </si>
  <si>
    <t>The Company prepares the income statement using the nature of expense method.</t>
  </si>
  <si>
    <t>The Company prepares the income statement using the function of expense method.</t>
  </si>
  <si>
    <t>Advance payments on account of intangible assets</t>
  </si>
  <si>
    <t>Advance payments on account of assets under construction</t>
  </si>
  <si>
    <t>Provision for retirement benefits and similar obligations</t>
  </si>
  <si>
    <t>Work performed by the entity and capitalised</t>
  </si>
  <si>
    <t>that paid to related parties</t>
  </si>
  <si>
    <t>that from related parties</t>
  </si>
  <si>
    <t>Equity at the beginning of the period (OB)</t>
  </si>
  <si>
    <t>Equity at the end of the period (CB)</t>
  </si>
  <si>
    <t>Payment of financial lease liabilities</t>
  </si>
  <si>
    <t>Net cash flows from financing activities</t>
  </si>
  <si>
    <t>Costs of finished goods, merchandise and raw materials sold</t>
  </si>
  <si>
    <t xml:space="preserve">Financial lease liabilities </t>
  </si>
  <si>
    <t>Schedule of property, plant and equipment</t>
  </si>
  <si>
    <t>including confirmed amounts</t>
  </si>
  <si>
    <t>including paid amounts</t>
  </si>
  <si>
    <t>Provision specification</t>
  </si>
  <si>
    <t>(-) non-taxable revenues</t>
  </si>
  <si>
    <t>Production costs of assets under construction</t>
  </si>
  <si>
    <t>Explanations to the structure of cash and cash equivalents to be included in cash flow statement (when using the direct and indirect methods)</t>
  </si>
  <si>
    <t>Remuneration for the Management Board</t>
  </si>
  <si>
    <t>Advanced to members of the Management Board</t>
  </si>
  <si>
    <t>Advanced to members of the Supervisory Board</t>
  </si>
  <si>
    <t>company's net profit/ loss for the last financial year</t>
  </si>
  <si>
    <t>Körperschaftsteuer auf das außerordentliche Ergebnis</t>
  </si>
  <si>
    <t>Koszty rodzajowe</t>
  </si>
  <si>
    <t>Informacje o istotnych transakcjach (wraz z ich kwotami) zawartych przez jednostkę na innych warunkach niż rynkowe z jednostkami powiązanymi</t>
  </si>
  <si>
    <t>Significant transactions (incl. their amounts) made by the Company with related parties on terms deferring from market conditions</t>
  </si>
  <si>
    <t>Informacje o przeciętnym zatrudnieniu w roku obrotowym z podziałem na grupy zawodowe</t>
  </si>
  <si>
    <t>Informacje o spółce, z którą nastąpiło połączenie rozliczone metodą nabycia</t>
  </si>
  <si>
    <t>Informacja o wyemitowanych akcjach (udziałach) w celu połączenia</t>
  </si>
  <si>
    <t>Information on shares issued for the purpose of the merger</t>
  </si>
  <si>
    <t>Nazwa spółki</t>
  </si>
  <si>
    <t>Name of the company</t>
  </si>
  <si>
    <t>Przedmiot działalności spółki przejętej</t>
  </si>
  <si>
    <t>Loss on the liquidation of investing activities</t>
  </si>
  <si>
    <t>Liabilities due to dividends and other payments to owners</t>
  </si>
  <si>
    <t>Net profit against total assets</t>
  </si>
  <si>
    <t>Dane o strukturze własności kapitału podstawowego oraz liczbie i wartości nominalnej subskrybowanych akcji, w tym uprzywilejowanych</t>
  </si>
  <si>
    <t>Wysokość odpisów aktualizujących wartość zapasów</t>
  </si>
  <si>
    <t>(-) przychody niepodlegające opodatkowaniu</t>
  </si>
  <si>
    <t>A.II.8. Zmiana stanu zobowiązań krótkoterminowych bez kredytów i pożyczek</t>
  </si>
  <si>
    <t>Nie należy zmieniać szerokości lub usuwać kolumn arkusza. Spowoduje to problemy z późniejszym sformatowaniem dokumentu. Nie należy również usuwać wierszy. Jeżeli wiersz jest zbędny należy go ukryć.</t>
  </si>
  <si>
    <t>Pamiętaj, żeby nie ukrywać znaków podziału strony (pogrubiona niebieska linia). W trakcie sporządzania sprawozdania finansowego należy odpowiednio umiejscowić konieczne podziały strony.</t>
  </si>
  <si>
    <t>Należy uważać, żeby nie zmienić skalowania dokumentu. Jeżeli musimy zmienić położenie znaku podziału strony, przesuwamy go do góry lub po prostu usuwamy. Przesuwanie znaków podziału w dół może spowodować zmianę skalowania dokumentu.</t>
  </si>
  <si>
    <t>Wadą Excel'a jest fakt, iż napisany tekst inaczej wygląda na ekranie, a inaczej na wydruku (dotyczy to szerokości tekstu, a w konsekwencji liczby wierszy w danym akapicie. Przykładowo akapit, który na ekranie zajmuje 5 wierszy, na wydruku zmieści się na 4 wierszach. Powstaje przez to podwójny, zamiast pojedynczego, odstęp pomiędzy tym i następnym akapitem. Dlatego po sporządzeniu sprawozdania finansowego należy go wydrukować i sprawdzić odstępy pomiędzy akapitami.</t>
  </si>
  <si>
    <t>- legal grounds together with information justifying the resignation from consolidation,</t>
  </si>
  <si>
    <t>Number of shares:</t>
  </si>
  <si>
    <t>Geldmittel und sonstige flüssige Mittel</t>
  </si>
  <si>
    <t>Geldmittel in der Kasse und Bankguthaben</t>
  </si>
  <si>
    <t>Sonstige kurzfristige Investitionen</t>
  </si>
  <si>
    <t>Kurzfristige Rechnungsabgrenzungsposten</t>
  </si>
  <si>
    <t>Eigenkapital</t>
  </si>
  <si>
    <t>Gezeichnetes Kapital</t>
  </si>
  <si>
    <t>Ergebnisvortrag</t>
  </si>
  <si>
    <t>Jahresergebnis</t>
  </si>
  <si>
    <t>Verbindlichkeiten und Rückstellungen für Verbindlichkeiten</t>
  </si>
  <si>
    <t>Rückstellungen für Verbindlichkeiten</t>
  </si>
  <si>
    <t>Rückstellungen für latente Steuern</t>
  </si>
  <si>
    <t>kurzfristig</t>
  </si>
  <si>
    <t>Sonstige Rückstellungen</t>
  </si>
  <si>
    <t>Langfristige Verbindlichkeiten</t>
  </si>
  <si>
    <t>Gegenüber dritten Unternehmen</t>
  </si>
  <si>
    <t>Kredite und Darlehen</t>
  </si>
  <si>
    <t>Sonstige</t>
  </si>
  <si>
    <t>Kurzfristige Verbindlichkeiten</t>
  </si>
  <si>
    <t>Gegenüber verbundenen Unternehmen</t>
  </si>
  <si>
    <t>Wechselverbindlichkeiten</t>
  </si>
  <si>
    <t>aus Löhnen und Gehältern</t>
  </si>
  <si>
    <t>Sonderfonds</t>
  </si>
  <si>
    <t>langfristig</t>
  </si>
  <si>
    <t>Erstellt von:</t>
  </si>
  <si>
    <t>Geschäftsführung:</t>
  </si>
  <si>
    <t>(Gesamtkostenverfahren)</t>
  </si>
  <si>
    <t>aus verbundenen Unternehmen</t>
  </si>
  <si>
    <t>Eigenleistungen</t>
  </si>
  <si>
    <t>Aufwendungen der betrieblichen Tätigkeit</t>
  </si>
  <si>
    <t>Abschreibungen</t>
  </si>
  <si>
    <t>Fremdleistungen</t>
  </si>
  <si>
    <t>Löhne und Gehälter</t>
  </si>
  <si>
    <t>Sonstige Aufwendungen der betrieblichen Tätigkeit</t>
  </si>
  <si>
    <t>Ergebnis aus dem Verkauf</t>
  </si>
  <si>
    <t>Sonstige betriebliche Erträge</t>
  </si>
  <si>
    <t>Zuschüsse</t>
  </si>
  <si>
    <t>Sonstige betriebliche Aufwendungen</t>
  </si>
  <si>
    <t>Betriebsergebnis</t>
  </si>
  <si>
    <t>Finanzerträge</t>
  </si>
  <si>
    <t>Eingabekonventionen:</t>
  </si>
  <si>
    <t>Datenübertragung</t>
  </si>
  <si>
    <t>Kontrollfelder</t>
  </si>
  <si>
    <t>Formeln</t>
  </si>
  <si>
    <t>Füge die entsprechenden Daten ein:</t>
  </si>
  <si>
    <t>Straße und Hausnummer</t>
  </si>
  <si>
    <t>PLZ</t>
  </si>
  <si>
    <t>Sitz</t>
  </si>
  <si>
    <t>Bilanzstichtag</t>
  </si>
  <si>
    <t>Jahr</t>
  </si>
  <si>
    <t>Monat</t>
  </si>
  <si>
    <t>Die Gewinn- und Verlustrechnung wird von der Gesellschaft nach dem Gesamtkostenverfahren erstellt.</t>
  </si>
  <si>
    <t>Die Gewinn- und Verlustrechnung wird von der Gesellschaft nach dem Umsatzkostenverfahren erstellt.</t>
  </si>
  <si>
    <t>Die Kapitalflussrechnung wird nach der indirekten Methode erstellt.</t>
  </si>
  <si>
    <t>Die Kapitalflussrechnung wird nach der direkten Methode erstellt.</t>
  </si>
  <si>
    <t>Hauptunternehmensgegenstand:</t>
  </si>
  <si>
    <t>Sitz der Gesellschaft:</t>
  </si>
  <si>
    <t>Zuständiges Registergericht oder eine andere Registrierungsbehörde:</t>
  </si>
  <si>
    <t>Berichtszeitraum:</t>
  </si>
  <si>
    <t>AKTIVA</t>
  </si>
  <si>
    <t>Langfristige Vermögenswerte</t>
  </si>
  <si>
    <t>Anzahlungen auf immaterielle Vermögensgegenstände und Rechte</t>
  </si>
  <si>
    <t>Sachanlagen</t>
  </si>
  <si>
    <t>Grundstücke (darunter Erbnießbrauchrecht)</t>
  </si>
  <si>
    <t>Anlagen im Bau</t>
  </si>
  <si>
    <t>Anzahlungen auf Anlagen im Bau</t>
  </si>
  <si>
    <t>Langfristige Forderungen</t>
  </si>
  <si>
    <t>Gegen dritte Unternehmen</t>
  </si>
  <si>
    <t>Langfristige Investitionen</t>
  </si>
  <si>
    <t>Immobilien</t>
  </si>
  <si>
    <t>Langfristige finanzielle Vermögenswerte</t>
  </si>
  <si>
    <t>Anteile oder Aktien</t>
  </si>
  <si>
    <t>sonstige Wertpapiere</t>
  </si>
  <si>
    <t>Ausleihungen</t>
  </si>
  <si>
    <t>an dritten Unternehmen</t>
  </si>
  <si>
    <t>Sonstige langfristige Investitionen</t>
  </si>
  <si>
    <t>Langfristige Rechnungsabgrenzungsposten</t>
  </si>
  <si>
    <t>Sonstige Rechnungsabgrenzung</t>
  </si>
  <si>
    <t>Kurzfristige Vermögenswerte</t>
  </si>
  <si>
    <t>Vorräte</t>
  </si>
  <si>
    <t>Roh-, Hilfs- und Betriebsstoffe</t>
  </si>
  <si>
    <t>Halbfertige und unfertige Erzeugnisse</t>
  </si>
  <si>
    <t>Waren</t>
  </si>
  <si>
    <t>Kurzfristige Forderungen</t>
  </si>
  <si>
    <t>Forderungen gegen verbundene Unternehmen</t>
  </si>
  <si>
    <t>über 12 Monate</t>
  </si>
  <si>
    <t>sonstige</t>
  </si>
  <si>
    <t>Kurzfristige Investitionen</t>
  </si>
  <si>
    <t>Kurzfristige finanzielle Vermögenswerte</t>
  </si>
  <si>
    <t>Non-current investments are valued as follows:</t>
  </si>
  <si>
    <t>Current investments are valued as follows:</t>
  </si>
  <si>
    <t>e) Inventories</t>
  </si>
  <si>
    <t>f) Receivables</t>
  </si>
  <si>
    <t>g) Provisions</t>
  </si>
  <si>
    <t>Provisions are made in compliance with the following principles:</t>
  </si>
  <si>
    <t>h) Liabilities</t>
  </si>
  <si>
    <t>Prior year</t>
  </si>
  <si>
    <t xml:space="preserve">trade receivables falling due: </t>
  </si>
  <si>
    <t>EQUITY AND LIABILITIES</t>
  </si>
  <si>
    <t>Prepared by:</t>
  </si>
  <si>
    <t>Management Board:</t>
  </si>
  <si>
    <t>Financial revenue</t>
  </si>
  <si>
    <t>Financial expenses</t>
  </si>
  <si>
    <t>Sales</t>
  </si>
  <si>
    <t>Supplies and services</t>
  </si>
  <si>
    <t xml:space="preserve">Net wages and salaries </t>
  </si>
  <si>
    <t>Social security and health insurance, and other employee benefits</t>
  </si>
  <si>
    <t>Tax and public and legal charges</t>
  </si>
  <si>
    <t>Other payments for operating activities</t>
  </si>
  <si>
    <t>issuance of shares</t>
  </si>
  <si>
    <t>redemption of shares</t>
  </si>
  <si>
    <t>Capital reserves at the beginning of the period</t>
  </si>
  <si>
    <t>created in accordance with the statutes</t>
  </si>
  <si>
    <t>A.II.10. Sonstige Korrekturen</t>
  </si>
  <si>
    <t>Geldmittel in der Kasse</t>
  </si>
  <si>
    <t>Bankguthaben</t>
  </si>
  <si>
    <t>Bankeinlagen bis zu 3 Monaten</t>
  </si>
  <si>
    <t>Pozostałe koszty rodzajowe</t>
  </si>
  <si>
    <t>Zysk (strata) z działalności operacyjnej</t>
  </si>
  <si>
    <t>Kapitał (fundusz) własny na początek okresu (BO), po korektach</t>
  </si>
  <si>
    <t>Kapitał (fundusz) podstawowy na początek okresu</t>
  </si>
  <si>
    <t>Cash and cash equivalents at the beginning of the period</t>
  </si>
  <si>
    <t>Cash and cash equivalents at the end of the period, incl.:</t>
  </si>
  <si>
    <t>those with restricted availability for use</t>
  </si>
  <si>
    <t>Wprowadź odpowiednie dane:</t>
  </si>
  <si>
    <t>A.</t>
  </si>
  <si>
    <t>I.</t>
  </si>
  <si>
    <t>1.</t>
  </si>
  <si>
    <t>II.</t>
  </si>
  <si>
    <t>2.</t>
  </si>
  <si>
    <t>III.</t>
  </si>
  <si>
    <t>4.</t>
  </si>
  <si>
    <t>5.</t>
  </si>
  <si>
    <t>IV.</t>
  </si>
  <si>
    <t>V.</t>
  </si>
  <si>
    <t>VI.</t>
  </si>
  <si>
    <t>VII.</t>
  </si>
  <si>
    <t>B.</t>
  </si>
  <si>
    <t>a)</t>
  </si>
  <si>
    <t>b)</t>
  </si>
  <si>
    <t>c)</t>
  </si>
  <si>
    <t>Sprzedaż</t>
  </si>
  <si>
    <t>Inne wpływy z działalności operacyjnej</t>
  </si>
  <si>
    <t>Ubezpieczenia społeczne i zdrowotne oraz inne świadczenia</t>
  </si>
  <si>
    <t>Podatki i opłaty o charakterze publicznoprawnym</t>
  </si>
  <si>
    <t>Wartość brutto</t>
  </si>
  <si>
    <t xml:space="preserve">Zobowiązania z dostaw 
i usług do kosztów działalności operacyjnej
</t>
  </si>
  <si>
    <t>Trade payables against costs of operating activities</t>
  </si>
  <si>
    <t>Zapasy do kosztów działalności operacyjnej</t>
  </si>
  <si>
    <t>Inventories against costs of operating activities</t>
  </si>
  <si>
    <t>Amortisation</t>
  </si>
  <si>
    <t>name of the Company</t>
  </si>
  <si>
    <t>street and number</t>
  </si>
  <si>
    <t>registered office</t>
  </si>
  <si>
    <t>year</t>
  </si>
  <si>
    <t>month</t>
  </si>
  <si>
    <t>day</t>
  </si>
  <si>
    <t>formulas</t>
  </si>
  <si>
    <t>The financial year commences at:</t>
  </si>
  <si>
    <t>Język / Sprache / Language</t>
  </si>
  <si>
    <t>Poprzedni dzień bilansowy</t>
  </si>
  <si>
    <t>Środki transportu</t>
  </si>
  <si>
    <t>Zmiany kapitału (funduszu) z aktualizacji wyceny</t>
  </si>
  <si>
    <t>zbycia środków trwałych</t>
  </si>
  <si>
    <t>Kapitał (fundusz) z aktualizacji wyceny na koniec okresu</t>
  </si>
  <si>
    <t>Pozostałe kapitały (fundusze) rezerwowe na koniec okresu</t>
  </si>
  <si>
    <t>Zysk (strata) z lat ubiegłych na początek okresu</t>
  </si>
  <si>
    <t>Zysk z lat ubiegłych na początek okresu</t>
  </si>
  <si>
    <t>podziału zysku z lat ubiegłych</t>
  </si>
  <si>
    <t>Przepływy środków pieniężnych z działalności inwestycyjnej</t>
  </si>
  <si>
    <t>(-) Minderungen des Einkommens</t>
  </si>
  <si>
    <t>Zu versteuerndes Einkommen</t>
  </si>
  <si>
    <t>Körperschaftsteuerliche Bemessungsgrundlage (nach Abrundung)</t>
  </si>
  <si>
    <t>UWAGA !!!  Dane z żółtych pól nie są tłumaczone automatycznie.</t>
  </si>
  <si>
    <t>Non-current assets</t>
  </si>
  <si>
    <t>Intangible assets</t>
  </si>
  <si>
    <t>Research and development costs</t>
  </si>
  <si>
    <t>Other intangible assets</t>
  </si>
  <si>
    <t>Property, plant and equipment</t>
  </si>
  <si>
    <t>Tangible assets</t>
  </si>
  <si>
    <t>land (incl. perpetual usufruct right)</t>
  </si>
  <si>
    <t>kalkulacyjnej</t>
  </si>
  <si>
    <t>Liczba akcji (udziałów):</t>
  </si>
  <si>
    <t>Rodzaj akcji (udziałów):</t>
  </si>
  <si>
    <t>Przychody</t>
  </si>
  <si>
    <t>Zmiana kapitału własnego</t>
  </si>
  <si>
    <t>8.</t>
  </si>
  <si>
    <t>9.</t>
  </si>
  <si>
    <t>Dochód</t>
  </si>
  <si>
    <t>Podstawa PDOP (po zaokrągleniu)</t>
  </si>
  <si>
    <t>Razem podatek dochodowy</t>
  </si>
  <si>
    <t>2.6.</t>
  </si>
  <si>
    <t>Koszty wytworzenia produktów na własne potrzeby</t>
  </si>
  <si>
    <t>a) amortyzacja</t>
  </si>
  <si>
    <t>c) usługi obce</t>
  </si>
  <si>
    <t>d) podatki i opłaty</t>
  </si>
  <si>
    <t>e) wynagrodzenia</t>
  </si>
  <si>
    <t>g) pozostałe koszty rodzajowe</t>
  </si>
  <si>
    <t>2.7.</t>
  </si>
  <si>
    <t>Koszty wytworzenia środków trwałych w budowie</t>
  </si>
  <si>
    <t>2.8.</t>
  </si>
  <si>
    <t>w tym poniesione nakłady na ochronę środowiska</t>
  </si>
  <si>
    <t>Jeżeli jednostka nie sporządza skonsolidowanego sprawozdania finansowego, korzystając ze zwolnienia lub wyłączeń informacje o:</t>
  </si>
  <si>
    <t>Metody wyceny:</t>
  </si>
  <si>
    <t>a) Wartości niematerialne i prawne</t>
  </si>
  <si>
    <t>numer strony</t>
  </si>
  <si>
    <t>Inne, niż wypłaty na rzecz właścicieli, wydatki z tytułu podziału zysku</t>
  </si>
  <si>
    <t>Płatności zobowiązań z tytułu umów leasingu finansowego</t>
  </si>
  <si>
    <t>Current receivables from related parties</t>
  </si>
  <si>
    <t>Current receivables from third parties</t>
  </si>
  <si>
    <t>Total net receivables</t>
  </si>
  <si>
    <t xml:space="preserve">Receivables due to sale of tangible assets or from non-pecuniary operations and items </t>
  </si>
  <si>
    <t>A.II.8. Increase (decrease) in current liabilities, exclusive of credits and loans</t>
  </si>
  <si>
    <t>Current liabilities against related parties</t>
  </si>
  <si>
    <t>Current liabilities against third parties</t>
  </si>
  <si>
    <t>Total liabilities</t>
  </si>
  <si>
    <t>including liabilities due to investing activities</t>
  </si>
  <si>
    <t>Liabilities due to purchase of intangible and tangible assets</t>
  </si>
  <si>
    <t>Other liabilities due to investing activities</t>
  </si>
  <si>
    <t>including liabilities due to financing activities</t>
  </si>
  <si>
    <t>Liabilities due to purchase of treasury shares</t>
  </si>
  <si>
    <t>Liabilities due to debt securities</t>
  </si>
  <si>
    <t>Liabilities due to credits and loans</t>
  </si>
  <si>
    <t>Liabilities due to operating activities</t>
  </si>
  <si>
    <t>Increase (decrease) in liabilities</t>
  </si>
  <si>
    <t>1. Increase (decrease)</t>
  </si>
  <si>
    <t>2. Increase (decrease)</t>
  </si>
  <si>
    <t>A.II.10. Other adjustments</t>
  </si>
  <si>
    <t>Non-cash losses resulting from extraordinary items in investment assets (plus)</t>
  </si>
  <si>
    <t>Non-cash profits resulting from extraordinary items in investment assets (minus)</t>
  </si>
  <si>
    <t>E. Balance sheet change in cash and cash equivalents</t>
  </si>
  <si>
    <t>Cash in hand</t>
  </si>
  <si>
    <t>Cash at bank</t>
  </si>
  <si>
    <t xml:space="preserve">Bank deposits (up to 3 months) </t>
  </si>
  <si>
    <t>Cash equivalents, incl.:</t>
  </si>
  <si>
    <t>Total cash and cash equivalents</t>
  </si>
  <si>
    <t>Change in cash and cash equivalents</t>
  </si>
  <si>
    <t>Balance sheet valuation of cash and cash equivalents</t>
  </si>
  <si>
    <t xml:space="preserve">Contents </t>
  </si>
  <si>
    <t>Page</t>
  </si>
  <si>
    <t>GENERAL INFORMATION</t>
  </si>
  <si>
    <t>COMPANY BUSINESS CARD</t>
  </si>
  <si>
    <t>SALES</t>
  </si>
  <si>
    <t>PERSONNEL</t>
  </si>
  <si>
    <t>FINANCIAL ANALYSIS</t>
  </si>
  <si>
    <t>EXPECTED DEVELOPMENT OF THE COMPANY</t>
  </si>
  <si>
    <t>SUMMARY</t>
  </si>
  <si>
    <t>Razem:</t>
  </si>
  <si>
    <t>f) Należności</t>
  </si>
  <si>
    <t>g) Rezerwy</t>
  </si>
  <si>
    <t>ACHTUNG !!! Angaben in gelben Feldern werden nicht automatisch übersetzt</t>
  </si>
  <si>
    <t>Einzugebende Felder</t>
  </si>
  <si>
    <t>Voriger Bilanzstichtag</t>
  </si>
  <si>
    <t>trifft nicht zu</t>
  </si>
  <si>
    <t>Die Sachanlagen werden nach den durch das Finanzministerium festgelegten Prinzipien periodisch neubewertet.</t>
  </si>
  <si>
    <t>Die Rückstellungen werden nach folgenden Prinzipien gebildet:</t>
  </si>
  <si>
    <t>Gegen verbundene Unternehmen</t>
  </si>
  <si>
    <t>an verbundenen Unternehmen</t>
  </si>
  <si>
    <t>sonstige langfristige finanzielle Vermögenswerte</t>
  </si>
  <si>
    <t>sonstige kurzfristige finanzielle Vermögenswerte</t>
  </si>
  <si>
    <t>sonstige Geldmittel</t>
  </si>
  <si>
    <t>sonstige flüssige Mittel</t>
  </si>
  <si>
    <t>Summe Aktiva</t>
  </si>
  <si>
    <t>PASSIVA</t>
  </si>
  <si>
    <t>Sonstige Rücklagen</t>
  </si>
  <si>
    <t>Summe Passiva</t>
  </si>
  <si>
    <t>an verbundene Unternehmen</t>
  </si>
  <si>
    <t>Aus finanziellen Vermögenswerten, darunter:</t>
  </si>
  <si>
    <t>Für finanzielle Vermögenswerte, darunter:</t>
  </si>
  <si>
    <t>Steuern und öffentlich-rechtliche Gebühren</t>
  </si>
  <si>
    <t>Veränderung der sonstigen Rücklagen</t>
  </si>
  <si>
    <t>Erbnießbrauchrecht an Grundstücken</t>
  </si>
  <si>
    <t xml:space="preserve">Zinsen und Gewinnbeteiligungen (Dividenden) </t>
  </si>
  <si>
    <t>Aus anderen finanziellen Schulden</t>
  </si>
  <si>
    <t>Veränderung der ausstehenden Einlagen auf das gezeichnete Kapital</t>
  </si>
  <si>
    <t xml:space="preserve">Kurzfristige Investitionen zu kurzfristigen Verbindlichkeiten </t>
  </si>
  <si>
    <t>Der Jahresabschluss enthält auch Angaben der internen Organisationseinheiten, die ihre Jahresabschlüsse selbstständig erstellen.</t>
  </si>
  <si>
    <t xml:space="preserve">Wirtschaftsabteilung des Landesgerichtsregisters </t>
  </si>
  <si>
    <t>unbeschränkt</t>
  </si>
  <si>
    <t>36 Monate</t>
  </si>
  <si>
    <t xml:space="preserve">Die Abschreibungen erfolgen ab dem ersten Tag des Monats, der dem Monat folgt, in dem der betreffende Vermögensgegenstand zur Nutzung freigegeben wurde. </t>
  </si>
  <si>
    <t xml:space="preserve">Die Sachanlagen werden zu Anschaffungskosten in den Büchern erfasst und nach der linearen Methode zu folgenden Prozentsätzen abgeschrieben: </t>
  </si>
  <si>
    <t xml:space="preserve">Die Sachanlagen werden nach der linearen/degressiven Methode im voraussichtlichen Nutzungszeitraum, beginnend ab dem ersten Tag des Monats, der dem Monat folgt, in dem die Sachanlagen zur Nutzung freigegeben wurden, abgeschrieben.  </t>
  </si>
  <si>
    <t xml:space="preserve">Die Anlagen im Bau werden zu Anschaffungs- oder Herstellungskosten der Sachanlagen, die infolge des Abschlusses der Investition entstehen, bewertet. </t>
  </si>
  <si>
    <t>Die langfristigen Investitionen werden unter Berücksichtigung der Abschreibungen aufgrund dauerhafter Wertminderung in den Büchern erfasst.</t>
  </si>
  <si>
    <t xml:space="preserve">Der Jahresabschluss wurde unter der Annahme der Unternehmensfortführung erstellt. </t>
  </si>
  <si>
    <t xml:space="preserve">Es liegen keine Umstände vor, die auf eine Gefährdung der Unternehmensfortführung hinweisen würden. </t>
  </si>
  <si>
    <t xml:space="preserve">Die Wertberichtigungen auf Vorräte werden einmal im Jahr vorgenommen. Die Vorräte gelten nach drei Jahren ab deren Erfassung in den Büchern als veraltet. </t>
  </si>
  <si>
    <t>Die Forderungen werden zu Rückzahlungsbeträgen ausgewiesen.</t>
  </si>
  <si>
    <t>Die Wertberichtigungen werden unter Berücksichtigung des Risikos vorgenommen, das mit der betreffenden Forderung verbunden ist, und zwar nach folgenden Grundsätzen:</t>
  </si>
  <si>
    <t>Die verjährten Forderungen werden nach dem hierfür gesetzlich vorgeschriebenen Zeitraum abgeschrieben.</t>
  </si>
  <si>
    <t>Die Verbindlichkeiten werden zu Rückzahlungsbeträgen bewertet.</t>
  </si>
  <si>
    <t>Übrige betriebliche Erträge</t>
  </si>
  <si>
    <t>Übrige betriebliche Aufwendungen</t>
  </si>
  <si>
    <t>Passive Rechnungsabgrenzungsposten</t>
  </si>
  <si>
    <t xml:space="preserve"> - podstawie prawnej wraz z danymi uzasadniającymi odstąpienie od konsolidacji,</t>
  </si>
  <si>
    <t>Unternehmensgegenstand der Gesellschaft umfasst:</t>
  </si>
  <si>
    <t>– aus Garantien und Bürgschaften</t>
  </si>
  <si>
    <t>– aus Kautionen und Vadien</t>
  </si>
  <si>
    <t>– aus Wechselindossament</t>
  </si>
  <si>
    <t>– aus den abgeschlossenen, aber noch nicht ausgeführten Verträgen</t>
  </si>
  <si>
    <t>Gesellschaft X</t>
  </si>
  <si>
    <t>Gesellschaft Y</t>
  </si>
  <si>
    <t xml:space="preserve">Die Forderungen werden zu Nettobeträgen (gemindert um Wertberichtigung) ausgewiesen. </t>
  </si>
  <si>
    <t>Forderungen gegen dritte Unternehmen</t>
  </si>
  <si>
    <t>Bezeichnung</t>
  </si>
  <si>
    <t>ANHANG</t>
  </si>
  <si>
    <t>nicht steuerbare Einnahmen</t>
  </si>
  <si>
    <t>Auflösung der Rückstellungen</t>
  </si>
  <si>
    <t>berechnete Zinsen</t>
  </si>
  <si>
    <t>erhaltene Dividenden</t>
  </si>
  <si>
    <t xml:space="preserve">Kursdifferenzen aus der Bewertung der Forderungen/Verbindlichkeiten </t>
  </si>
  <si>
    <t xml:space="preserve">Rückstellung für die Jahresabschlussprüfung </t>
  </si>
  <si>
    <t>Urlaubsrückstellung</t>
  </si>
  <si>
    <t>Schenkung</t>
  </si>
  <si>
    <t>Rückstellungen für strittige Ansprüche</t>
  </si>
  <si>
    <t>Behindertenfonds</t>
  </si>
  <si>
    <t>nicht ausbezahlte Auftragsverträge (+ Sozialabgaben)</t>
  </si>
  <si>
    <t>Neubewertung der Vorräte</t>
  </si>
  <si>
    <t>Überschreitung des Limits für Repräsentation und Werbung</t>
  </si>
  <si>
    <t>Schenkungen</t>
  </si>
  <si>
    <t>Verlustvorträge</t>
  </si>
  <si>
    <t>bezahlte Kreditzinsen</t>
  </si>
  <si>
    <t>ausbezahlte Auftragsverträge</t>
  </si>
  <si>
    <t>Zuführung zu Steuerrückstellung</t>
  </si>
  <si>
    <t>Gruppe 1</t>
  </si>
  <si>
    <t>Gruppe 2</t>
  </si>
  <si>
    <t>Gruppe 3</t>
  </si>
  <si>
    <t>Gruppe 4</t>
  </si>
  <si>
    <t>Gruppe 5</t>
  </si>
  <si>
    <t>Gruppe 6</t>
  </si>
  <si>
    <t>Gruppe 7</t>
  </si>
  <si>
    <t>Darlehen 1</t>
  </si>
  <si>
    <t>Darlehen 2</t>
  </si>
  <si>
    <t>Übernahmepreis</t>
  </si>
  <si>
    <t>Die gesellschaftsrechtlichen Verhältnisse sind im Gesellschaftsvertrag in der Fassung vom  …………….., mit späteren Änderungen, geregelt. Der Gesellschaftsvertrag wurde in (Notarkanzlei) in (Stadt) unter der Urkundenrolle ……………. geschlossen.</t>
  </si>
  <si>
    <t>Herrn/Frau</t>
  </si>
  <si>
    <t>Name der Niederlassung</t>
  </si>
  <si>
    <t>Adresse der Niederlassung</t>
  </si>
  <si>
    <t>Vor- und Nachname</t>
  </si>
  <si>
    <t>Geschäftsführer</t>
  </si>
  <si>
    <t>Die Gesellschaft erzielt die Erträge aus dem Verkauf der Dienstleistungen im Inland und/oder Ausland</t>
  </si>
  <si>
    <t>Die unserer Gesellschaft bekannten Sachverhalte, deren wichtigste Aspekte im vorliegenden Lagebericht dargestellt wurden, deuten darauf hin, dass die Lage der Gesellschaft keine Bedenken hinsichtlich der Unternehmensfortführung in absehbarer Zukunft aufkommen lässt.</t>
  </si>
  <si>
    <t>Trotz des Konjunkturrückgangs treten keine Symptome auf, die von einer Bedrohung der Unternehmensfortführung oder der Einschränkung ihres Umfangs zeugen würden, und die erfolgten Änderungen weisen auf die Fortsetzung der Entwicklung hin.</t>
  </si>
  <si>
    <t>Investitionen in Immobilien sowie immaterielle Vermögensgegenstände und Rechte</t>
  </si>
  <si>
    <t>Langfristige Verbindlichkeiten nach Bilanzpositionen</t>
  </si>
  <si>
    <t>Im Vorjahr getragene und für das Folgejahr geplante Aufwendungen für nicht finanzielle langfristige Vermögenswerte</t>
  </si>
  <si>
    <t>für Geschäftsführer</t>
  </si>
  <si>
    <t>für Aufsichtsratsmitglieder</t>
  </si>
  <si>
    <t>Vorstand und Vertretung</t>
  </si>
  <si>
    <t>Sprawozdanie finansowe zawiera dane łączne z wewnętrznymi jednostkami organizacyjnymi sporządzającymi samodzielnie sprawozdania finansowe.</t>
  </si>
  <si>
    <t xml:space="preserve">Odpisów amortyzacyjnych dokonuje się od pierwszego dnia miesiąca następującego po miesiącu, w którym dany tytuł przyjęto do używania. </t>
  </si>
  <si>
    <t xml:space="preserve">Tytuły wartości niematerialnych i prawnych o cenie niższej niż 3.500,00 są w momencie zakupu odpisane w koszty. </t>
  </si>
  <si>
    <t xml:space="preserve">Wartość początkową środków trwałych ujmuje się w księgach po cenie ich nabycia i umarza metodą liniową według następujących stawek procentowych:  </t>
  </si>
  <si>
    <t xml:space="preserve">Środki trwałe umarzane są według metody liniowej/degresywnej w okresie przewidywanego użytkowania, począwszy od pierwszego dnia miesiąca następującego po miesiącu, w którym przyjęto je do użytkowania.  </t>
  </si>
  <si>
    <t>Środki trwałe o cenie niższej niż 3.500,00 są ujmowane w ewidencji środków trwałych. W miesiącu przyjęcia do użytkowania następuje  jednorazowe odpisanie ich w koszty amortyzacji.</t>
  </si>
  <si>
    <t>Wartość środków trwałych w budowie wycenia się w wysokości kosztów poniesionych na nabycie lub wytworzenie środków trwałych, które powstaną  w wyniku zakończenia inwestycji.</t>
  </si>
  <si>
    <t>nieruchomości w cenie nabycia,</t>
  </si>
  <si>
    <t>wartości niematerialne i prawne w cenie nabycia,</t>
  </si>
  <si>
    <t>udziały lub akcje w cenie nabycia,</t>
  </si>
  <si>
    <t>inne papiery wartościowe w cenie nabycia,</t>
  </si>
  <si>
    <t>udzielone pożyczki w kwocie wymagającej zapłaty,</t>
  </si>
  <si>
    <t>inne długoterminowe aktywa finansowe w kwocie nominalnej,</t>
  </si>
  <si>
    <t>inne inwestycje długoterminowe w cenie nabycia.</t>
  </si>
  <si>
    <t>Inwestycje długoterminowe ujmuje się w księgach rachunkowych z uwzględnieniem odpisów z tytułu trwałej utraty ich wartości.</t>
  </si>
  <si>
    <t>inne krótkotetrminowe aktywa finansowe w kwocie nominalnej,</t>
  </si>
  <si>
    <t>inne inwestycje krótkoterminowe w cenie rynkowej.</t>
  </si>
  <si>
    <t>materiały i towary w cenie nabycia nie wyższej od ceny sprzedaży netto</t>
  </si>
  <si>
    <t>produkty gotowe w koszcie ich wytworzenia nie wyższym od cen sprzedaży netto</t>
  </si>
  <si>
    <t>półprodukty i produkty w toku w wysokości bezpośrednich kosztów ich wytworzenia nie wyższych od cen sprzedaży netto</t>
  </si>
  <si>
    <t>Odpisy aktualizujące wartość zapasów są dokonywane raz do roku. Zapasy uznaje się za przeterminowane po trzech latach od momentu przyjęcia ich do ewidencji księgowej.</t>
  </si>
  <si>
    <t>Należności wykazywane są w wartości netto (pomniejszonej o odpis aktualizacyjny).</t>
  </si>
  <si>
    <t>Należności wykazywane są w kwocie wymaganej zapłaty.</t>
  </si>
  <si>
    <t>Odpisy aktualizujące tworzone są z uwzględnieniem stopnia ryzyka, jakie wiąże się z daną należnością według następujących zasad:</t>
  </si>
  <si>
    <t>Odpis należności przedawnionych następuje po okresie przewidzianym prawem.</t>
  </si>
  <si>
    <t>Zobowiązania wyceniane są w kwocie wymagającej zapłaty.</t>
  </si>
  <si>
    <t>Zobowiązania warunkowe wobec jednostek powiązanych:</t>
  </si>
  <si>
    <t>– z tytułu gwarancji i poręczeń</t>
  </si>
  <si>
    <t>– z tytułu kaucji i wadiów</t>
  </si>
  <si>
    <t>– z tytułu indosu weksli</t>
  </si>
  <si>
    <t>– z tytułu zawartych, lecz jeszcze nie wykonanych umów</t>
  </si>
  <si>
    <t>– inne</t>
  </si>
  <si>
    <t>Zobowiązania warunkowe wobec jednostek pozostałych:</t>
  </si>
  <si>
    <t>przychody nie podatkowe</t>
  </si>
  <si>
    <t>rozwiązanie rezerw</t>
  </si>
  <si>
    <t>odsetki naliczone</t>
  </si>
  <si>
    <t>dywidendy otrzymane</t>
  </si>
  <si>
    <t xml:space="preserve">różnice kursowe z wyceny rozrachunków </t>
  </si>
  <si>
    <t xml:space="preserve">odpisy aktualizujące należności </t>
  </si>
  <si>
    <t xml:space="preserve">rezerwa na badanie bilansu </t>
  </si>
  <si>
    <t xml:space="preserve">rezerwa na urlopy </t>
  </si>
  <si>
    <t xml:space="preserve">darowizna </t>
  </si>
  <si>
    <t>przecena zapasów</t>
  </si>
  <si>
    <t>odsetki budżetowe</t>
  </si>
  <si>
    <t>odsetki od  kredytu</t>
  </si>
  <si>
    <t xml:space="preserve">przekroczenie limitu reprezentacji i reklamy </t>
  </si>
  <si>
    <t>VAT nkup</t>
  </si>
  <si>
    <t>niewypłacone umowy zlecenia (+ ZUS)</t>
  </si>
  <si>
    <t>amortyzacja</t>
  </si>
  <si>
    <t>PFRON</t>
  </si>
  <si>
    <t>rezerwy na roszczenia sporne</t>
  </si>
  <si>
    <t>pozostałe</t>
  </si>
  <si>
    <t>zapłacone odsetki od kredytów</t>
  </si>
  <si>
    <t>wypłacone umowy zlecenia</t>
  </si>
  <si>
    <t>utworzenie rezerwy podatkowej</t>
  </si>
  <si>
    <t>straty z lat ubiegłych</t>
  </si>
  <si>
    <t>Kursy przyjęte do wyceny pozycji bilansu oraz rachunku zysków i strat wyrażonych w walutach obcych</t>
  </si>
  <si>
    <t>Grupa 1</t>
  </si>
  <si>
    <t>Pożyczka 1</t>
  </si>
  <si>
    <t>Cena przejęcia</t>
  </si>
  <si>
    <t>Wartość aktywów netto</t>
  </si>
  <si>
    <t>Wartość firmy/Ujemna wartość firmy</t>
  </si>
  <si>
    <t xml:space="preserve">w Sądzie Rejonowym dla ……………., ………... Wydział Gospodarczy Krajowego Rejestru Sądowego, numer rejestru ………….. </t>
  </si>
  <si>
    <t>Podstawą działalności Spółki jest umowa Spółki z dnia ……………..,  sporządzona w (nawa kancelarii) w (miasto) pod sygnaturą akt Repertorium ……………. wraz z późniejszymi zmianami.</t>
  </si>
  <si>
    <t>Kapitał zakładowy Spółki  wynosi PLN ………….... Składa się z ………. udziałów o wartości nominalnej PLN ………. każdy.</t>
  </si>
  <si>
    <t>Kapitał zakładowy Spółki  wynosi PLN ………….... Składa się z ………. akcji o wartości nominalnej PLN ………. każdy.</t>
  </si>
  <si>
    <t>Pan/Pani</t>
  </si>
  <si>
    <t>Nazwa oddziału</t>
  </si>
  <si>
    <t>Adres oddziału</t>
  </si>
  <si>
    <t>Spółka uzyskuje przychody ze sprzedaży usług na terenie kraju i/lub za granicą.</t>
  </si>
  <si>
    <t>Spółka uzyskała w analizowanym okresie wynik netto w wysokości PLN …………..., na który składa się w szczególności ………………….</t>
  </si>
  <si>
    <t xml:space="preserve">Znane naszej spółce fakty, z których najistotniejsze zostały przedstawione w niniejszym sprawozdaniu, wskazują, że sytuacja spółki nie budzi obaw, co do funkcjonowania w dającej się przewidzieć przyszłości. </t>
  </si>
  <si>
    <t>Pomimo trwającej na rynku dekoniunktury nie występują zjawiska, które mogłyby świadczyć o zagrożeniu kontynuacji działalności spółki ani o ograniczeniu jej skali, a zachodzące zmiany wskazują na kontynuowanie rozwoju.</t>
  </si>
  <si>
    <t>Sąd Rejonowy</t>
  </si>
  <si>
    <t>Wydział Gospodarczy Krajowego Rejestru Sądowego</t>
  </si>
  <si>
    <t xml:space="preserve">XX-XX Miasto, ul. XXX </t>
  </si>
  <si>
    <t>XX-XX Stadt, ul. XXX</t>
  </si>
  <si>
    <t>Nieograniczony</t>
  </si>
  <si>
    <t>36 miesięcy</t>
  </si>
  <si>
    <t>60 miesięcy</t>
  </si>
  <si>
    <t>24-60 miesięcy</t>
  </si>
  <si>
    <t>darowizny</t>
  </si>
  <si>
    <t>Grupa 2</t>
  </si>
  <si>
    <t>Grupa 3</t>
  </si>
  <si>
    <t>Grupa 4</t>
  </si>
  <si>
    <t>Grupa 5</t>
  </si>
  <si>
    <t>Grupa 6</t>
  </si>
  <si>
    <t>Grupa 7</t>
  </si>
  <si>
    <t>Pożyczka 2</t>
  </si>
  <si>
    <t>Informacje o cenie przejęcia i wartości firmy</t>
  </si>
  <si>
    <t>Spółka X</t>
  </si>
  <si>
    <t>Spółka Y</t>
  </si>
  <si>
    <t>Imię i nazwisko</t>
  </si>
  <si>
    <t>członek zarządu</t>
  </si>
  <si>
    <t>w tym odsetki oraz skapitalizowane różnice kursowe od zobowiązań zaciągniętych w celu ich sfinansowania</t>
  </si>
  <si>
    <t>Opis metody amortyzacji wartości firmy.</t>
  </si>
  <si>
    <t>wynik finansowy netto oraz wartość kapitału własnego, z podziałem na grupy</t>
  </si>
  <si>
    <t>wartość aktywów trwałych</t>
  </si>
  <si>
    <t>przeciętne roczne zatrudnienie</t>
  </si>
  <si>
    <t>WAŻNIEJSZE OSIĄGNIĘCIA W DZIEDZINIE BADAŃ I ROZWOJU</t>
  </si>
  <si>
    <t>INFORMACJE O NABYCIU UDZIAŁÓW (AKCJI) WŁASNYCH</t>
  </si>
  <si>
    <t>Informacje o celu nabycia udziałów (akcji) własnych, liczbie i wartości nominalnej, ze wskazaniem, jaką część kapitału zakładowego reprezentują oraz cenie nabycia i cenie sprzedaży w przypadku ich zbycia.</t>
  </si>
  <si>
    <t>CZYNNIKI RYZYKA ZWIĄZANE Z PROWADZONĄ DZIAŁALNOŚCIĄ</t>
  </si>
  <si>
    <t xml:space="preserve">5. </t>
  </si>
  <si>
    <t>Opis ryzyk na jakie narażona jest jednostka (zmiany cen, kredytowego, istotnych zakłóceń przepływów środków pieniężnych oraz utraty płynności finansowej).</t>
  </si>
  <si>
    <t>Opis przyjętych przez jednostkę celów i metod zarządzania ryzykiem finansowym, łącznie z metodami zabezpieczenia istotnych rodzajów planowanych transakcji, dla których stosowana jest rachunkowość zabezpieczeń.</t>
  </si>
  <si>
    <t>Jeśli nie dotyczy, proszę to napisać.</t>
  </si>
  <si>
    <t>Opisać aktualną oraz przewidywaną sytuację finansową</t>
  </si>
  <si>
    <t>Opisać aktualną oraz przewidywaną sytuację finansową; najważniejsze wskaźniki i dane finansowe.</t>
  </si>
  <si>
    <t>Jahresergebnis und Eigenkapital, unter Aufteilung in Gruppen</t>
  </si>
  <si>
    <t xml:space="preserve">Langfristige Vermögenswerte </t>
  </si>
  <si>
    <t>Beschäftigtenzahl im Jahresdurchschnitt</t>
  </si>
  <si>
    <t xml:space="preserve">RISIKOFAKTOREN IM RAHMEN DER GEWERBETÄTIGKEIT </t>
  </si>
  <si>
    <t xml:space="preserve">WICHTIGSTE ERRUNGENSCHAFTEN IM BEREICH FORSCHUNG UND ENTWICKLUNG </t>
  </si>
  <si>
    <t>Die immateriellen Vermögensgegenstände und Rechte werden zu Anschaffungskosten in den Büchern erfasst und nach der linearen Methode über folgenden Zeitraum abgeschrieben:</t>
  </si>
  <si>
    <t>Sachanlagevermögen</t>
  </si>
  <si>
    <t>Zusammenstellung des Sachanlagevermögens</t>
  </si>
  <si>
    <t>Umsatzerlöse und Finanzerträge</t>
  </si>
  <si>
    <t>Die Vorräte werden wie folgt bewertet:</t>
  </si>
  <si>
    <t>Veräußerung von immateriellen Vermögensgegenständen und Rechten sowie von Gegenständen des Sachanlagevermögens</t>
  </si>
  <si>
    <t>der Einziehung von Anteilen (Aktien)</t>
  </si>
  <si>
    <t>der Gewinnverwendung (gesetzlich)</t>
  </si>
  <si>
    <t>der Verlustdeckung</t>
  </si>
  <si>
    <t>dem Verlustvortrag zur Deckung</t>
  </si>
  <si>
    <t>Einzelaufstellung</t>
  </si>
  <si>
    <t>Unternehmensgegenstand der Gesellschaft:</t>
  </si>
  <si>
    <t>Anzahl der Aktien (Anteile):</t>
  </si>
  <si>
    <t>Art der Aktien (Anteile):</t>
  </si>
  <si>
    <t xml:space="preserve">darunter Zinsen und kapitalisierte Kursdifferenzen auf die zu deren Finanzierung aufgenommenen Verbindlichkeiten </t>
  </si>
  <si>
    <t>Beschreibung der Risiken, denen die Gesellschaft ausgesetzt ist (Preisänderungs- oder Kreditrisiko sowie Risiko wesentlicher Kapitalflussstörungen oder einer Liquiditätseinbuße).</t>
  </si>
  <si>
    <t>INFORMATIONEN ÜBER DEN ERWERB EIGENER ANTEILE (AKTIEN)</t>
  </si>
  <si>
    <t>Informationen über den Zweck des Erwerbs eigener Anteile (Aktien), die Zahl und den Nennwert, unter Angabe des Teils des gezeichneten Kapitals, den sie darstellen, sowie über den Kauf- und Verkaufspreis bei ihrer Veräußerung.</t>
  </si>
  <si>
    <r>
      <rPr>
        <sz val="10"/>
        <rFont val="Arial"/>
        <family val="2"/>
      </rPr>
      <t>These financial statements contain aggregate data combined with the data of internal organisational units which prepare independent financial statements.</t>
    </r>
  </si>
  <si>
    <r>
      <rPr>
        <sz val="10"/>
        <rFont val="Arial"/>
        <family val="2"/>
      </rPr>
      <t xml:space="preserve">Intangible assets are amortised as from the first day of the month following the month in which the asset was brought into service. </t>
    </r>
  </si>
  <si>
    <r>
      <rPr>
        <sz val="10"/>
        <rFont val="Arial"/>
        <family val="2"/>
      </rPr>
      <t xml:space="preserve">Intangible assets, the cost of which is less than PLN 3.500,00 are amortised as a one-off charge at the moment of their acquisition. </t>
    </r>
  </si>
  <si>
    <r>
      <rPr>
        <sz val="10"/>
        <rFont val="Arial"/>
        <family val="2"/>
      </rPr>
      <t xml:space="preserve">The initial value of tangible assets is recognised in the books of account at the acquisition cost and depreciated on the basis of the straight-line method at the following percentage rates:  </t>
    </r>
  </si>
  <si>
    <r>
      <rPr>
        <sz val="10"/>
        <rFont val="Arial"/>
        <family val="2"/>
      </rPr>
      <t>Tangible assets the cost of which is less than PLN 3.500,00 are recognised under the tangible assets records. They are depreciated as a one-off charge in the month in which they were brought into service.</t>
    </r>
  </si>
  <si>
    <r>
      <rPr>
        <sz val="10"/>
        <rFont val="Arial"/>
        <family val="2"/>
      </rPr>
      <t>real properties – at the acquisition cost;</t>
    </r>
  </si>
  <si>
    <r>
      <rPr>
        <sz val="10"/>
        <rFont val="Arial"/>
        <family val="2"/>
      </rPr>
      <t>intangible assets – at the acquisition cost;</t>
    </r>
  </si>
  <si>
    <r>
      <rPr>
        <sz val="10"/>
        <rFont val="Arial"/>
        <family val="2"/>
      </rPr>
      <t>shares – at the acquisition cost;</t>
    </r>
  </si>
  <si>
    <r>
      <rPr>
        <sz val="10"/>
        <rFont val="Arial"/>
        <family val="2"/>
      </rPr>
      <t>other securities – at the acquisition cost;</t>
    </r>
  </si>
  <si>
    <r>
      <rPr>
        <sz val="10"/>
        <rFont val="Arial"/>
        <family val="2"/>
      </rPr>
      <t>loans advanced – at the amount due;</t>
    </r>
  </si>
  <si>
    <r>
      <rPr>
        <sz val="10"/>
        <rFont val="Arial"/>
        <family val="2"/>
      </rPr>
      <t>other non-current financial assets – at the nominal value;</t>
    </r>
  </si>
  <si>
    <r>
      <rPr>
        <sz val="10"/>
        <rFont val="Arial"/>
        <family val="2"/>
      </rPr>
      <t>other non-current investments – at the acquisition cost;</t>
    </r>
  </si>
  <si>
    <r>
      <rPr>
        <sz val="10"/>
        <rFont val="Arial"/>
        <family val="2"/>
      </rPr>
      <t>Non-current investments are disclosed in the books taking into account the impairment loss.</t>
    </r>
  </si>
  <si>
    <r>
      <rPr>
        <sz val="10"/>
        <rFont val="Arial"/>
        <family val="2"/>
      </rPr>
      <t>other current financial assets – at the nominal value;</t>
    </r>
  </si>
  <si>
    <r>
      <rPr>
        <sz val="10"/>
        <rFont val="Arial"/>
        <family val="2"/>
      </rPr>
      <t>other current investments – at the market price;</t>
    </r>
  </si>
  <si>
    <r>
      <rPr>
        <sz val="10"/>
        <rFont val="Arial"/>
        <family val="2"/>
      </rPr>
      <t>raw materials and merchandise – at the acquisition cost not higher than the net sales price;</t>
    </r>
  </si>
  <si>
    <r>
      <rPr>
        <sz val="10"/>
        <rFont val="Arial"/>
        <family val="2"/>
      </rPr>
      <t>finished goods – at their production cost not higher than the net sales price;</t>
    </r>
  </si>
  <si>
    <r>
      <rPr>
        <sz val="10"/>
        <rFont val="Arial"/>
        <family val="2"/>
      </rPr>
      <t>semi-finished goods and work-in-progress – at their direct production cost not higher than the net sales price.</t>
    </r>
  </si>
  <si>
    <r>
      <rPr>
        <sz val="10"/>
        <rFont val="Arial"/>
        <family val="2"/>
      </rPr>
      <t>In order to value the disposal of tangible current assets, the first-in first-out method (FIFO) has been adopted.</t>
    </r>
  </si>
  <si>
    <r>
      <rPr>
        <sz val="10"/>
        <rFont val="Arial"/>
        <family val="2"/>
      </rPr>
      <t>Receivables are disclosed at the net value (less the value adjustment write-down).</t>
    </r>
  </si>
  <si>
    <r>
      <rPr>
        <sz val="10"/>
        <rFont val="Arial"/>
        <family val="2"/>
      </rPr>
      <t>Receivables are disclosed at the amount due.</t>
    </r>
  </si>
  <si>
    <r>
      <rPr>
        <sz val="10"/>
        <rFont val="Arial"/>
        <family val="2"/>
      </rPr>
      <t>Value adjustment write-downs are made while taking into account the degree of the risk related to a given receivable, in accordance with the following principles:</t>
    </r>
  </si>
  <si>
    <r>
      <rPr>
        <sz val="10"/>
        <rFont val="Arial"/>
        <family val="2"/>
      </rPr>
      <t>Time-barred debts are subject to a write-off after the period provided for by the law lapses.</t>
    </r>
  </si>
  <si>
    <r>
      <rPr>
        <sz val="10"/>
        <rFont val="Arial"/>
        <family val="2"/>
      </rPr>
      <t>Liabilities are recognised at the amount due.</t>
    </r>
  </si>
  <si>
    <r>
      <rPr>
        <sz val="10"/>
        <rFont val="Arial"/>
        <family val="2"/>
      </rPr>
      <t>Contingent liabilities against related parties:</t>
    </r>
  </si>
  <si>
    <r>
      <rPr>
        <sz val="10"/>
        <rFont val="Arial"/>
        <family val="2"/>
      </rPr>
      <t>– guaranties and warranties</t>
    </r>
  </si>
  <si>
    <r>
      <rPr>
        <sz val="10"/>
        <rFont val="Arial"/>
        <family val="2"/>
      </rPr>
      <t>– deposits and bid securities</t>
    </r>
  </si>
  <si>
    <r>
      <rPr>
        <sz val="10"/>
        <rFont val="Arial"/>
        <family val="2"/>
      </rPr>
      <t>– bills of exchange endorsed</t>
    </r>
  </si>
  <si>
    <r>
      <rPr>
        <sz val="10"/>
        <rFont val="Arial"/>
        <family val="2"/>
      </rPr>
      <t>– due from contracts concluded but not yet performed</t>
    </r>
  </si>
  <si>
    <r>
      <rPr>
        <sz val="10"/>
        <rFont val="Arial"/>
        <family val="2"/>
      </rPr>
      <t>– other</t>
    </r>
  </si>
  <si>
    <r>
      <rPr>
        <sz val="10"/>
        <rFont val="Arial"/>
        <family val="2"/>
      </rPr>
      <t>Contingent liabilities against third parties:</t>
    </r>
  </si>
  <si>
    <r>
      <rPr>
        <sz val="10"/>
        <rFont val="Arial"/>
        <family val="2"/>
      </rPr>
      <t>Total</t>
    </r>
  </si>
  <si>
    <r>
      <rPr>
        <sz val="10"/>
        <rFont val="Arial"/>
        <family val="2"/>
      </rPr>
      <t>reversal of provisions</t>
    </r>
  </si>
  <si>
    <r>
      <rPr>
        <sz val="10"/>
        <rFont val="Arial"/>
        <family val="2"/>
      </rPr>
      <t>interest accrued</t>
    </r>
  </si>
  <si>
    <r>
      <rPr>
        <sz val="10"/>
        <rFont val="Arial"/>
        <family val="2"/>
      </rPr>
      <t>dividends received</t>
    </r>
  </si>
  <si>
    <r>
      <rPr>
        <sz val="10"/>
        <rFont val="Arial"/>
        <family val="2"/>
      </rPr>
      <t xml:space="preserve">gains (losses) from valuation of transactions </t>
    </r>
  </si>
  <si>
    <r>
      <rPr>
        <sz val="10"/>
        <rFont val="Arial"/>
        <family val="2"/>
      </rPr>
      <t xml:space="preserve">value adjustment write-downs of receivables </t>
    </r>
  </si>
  <si>
    <r>
      <rPr>
        <sz val="10"/>
        <rFont val="Arial"/>
        <family val="2"/>
      </rPr>
      <t xml:space="preserve">provision for financial statements audit </t>
    </r>
  </si>
  <si>
    <r>
      <rPr>
        <sz val="10"/>
        <rFont val="Arial"/>
        <family val="2"/>
      </rPr>
      <t xml:space="preserve">Provision for unused holiday leave </t>
    </r>
  </si>
  <si>
    <r>
      <rPr>
        <sz val="10"/>
        <rFont val="Arial"/>
        <family val="2"/>
      </rPr>
      <t xml:space="preserve">donation </t>
    </r>
  </si>
  <si>
    <r>
      <rPr>
        <sz val="10"/>
        <rFont val="Arial"/>
        <family val="2"/>
      </rPr>
      <t>revaluation of inventories</t>
    </r>
  </si>
  <si>
    <r>
      <rPr>
        <sz val="10"/>
        <rFont val="Arial"/>
        <family val="2"/>
      </rPr>
      <t>interest payable to state budget</t>
    </r>
  </si>
  <si>
    <r>
      <rPr>
        <sz val="10"/>
        <rFont val="Arial"/>
        <family val="2"/>
      </rPr>
      <t>bank loan interest</t>
    </r>
  </si>
  <si>
    <r>
      <rPr>
        <sz val="10"/>
        <rFont val="Arial"/>
        <family val="2"/>
      </rPr>
      <t xml:space="preserve">expenses for official entertainment and advertising, above limit </t>
    </r>
  </si>
  <si>
    <r>
      <rPr>
        <sz val="10"/>
        <rFont val="Arial"/>
        <family val="2"/>
      </rPr>
      <t>VAT non-tax-deductible</t>
    </r>
  </si>
  <si>
    <r>
      <rPr>
        <sz val="10"/>
        <rFont val="Arial"/>
        <family val="2"/>
      </rPr>
      <t>remuneration under contracts of mandate, unpaid (+ ZUS)</t>
    </r>
  </si>
  <si>
    <r>
      <rPr>
        <sz val="10"/>
        <rFont val="Arial"/>
        <family val="2"/>
      </rPr>
      <t>depreciation and amortisation</t>
    </r>
  </si>
  <si>
    <r>
      <rPr>
        <sz val="10"/>
        <rFont val="Arial"/>
        <family val="2"/>
      </rPr>
      <t>State Fund for Rehabilitation of the Disabled (PFRON)</t>
    </r>
  </si>
  <si>
    <r>
      <rPr>
        <sz val="10"/>
        <rFont val="Arial"/>
        <family val="2"/>
      </rPr>
      <t>provisions for disputable claims</t>
    </r>
  </si>
  <si>
    <r>
      <rPr>
        <sz val="10"/>
        <rFont val="Arial"/>
        <family val="2"/>
      </rPr>
      <t>other</t>
    </r>
  </si>
  <si>
    <r>
      <rPr>
        <sz val="10"/>
        <rFont val="Arial"/>
        <family val="2"/>
      </rPr>
      <t>bank loan interest, paid</t>
    </r>
  </si>
  <si>
    <r>
      <rPr>
        <sz val="10"/>
        <rFont val="Arial"/>
        <family val="2"/>
      </rPr>
      <t>dues under contracts of mandate, paid</t>
    </r>
  </si>
  <si>
    <r>
      <rPr>
        <sz val="10"/>
        <rFont val="Arial"/>
        <family val="2"/>
      </rPr>
      <t>tax provision, made</t>
    </r>
  </si>
  <si>
    <r>
      <rPr>
        <sz val="10"/>
        <rFont val="Arial"/>
        <family val="2"/>
      </rPr>
      <t>accumulated loss carried forward</t>
    </r>
  </si>
  <si>
    <r>
      <rPr>
        <sz val="10"/>
        <rFont val="Arial"/>
        <family val="2"/>
      </rPr>
      <t>Foreign exchange rates assumed for valuation of balance sheet items and income statement items denominated in foreign currencies</t>
    </r>
  </si>
  <si>
    <r>
      <rPr>
        <sz val="10"/>
        <rFont val="Arial"/>
        <family val="2"/>
      </rPr>
      <t>(indirect method)</t>
    </r>
  </si>
  <si>
    <r>
      <rPr>
        <sz val="10"/>
        <rFont val="Arial"/>
        <family val="2"/>
      </rPr>
      <t>Group 1</t>
    </r>
  </si>
  <si>
    <r>
      <rPr>
        <sz val="10"/>
        <rFont val="Arial"/>
        <family val="2"/>
      </rPr>
      <t>Group 2</t>
    </r>
  </si>
  <si>
    <r>
      <rPr>
        <sz val="10"/>
        <rFont val="Arial"/>
        <family val="2"/>
      </rPr>
      <t>Group 3</t>
    </r>
  </si>
  <si>
    <r>
      <rPr>
        <sz val="10"/>
        <rFont val="Arial"/>
        <family val="2"/>
      </rPr>
      <t>Group 4</t>
    </r>
  </si>
  <si>
    <r>
      <rPr>
        <sz val="10"/>
        <rFont val="Arial"/>
        <family val="2"/>
      </rPr>
      <t>Group 5</t>
    </r>
  </si>
  <si>
    <r>
      <rPr>
        <sz val="10"/>
        <rFont val="Arial"/>
        <family val="2"/>
      </rPr>
      <t>Group 6</t>
    </r>
  </si>
  <si>
    <r>
      <rPr>
        <sz val="10"/>
        <rFont val="Arial"/>
        <family val="2"/>
      </rPr>
      <t>Group 7</t>
    </r>
  </si>
  <si>
    <r>
      <rPr>
        <sz val="10"/>
        <rFont val="Arial"/>
        <family val="2"/>
      </rPr>
      <t>Loan 1</t>
    </r>
  </si>
  <si>
    <r>
      <rPr>
        <sz val="10"/>
        <rFont val="Arial"/>
        <family val="2"/>
      </rPr>
      <t>Loan 2</t>
    </r>
  </si>
  <si>
    <r>
      <rPr>
        <sz val="10"/>
        <rFont val="Arial"/>
        <family val="2"/>
        <charset val="238"/>
      </rPr>
      <t>Information on acquisition cost and goodwill</t>
    </r>
  </si>
  <si>
    <r>
      <rPr>
        <sz val="10"/>
        <rFont val="Arial"/>
        <family val="2"/>
      </rPr>
      <t>Item</t>
    </r>
  </si>
  <si>
    <r>
      <rPr>
        <sz val="10"/>
        <rFont val="Arial"/>
        <family val="2"/>
      </rPr>
      <t>Acquisition cost</t>
    </r>
  </si>
  <si>
    <r>
      <rPr>
        <sz val="10"/>
        <rFont val="Arial"/>
        <family val="2"/>
      </rPr>
      <t>Net assets by value</t>
    </r>
  </si>
  <si>
    <r>
      <rPr>
        <sz val="10"/>
        <rFont val="Arial"/>
        <family val="2"/>
      </rPr>
      <t>Goodwill / Negative goodwill</t>
    </r>
  </si>
  <si>
    <r>
      <rPr>
        <sz val="10"/>
        <rFont val="Arial"/>
        <family val="2"/>
      </rPr>
      <t>Company X</t>
    </r>
  </si>
  <si>
    <r>
      <rPr>
        <sz val="10"/>
        <rFont val="Arial"/>
        <family val="2"/>
      </rPr>
      <t>Company Y</t>
    </r>
  </si>
  <si>
    <r>
      <rPr>
        <sz val="10"/>
        <rFont val="Arial"/>
        <family val="2"/>
      </rPr>
      <t>Description of goodwill amortisation method.</t>
    </r>
  </si>
  <si>
    <r>
      <rPr>
        <sz val="10"/>
        <rFont val="Arial"/>
        <family val="2"/>
      </rPr>
      <t xml:space="preserve">in the District Court for ……………., ………... Commercial Division of the National Court Register, under number ………….. </t>
    </r>
  </si>
  <si>
    <r>
      <rPr>
        <sz val="10"/>
        <rFont val="Arial"/>
        <family val="2"/>
      </rPr>
      <t>The Company’s share capital amounts to PLN ………….... It consists of ………. shares in the nominal value of PLN ………. each.</t>
    </r>
  </si>
  <si>
    <r>
      <rPr>
        <sz val="10"/>
        <rFont val="Arial"/>
        <family val="2"/>
      </rPr>
      <t>Mr/Ms</t>
    </r>
  </si>
  <si>
    <r>
      <rPr>
        <sz val="10"/>
        <rFont val="Arial"/>
        <family val="2"/>
      </rPr>
      <t>Branch name</t>
    </r>
  </si>
  <si>
    <r>
      <rPr>
        <sz val="10"/>
        <rFont val="Arial"/>
        <family val="2"/>
      </rPr>
      <t>Branch address</t>
    </r>
  </si>
  <si>
    <r>
      <rPr>
        <sz val="10"/>
        <rFont val="Arial"/>
        <family val="2"/>
      </rPr>
      <t>The Company earns revenue from sale of services in Poland and/or abroad.</t>
    </r>
  </si>
  <si>
    <r>
      <rPr>
        <sz val="10"/>
        <rFont val="Arial"/>
        <family val="2"/>
      </rPr>
      <t>In the period under consideration, the Company earned the net profit of PLN …………... made up in particular of ………………….</t>
    </r>
  </si>
  <si>
    <r>
      <rPr>
        <sz val="10"/>
        <rFont val="Arial"/>
        <family val="2"/>
      </rPr>
      <t xml:space="preserve">The facts and circumstances we are aware of, the most important of which are outlined in this report, indicate that there are no threats to the Company's operations in the foreseeable future. </t>
    </r>
  </si>
  <si>
    <r>
      <rPr>
        <sz val="10"/>
        <rFont val="Arial"/>
        <family val="2"/>
      </rPr>
      <t>Full name</t>
    </r>
  </si>
  <si>
    <r>
      <rPr>
        <sz val="10"/>
        <rFont val="Arial"/>
        <family val="2"/>
      </rPr>
      <t>Member of Management Board</t>
    </r>
  </si>
  <si>
    <r>
      <rPr>
        <sz val="10"/>
        <rFont val="Arial"/>
        <family val="2"/>
      </rPr>
      <t>Management Board and representation</t>
    </r>
  </si>
  <si>
    <r>
      <rPr>
        <sz val="10"/>
        <rFont val="Arial"/>
        <family val="2"/>
      </rPr>
      <t>District Court</t>
    </r>
  </si>
  <si>
    <r>
      <rPr>
        <sz val="10"/>
        <rFont val="Arial"/>
        <family val="2"/>
      </rPr>
      <t>Commercial Division of the National Court Register</t>
    </r>
  </si>
  <si>
    <r>
      <rPr>
        <sz val="10"/>
        <rFont val="Arial"/>
        <family val="2"/>
      </rPr>
      <t xml:space="preserve">XX-XX town, ul. XXX </t>
    </r>
  </si>
  <si>
    <r>
      <rPr>
        <sz val="10"/>
        <rFont val="Arial"/>
        <family val="2"/>
      </rPr>
      <t>Unlimited</t>
    </r>
  </si>
  <si>
    <r>
      <rPr>
        <sz val="10"/>
        <rFont val="Arial"/>
        <family val="2"/>
      </rPr>
      <t>36 months</t>
    </r>
  </si>
  <si>
    <r>
      <rPr>
        <sz val="10"/>
        <rFont val="Arial"/>
        <family val="2"/>
      </rPr>
      <t>60 months</t>
    </r>
  </si>
  <si>
    <r>
      <rPr>
        <sz val="10"/>
        <rFont val="Arial"/>
        <family val="2"/>
      </rPr>
      <t>including interest and capitalised foreign exchange gains (losses) on liabilities incurred to finance them</t>
    </r>
  </si>
  <si>
    <r>
      <rPr>
        <sz val="10"/>
        <rFont val="Arial"/>
        <family val="2"/>
      </rPr>
      <t>revenue from sale of finished goods, merchandise and raw materials, and financial income</t>
    </r>
  </si>
  <si>
    <r>
      <rPr>
        <sz val="10"/>
        <rFont val="Arial"/>
        <family val="2"/>
      </rPr>
      <t>RISK FACTORS RELATED TO BUSINESS ACTIVITY</t>
    </r>
  </si>
  <si>
    <r>
      <rPr>
        <sz val="10"/>
        <rFont val="Arial"/>
        <family val="2"/>
      </rPr>
      <t>MAJOR R&amp;D ACHIEVEMENTS</t>
    </r>
  </si>
  <si>
    <r>
      <rPr>
        <sz val="10"/>
        <rFont val="Arial"/>
        <family val="2"/>
      </rPr>
      <t>INFORMATION ON PURCHASE OF TREASURY SHARES</t>
    </r>
  </si>
  <si>
    <r>
      <rPr>
        <sz val="10"/>
        <rFont val="Arial"/>
        <family val="2"/>
      </rPr>
      <t>Information on the purpose of purchase of treasury shares, their number and nominal value, including the amount of the share capital they represent, and their acquisition cost and sales price if they are disposed of.</t>
    </r>
  </si>
  <si>
    <r>
      <rPr>
        <sz val="10"/>
        <rFont val="Arial"/>
        <family val="2"/>
      </rPr>
      <t>The information on applying the corporate governance principles should be provided with respect to the entities whose securities have been admitted for trading in one of the regulated markets of the European Economic Area.</t>
    </r>
  </si>
  <si>
    <t>ATTENTION !!! Data from yellow fields are not translated automatically.</t>
  </si>
  <si>
    <t>Intangible assets are recognised in the books of account at their acquisition cost and amortised on the basis of the straight-line method in the period:</t>
  </si>
  <si>
    <t>Profit (loss) on sales</t>
  </si>
  <si>
    <t>Loss on disposal of non-financial non-current assets</t>
  </si>
  <si>
    <t>Profit (loss) on operating activities</t>
  </si>
  <si>
    <t>Gain on disposal of investments</t>
  </si>
  <si>
    <t>Loss on disposal of investments</t>
  </si>
  <si>
    <t>Total gains (losses) on investing activities</t>
  </si>
  <si>
    <t>Profit (loss) on particular types of activities, shown in the income statement for the audited period:</t>
  </si>
  <si>
    <t>- profit (loss) on sales</t>
  </si>
  <si>
    <t>- profit (loss) on other operating activities</t>
  </si>
  <si>
    <t>- profit (loss) on financing activities</t>
  </si>
  <si>
    <t>Profit (loss) on ordinary activities</t>
  </si>
  <si>
    <t>Gross profit (loss) on sales</t>
  </si>
  <si>
    <t>Gain (loss) on investing activities</t>
  </si>
  <si>
    <t>A.II.4. Gain (loss) on investing activities</t>
  </si>
  <si>
    <t>Profit (loss) on the sale of investment assets</t>
  </si>
  <si>
    <t>Losses on extraordinary items</t>
  </si>
  <si>
    <t>Profit on sales against sale of finished goods and merchandise</t>
  </si>
  <si>
    <t>Borrowings and loans</t>
  </si>
  <si>
    <t>change in cash and cash equivalents arising from foreign exchange gains (losses)</t>
  </si>
  <si>
    <r>
      <rPr>
        <sz val="10"/>
        <rFont val="Arial"/>
        <family val="2"/>
      </rPr>
      <t xml:space="preserve">Tangible assets are depreciated on the basis of the straight-line/declining method over the expected useful life, starting from the first day of the month following the month in which they were brought into service.  </t>
    </r>
  </si>
  <si>
    <r>
      <rPr>
        <sz val="10"/>
        <rFont val="Arial"/>
        <family val="2"/>
      </rPr>
      <t>Assets under construction are valued at the costs incurred to acquire or manufacture the tangible assets to be created once the investment is completed.</t>
    </r>
  </si>
  <si>
    <r>
      <rPr>
        <sz val="10"/>
        <rFont val="Arial"/>
        <family val="2"/>
      </rPr>
      <t>Value adjustment write-downs of inventories are made annually. Inventories are regarded as overdue after three years from being entered in the accounting records.</t>
    </r>
  </si>
  <si>
    <r>
      <rPr>
        <sz val="10"/>
        <rFont val="Arial"/>
        <family val="2"/>
      </rPr>
      <t>non-taxable revenues</t>
    </r>
  </si>
  <si>
    <r>
      <rPr>
        <sz val="10"/>
        <rFont val="Arial"/>
        <family val="2"/>
      </rPr>
      <t>donations</t>
    </r>
  </si>
  <si>
    <r>
      <rPr>
        <sz val="10"/>
        <rFont val="Arial"/>
        <family val="2"/>
      </rPr>
      <t>The Company conducts its business activity on the basis of the Articles of Association dated …………….., drawn up in the notary office in (location), and recorded in Register no. ……………., as amended.</t>
    </r>
  </si>
  <si>
    <r>
      <rPr>
        <sz val="10"/>
        <rFont val="Arial"/>
        <family val="2"/>
      </rPr>
      <t>net profit (loss) and owners' equity, in breakdown by group</t>
    </r>
  </si>
  <si>
    <r>
      <rPr>
        <sz val="10"/>
        <rFont val="Arial"/>
        <family val="2"/>
      </rPr>
      <t>non-current assets value</t>
    </r>
  </si>
  <si>
    <r>
      <rPr>
        <sz val="10"/>
        <rFont val="Arial"/>
        <family val="2"/>
      </rPr>
      <t>annual average employment</t>
    </r>
  </si>
  <si>
    <r>
      <rPr>
        <sz val="10"/>
        <rFont val="Arial"/>
        <family val="2"/>
      </rPr>
      <t>Description of the risks (price fluctuation risk, credit risk, substantial cash flow disruptions and loss of liquidity) to which the Company is exposed.</t>
    </r>
  </si>
  <si>
    <r>
      <rPr>
        <sz val="10"/>
        <rFont val="Arial"/>
        <family val="2"/>
      </rPr>
      <t>Description of the goals and methods adopted by the Company to manage the financial risk, including the methods to secure important types of the planned transactions to which the hedging accounting is applied.</t>
    </r>
  </si>
  <si>
    <r>
      <rPr>
        <sz val="10"/>
        <rFont val="Arial"/>
        <family val="2"/>
      </rPr>
      <t>24–60 months</t>
    </r>
  </si>
  <si>
    <t>Accumulated profit carried forward at the beginning of the period</t>
  </si>
  <si>
    <t xml:space="preserve">Accumulated profit carried forward at the beginning of the period, after corrections </t>
  </si>
  <si>
    <t>Accumulated profit carried forward at the end of the period</t>
  </si>
  <si>
    <t>Accumulated loss carried forward at the beginning of the period</t>
  </si>
  <si>
    <t>Accumulated loss carried forward at the beginning of the period after corrections</t>
  </si>
  <si>
    <t>Accumulated loss carried forward at the end of the period</t>
  </si>
  <si>
    <t xml:space="preserve">Balance at the end of the financial year </t>
  </si>
  <si>
    <t>Liabilities against state budget or units of territorial self-government, due to obtained ownership right to buildings and structures</t>
  </si>
  <si>
    <t>As of the balance sheet date the shares in the Company are held by:</t>
  </si>
  <si>
    <t>91–180 days</t>
  </si>
  <si>
    <t>Kapitał własny – stan na XX.XX.XXXX</t>
  </si>
  <si>
    <t>Eigenkapital – Stand zum XX.XX.XXXX</t>
  </si>
  <si>
    <t>GA – dane ogólne o Spółce</t>
  </si>
  <si>
    <t>GA – Allgemeine Angaben über die Gesellschaft</t>
  </si>
  <si>
    <t>GA – general information on the Company</t>
  </si>
  <si>
    <t>RZiS Por. – rachunek zysków i strat w wersji porównawczej</t>
  </si>
  <si>
    <t>RZiS Por. – Gewinn- und Verlustrechnung nach dem Gesamtkostenverfahren</t>
  </si>
  <si>
    <t>RZiS Por. – Income statement – nature of expense method</t>
  </si>
  <si>
    <t>RZiS Kal. – rachunek zysków i strat w wersji kalkulacyjnej</t>
  </si>
  <si>
    <t>RZiS Kal. – Gewinn- und Verlustrechnung nach dem Umsatzkostenverfahren</t>
  </si>
  <si>
    <t>RZiS Kal. – Income statement – function of expense method</t>
  </si>
  <si>
    <t>CF mp – rachunek przepływów środków pieniężnych sporządzony metodą pośrednią</t>
  </si>
  <si>
    <t>CF mp. – Kapitalflussrechnung erstellt nach der indirekten Methode</t>
  </si>
  <si>
    <t>CF mp – Cash flow statement prepared using the indirect method</t>
  </si>
  <si>
    <t>CF mb – rachunek przepływów środków pieniężnych sporządzony metodą bezpośrednią</t>
  </si>
  <si>
    <t>CF mb – Cash flow statement prepared using the direct method</t>
  </si>
  <si>
    <t>CF mb – Kapitalflussrechnung erstellt nach der direkten Methode</t>
  </si>
  <si>
    <t>Z. Zm. w Kap. – zestawienie zmian w kapitale (funduszu) własnym</t>
  </si>
  <si>
    <t>Z Zm. w Kap. – Eigenkapitalspiegel</t>
  </si>
  <si>
    <t>Z. Zm. w Kap. – Statement of changes in equity</t>
  </si>
  <si>
    <t>nota 1.1.a – zestawienie wartości niematerialnych i prawnych</t>
  </si>
  <si>
    <t>nota 1.1.a – Zusammenstellung der immateriellen Vermögensgegenstände und Rechte</t>
  </si>
  <si>
    <t>nota 1.1.b – zestawienie rzeczowych aktywów trwałych</t>
  </si>
  <si>
    <t>nota 1.1.b – Zusammenstellung des Sachanlagevermögens</t>
  </si>
  <si>
    <t>nota 1.1.c – zestawienie inwestycji długoterminowych</t>
  </si>
  <si>
    <t>nota do CF – informacje dodatkowe do sprawozdania z przepływów środków pieniężnych</t>
  </si>
  <si>
    <t>nota do CF – Zusätzliche Informationen über die Kapitalflussrechnung</t>
  </si>
  <si>
    <t>SPRAWOZDANIE – sprawozdanie Zarządu z działalności jednostki</t>
  </si>
  <si>
    <t>Proponowany podział zysku – jeśli wypłacony wspólnikom</t>
  </si>
  <si>
    <t>Proposed distribution of profit – if paid to the shareholders</t>
  </si>
  <si>
    <t>Immobilien – zu Anschaffungskosten;</t>
  </si>
  <si>
    <t>Immaterielle Vermögensgegenstände und Rechte – zu Anschaffungskosten;</t>
  </si>
  <si>
    <t>sonstige Wertpapiere – zu Anschaffungskosten;</t>
  </si>
  <si>
    <t>Ausleihungen – zu Rückzahlungsbeträgen;</t>
  </si>
  <si>
    <t>sonstige langfristige Investitionen – zu Anschaffungskosten.</t>
  </si>
  <si>
    <t>sonstige kurzfristige Investitionen – zu Marktpreisen.</t>
  </si>
  <si>
    <t>Roh-, Hilfs- und Betriebsstoffe und Waren – zu Anschaffungskosten, die nicht höher als Nettoverkaufspreise sind;</t>
  </si>
  <si>
    <t>Jako zasadę wyceny wartości rozchodu rzeczowych składników aktywów obrotowych przyjęto metodę "pierwsze przyszło – pierwsze wyszło".</t>
  </si>
  <si>
    <t>Umsatzsteuer – nicht abzugsfähig</t>
  </si>
  <si>
    <t>0–90 dni</t>
  </si>
  <si>
    <t>91–180 dni</t>
  </si>
  <si>
    <t>181–360 dni</t>
  </si>
  <si>
    <t>0–90 Tage</t>
  </si>
  <si>
    <t>91–180 Tage</t>
  </si>
  <si>
    <t>181–360 Tage</t>
  </si>
  <si>
    <t>181–360 days</t>
  </si>
  <si>
    <t xml:space="preserve">3) including overdue liabilities covered by bankruptcy, liquidation and arrangement proceedings
</t>
  </si>
  <si>
    <t>Unrelated parties</t>
  </si>
  <si>
    <t>Recognition under costs of the financial year</t>
  </si>
  <si>
    <t>Settlement of main items which cause differences between taxable income and profit (loss) before tax</t>
  </si>
  <si>
    <t>gross profit (loss)</t>
  </si>
  <si>
    <t>(+) non-tax-deductible costs</t>
  </si>
  <si>
    <t>(+) non-tax-deductible costs carried forward, deductible in the financial year</t>
  </si>
  <si>
    <t>Production costs of finished goods, capitalised</t>
  </si>
  <si>
    <t>Cash and cash equivalents at the beginning of the financial year</t>
  </si>
  <si>
    <t>Cash and cash equivalents as the end of the financial year</t>
  </si>
  <si>
    <t>Average employment in the Company during the financial year in breakdown by professional groups</t>
  </si>
  <si>
    <t>Percentage share of the entity in the joint venture</t>
  </si>
  <si>
    <t>percentage of shares</t>
  </si>
  <si>
    <t>- name and registered office of the entity preparing the consolidated financial statements at a higher level of the group as well as the place of their publishing</t>
  </si>
  <si>
    <t>Owners' equity – balance as of XX.XX.XXXX.</t>
  </si>
  <si>
    <t>Subsidies in the year of their reception, if they were received in total, included in the proft (loss) for the relevant period</t>
  </si>
  <si>
    <t>Net profit (loss)</t>
  </si>
  <si>
    <t>SPRAWOZDANIE – Management Report</t>
  </si>
  <si>
    <t>Interest on bank loans</t>
  </si>
  <si>
    <t>Redemption of borrowings and loans contracted and other financial liabilities (minus)</t>
  </si>
  <si>
    <t>MANAGEMENT REPORT OF</t>
  </si>
  <si>
    <t>tu 'Rozliczenia międzyokresowe' wynikają pewnie z terminologii w ustawie, ALE w 488 jest w PL 'Bierne rozliczenia międzyokresowe' i jako odpowiednik 'Accruals' - gdyby tu (w wersji PL) było też tak, sytuacja byłaby klarowna</t>
  </si>
  <si>
    <t>Information on the company with which the entity has merged, the consolidation accounted for using the acquisition method</t>
  </si>
  <si>
    <t>Information on the companies with which the entity has merged, the consolidation accounted for using the pooling of interests method</t>
  </si>
  <si>
    <t>A.II.3. Interest and dividends</t>
  </si>
  <si>
    <t>wartość przychodów netto ze sprzedaży produktów, towarów i materiałów oraz przychodów finansowych</t>
  </si>
  <si>
    <t>The employment in the Company as of " &amp; dzb &amp; " amounted to …………… persons/person</t>
  </si>
  <si>
    <t>including interest and capitalised foreign exchange gains (losses) on liabilities incurred to finance them</t>
  </si>
  <si>
    <t>revenue from sale of finished goods, merchandise and raw materials, and financial income</t>
  </si>
  <si>
    <t>der Verwendung des Gewinnvortrags</t>
  </si>
  <si>
    <t>Zaliczki na dostawy i usługi</t>
  </si>
  <si>
    <t>Anzahlungen auf Lieferungen und Leistungen</t>
  </si>
  <si>
    <t>Advance payments on account of supplies and services</t>
  </si>
  <si>
    <t>Od pozostałych jednostek, w których jednostka posiada zaangażowanie w kapitale</t>
  </si>
  <si>
    <t>Należności od pozostałych jednostek, w których jednostka posiada zaangażowanie w kapitale</t>
  </si>
  <si>
    <t xml:space="preserve">Outstanding share capital contributions </t>
  </si>
  <si>
    <t xml:space="preserve">Ausstehende Einlagen auf das gezeichnete Kapital </t>
  </si>
  <si>
    <t xml:space="preserve">Udziały (akcje) własne </t>
  </si>
  <si>
    <t xml:space="preserve">Eigene Anteile (Aktien) </t>
  </si>
  <si>
    <t xml:space="preserve">Treasury shares </t>
  </si>
  <si>
    <t>w pozostałych jednostkach, w których jednostka posiada zaangażowanie w kapitale</t>
  </si>
  <si>
    <t>Kapitalrücklage, darunter:</t>
  </si>
  <si>
    <t>nadwyżka wartości sprzedaży (wartości emisyjnej) nad wartością nominalną udziałów (akcji)</t>
  </si>
  <si>
    <t>Überhang des Verkaufswertes (Emissionswertes) über den Nennwert der Anteile (Aktien)</t>
  </si>
  <si>
    <t>share premium (agio)</t>
  </si>
  <si>
    <t>Neubewertungsrücklage, darunter:</t>
  </si>
  <si>
    <t>aus der Neubewertung des beizulegenden Zeitwertes</t>
  </si>
  <si>
    <t>z tytułu aktualizacji wartości godziwej</t>
  </si>
  <si>
    <t>fair value adjustment</t>
  </si>
  <si>
    <t>Sonstige Rücklagen, darunter:</t>
  </si>
  <si>
    <t>satzungsmäßige Rücklagen</t>
  </si>
  <si>
    <t>as per the entity's constitutional document</t>
  </si>
  <si>
    <t>for treasury shares</t>
  </si>
  <si>
    <t>tworzone zgodnie z umową (statutem) spółki</t>
  </si>
  <si>
    <t>na udziały (akcje) własne</t>
  </si>
  <si>
    <t>Zobowiązania wobec pozostałych jednostek, w których jednostka posiada zaangażowanie w kapitale</t>
  </si>
  <si>
    <t>Social security and other employee benefits, incl.:</t>
  </si>
  <si>
    <t>Personalnebenkosten, darunter:</t>
  </si>
  <si>
    <t>Verbrauchsteuer</t>
  </si>
  <si>
    <t>retirement pension insurance</t>
  </si>
  <si>
    <t>emerytalne</t>
  </si>
  <si>
    <t>Dywidendy i udziały w zyskach, w tym:</t>
  </si>
  <si>
    <t>Dividenden und Gewinnbeteiligungen, darunter:</t>
  </si>
  <si>
    <t>Dividends and profit sharing, incl.:</t>
  </si>
  <si>
    <t>Odsetki, w tym:</t>
  </si>
  <si>
    <t>Zinsen, darunter:</t>
  </si>
  <si>
    <t>Interest, incl.:</t>
  </si>
  <si>
    <t>od jednostek powiązanych, w tym:</t>
  </si>
  <si>
    <t>aus verbundenen Unternehmen, darunter:</t>
  </si>
  <si>
    <t>those received from related parties, incl.:</t>
  </si>
  <si>
    <t>w których jednostka posiada zaangażowanie w kapitale</t>
  </si>
  <si>
    <t>od jednostek pozostałych, w tym:</t>
  </si>
  <si>
    <t>from third parties, incl.:</t>
  </si>
  <si>
    <t>aus dritten Unternehmen, darunter:</t>
  </si>
  <si>
    <t>Zysk z tytułu rozchodu aktywów finansowych, w tym:</t>
  </si>
  <si>
    <t>Profit on disposal of financial assets, incl.:</t>
  </si>
  <si>
    <t>Gewinn aus dem Abgang finanzieller Vermögenswerte, darunter:</t>
  </si>
  <si>
    <t>Aktualizacja wartości aktywów finansowych</t>
  </si>
  <si>
    <t>Value adjustment of financial assets</t>
  </si>
  <si>
    <t>Neubewertung finanzieller Vermögenswerte</t>
  </si>
  <si>
    <t>Strata z tytułu rozchodu aktywów finansowych, w tym:</t>
  </si>
  <si>
    <t>Loss on disposal of financial assets, incl.:</t>
  </si>
  <si>
    <t>Verlust aus dem Abgang finanzieller Vermögenswerte, darunter:</t>
  </si>
  <si>
    <t>Zysk z tytułu rozchodu niefinansowych aktywów trwałych</t>
  </si>
  <si>
    <t>Profit on sales of non-financial non-current assets</t>
  </si>
  <si>
    <t>Gewinn aus dem Abgang nicht finanzieller langfristiger Vermögenswerte</t>
  </si>
  <si>
    <t>Neubewertung nicht finanzieller Vermögenswerte</t>
  </si>
  <si>
    <t>Rok bieżący</t>
  </si>
  <si>
    <t>Current Year</t>
  </si>
  <si>
    <t>Capital reserves, incl:</t>
  </si>
  <si>
    <t>Revaluation reserve, incl:</t>
  </si>
  <si>
    <t>Other capital reserves, incl:</t>
  </si>
  <si>
    <t>z tytułu podatków, ceł, ubezpieczeń społecznych i zdrowotnych oraz innych tytułów publicznoprawnych</t>
  </si>
  <si>
    <t>aus Steuern, Zöllen, Sozial- und Krankenversicherungen sowie andere öffentlich-rechtliche Verbindlichkeiten</t>
  </si>
  <si>
    <t>tax, customs duty, social security, health insurance and other public payables</t>
  </si>
  <si>
    <t>Strata z tytułu rozchodu niefinansowych aktywów trwałych</t>
  </si>
  <si>
    <t>Verlust aus dem Abgang nicht finanzieller langfristiger Vermögenswerte</t>
  </si>
  <si>
    <t>zmiany przyjętych zasad (polityki) rachunkowości</t>
  </si>
  <si>
    <t>Änderung der angenommenen Rechnungslegungsgrundsätze (-politik)</t>
  </si>
  <si>
    <t>changes to the adopted accounting (policy) rules</t>
  </si>
  <si>
    <t xml:space="preserve">korekty błędów </t>
  </si>
  <si>
    <t>Korrekturen der Fehler</t>
  </si>
  <si>
    <t>correction of errors</t>
  </si>
  <si>
    <t>3.2.</t>
  </si>
  <si>
    <t>Kapitał (fundusz) z aktualizacji wyceny na początek okresu – zmiany przyjętych zasad (polityki) rachunkowości</t>
  </si>
  <si>
    <t>Revaluation reserve at the beginning of the period – changes to the adopted accounting (policy) rules</t>
  </si>
  <si>
    <t>5.3.</t>
  </si>
  <si>
    <t>5.4.</t>
  </si>
  <si>
    <t>5.5.</t>
  </si>
  <si>
    <t>5.6.</t>
  </si>
  <si>
    <t>5.7.</t>
  </si>
  <si>
    <t>1.8</t>
  </si>
  <si>
    <t>1.9</t>
  </si>
  <si>
    <t>1.10</t>
  </si>
  <si>
    <t>Szczegółowy zakres zmian kapitałów zapasowych, rezerwowych oraz kapitału z aktualizacji wyceny (o ile jednostka nie sporządza zestawienia zmian w kapitale własnym)</t>
  </si>
  <si>
    <t>Detailed scope of changes in capital reserves, other capital reserves  and revaluation reserve (unless the Company prepares the statement of changes in equity)</t>
  </si>
  <si>
    <t>różnice kursowe</t>
  </si>
  <si>
    <t>4.1</t>
  </si>
  <si>
    <t>7.1</t>
  </si>
  <si>
    <t>7.2</t>
  </si>
  <si>
    <t>7.3</t>
  </si>
  <si>
    <t>7.4</t>
  </si>
  <si>
    <t>7.5</t>
  </si>
  <si>
    <t>7.6.</t>
  </si>
  <si>
    <t>8.1.</t>
  </si>
  <si>
    <t>8.2.</t>
  </si>
  <si>
    <t>1.16</t>
  </si>
  <si>
    <t>nota 1.3–1.10 – grunty użytkowane wieczyście, środki trwałe w leasingu, najmie, dzierżawie, papiery wartościowe, odpisy aktualizujące należności,  struktura własności kapitału własnego,  zestawienie zmian kapitałów własnych, propozycje podziału zysku lub pokrycia straty</t>
  </si>
  <si>
    <t>nota 1.11 – zestawienie rezerw na zobowiązania</t>
  </si>
  <si>
    <t>nota 1.11 – Zusammenstellung der Rückstellungen für Verbindlichkeiten</t>
  </si>
  <si>
    <t>nota 1.12 – Langfristige Verbindlichkeiten</t>
  </si>
  <si>
    <t>nota 1.12 – zobowiązania długoterminowe</t>
  </si>
  <si>
    <t>nota 1.13 – wykaz grup zobowiązań zabezpieczonych na majątku jednostki (ze wskazaniem jego rodzaju)</t>
  </si>
  <si>
    <t>nota 1.14 – zestawienie czynnych i biernych rozliczeń międzyokresowych</t>
  </si>
  <si>
    <t>nota 1.14 – Zusammenstellung der aktiven und passiven Rechnungsabgrenzungsposten</t>
  </si>
  <si>
    <t>nota 1.16. - zobowiązania warunkowe</t>
  </si>
  <si>
    <t>1.17</t>
  </si>
  <si>
    <t>nota 3 - Kursy przyjęte do wyceny pozycji bilansu oraz rachunku zysków i strat wyrażonych w walutach obcych</t>
  </si>
  <si>
    <t>nota 4 – struktura środków pieniężnych przyjętych do rachunku przepływu pieniężnych</t>
  </si>
  <si>
    <t>nota 4 – Struktur der Geldmittel, die der Kapitalflussrechnung zugrunde liegen</t>
  </si>
  <si>
    <t>nota 6 – informacje o istotnych zdarzeniach dotyczących lat ubiegłych lub powstałych po dniu bilansowym nie ujętych w sprawozdaniu finansowym oraz zmiany zasad (polityki) rachunkowości</t>
  </si>
  <si>
    <t>nota 6 – Angaben über wesentliche Ereignisse aus den Vorjahren oder nach dem Bilanzstichtag eingetretene Ereignisse, die im Jahresabschluss nicht ausgewiesen wurden, sowie Änderungen der Rechnungslegungsgrundsätze (-politik)</t>
  </si>
  <si>
    <t>nota 7 – informacje o wspólnych przedsięwzięciach, które nie podlegają konsolidacji, transakcjach z jednostkami powiązanymi, wykaz spółek powiązanych, przyczynach odstąpienia od konsolidacji</t>
  </si>
  <si>
    <t>nota 8 – informacje o połączeniu spółek (metoda nabycia lub łączenia udziałów)</t>
  </si>
  <si>
    <t>nota 9 – informacje o zagrożeniu kontynuowania działalności</t>
  </si>
  <si>
    <t>nota 10 – inne istotne informacje</t>
  </si>
  <si>
    <t>nota 10 – Sonstige wesentliche Informationen</t>
  </si>
  <si>
    <t xml:space="preserve">nota 5 – informacje o zatrudnieniu i wynagrodzeniach członków Zarządu, Rady Nadzorczej oraz Biegłego Rewidenta </t>
  </si>
  <si>
    <t>nota 1.3. - 1.10</t>
  </si>
  <si>
    <t>Aktywa niebędące instrumentami finansowymi, wyceniane wg wartości godziwej</t>
  </si>
  <si>
    <t>Kursdifferenzen</t>
  </si>
  <si>
    <t>foreign exchange gains (losses)</t>
  </si>
  <si>
    <t>Pozostałe jednostki, w których jednostka posiada zaangażowanie w kapitale</t>
  </si>
  <si>
    <t>wypłata dywidendy</t>
  </si>
  <si>
    <t>Należności krótkoterminowe  od pozostałych jednostek, w których jednostka posiada zaangażowanie w kapitale</t>
  </si>
  <si>
    <t>Różnica między wartością otrzymanych sładników aktywów a zobowiązaniem zapłaty za nie</t>
  </si>
  <si>
    <t>Należności i zobowiązania wykazywane w więcej niż jednej pozycji bilansu</t>
  </si>
  <si>
    <t>Należności</t>
  </si>
  <si>
    <t>Forderungen</t>
  </si>
  <si>
    <t>część krótkoterminowa</t>
  </si>
  <si>
    <t>część długoterminowa</t>
  </si>
  <si>
    <t>Zobowiązania</t>
  </si>
  <si>
    <t>Verbindlichkeiten</t>
  </si>
  <si>
    <t>`</t>
  </si>
  <si>
    <t>Zobowiązania warunkowe wobec pozostałych jednostek, w których jednostka posiada zaangażowanie w kapitale:</t>
  </si>
  <si>
    <t>6.1</t>
  </si>
  <si>
    <t>6.2</t>
  </si>
  <si>
    <t>6.3</t>
  </si>
  <si>
    <t>6.4</t>
  </si>
  <si>
    <t>Wykaz spółek, w których jednostka posiada zaangażowanie w kapitale lub 20% w ogólnej liczbie głosów w organie stanowiącym Spółki</t>
  </si>
  <si>
    <t>Rezerwa na odprawy emerytalne i rentowe</t>
  </si>
  <si>
    <t>Badanie sprawozdania finansowego</t>
  </si>
  <si>
    <t>Rezerwa na świadczenia urlopowe</t>
  </si>
  <si>
    <t>Rezerwa na premie i wynagrodzenia</t>
  </si>
  <si>
    <t>Wartość gruntów użytkowanych wieczyście</t>
  </si>
  <si>
    <t>Wartość nieamortyzowanych lub nieumarzanych przez jednostkę środków trwałych, używanych na podstawie umów najmu, dzierżawy i innych umów, w tym z tytułu umów leasingu</t>
  </si>
  <si>
    <t>Łączna kwota zobowiązań warunkowych, w tym również udzielonych przez jednostkę gwarancji i poręczeń, także wekslowych, niewykazanych w bilansie, ze wskazaniem zobowiązań zabezpieczonych na majątku jednostki oraz charakteru i formy tych zabezpieczeń</t>
  </si>
  <si>
    <t>Odsetki oraz różnice kursowe, które powiększyły cenę nabycia towarów lub koszt wytworzenia produktów w roku obrotowym</t>
  </si>
  <si>
    <t xml:space="preserve"> - nazwie i siedzibie jednostki sporządzającej skonsolidowane sprawozdanie finansowe na wyższym szczeblu grupy kapitałowej oraz miejscu jego publikacji</t>
  </si>
  <si>
    <t>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t>
  </si>
  <si>
    <t>Kwota i charakter poszczególnych pozycji przychodów lub kosztów o nadzwyczajnej wartości lub które wystąpiły incydentalnie</t>
  </si>
  <si>
    <t>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t>
  </si>
  <si>
    <t>Koszt wytworzenia środków trwałych w budowie, w tym odsetki oraz różnice kursowe, które powiększyły koszt wytworzenia środków trwałych w budowie w roku obrotowym</t>
  </si>
  <si>
    <t>Herstellungskosten der Anlagen im Bau, darunter Zinsen und Kursdifferenzen, die die Herstellungskosten der Anlagen im Bau im Geschäftsjahr erhöhten</t>
  </si>
  <si>
    <t>Ukryć jeżeli jednostka sporządza zestawienie zmian w kapitale własnym!</t>
  </si>
  <si>
    <t xml:space="preserve">Suma </t>
  </si>
  <si>
    <t xml:space="preserve">Summe </t>
  </si>
  <si>
    <t>Łączna kwota zobowiązań zabezpieczonych na majątku jednostki (ze wskazaniem charakteru i formy tych zabezpieczeń)</t>
  </si>
  <si>
    <t>w tym: dotyczące zobowiązań warunkowych w zakresie emerytur i podobnych świadczeń:</t>
  </si>
  <si>
    <t>Amount granted</t>
  </si>
  <si>
    <t>Betrag gewährt</t>
  </si>
  <si>
    <t>Kwota udzielona</t>
  </si>
  <si>
    <t>Kwota spłacona</t>
  </si>
  <si>
    <t>Nie dotyczy</t>
  </si>
  <si>
    <t>Trifft nicht zu</t>
  </si>
  <si>
    <t>Not applicable</t>
  </si>
  <si>
    <t>Inne informacje niż wymienione w pozostałych notach, które mogłyby w istotny sposób wpłynąć na ocenę sytuacji majątkowej, finansowej oraz wynik finansowy jednostki</t>
  </si>
  <si>
    <t>Proszę ukryć wiersz, w przypadku uzupełniania noty!</t>
  </si>
  <si>
    <t xml:space="preserve">Informacje dodatkowe do zmian w kapitale (funduszu) własnym </t>
  </si>
  <si>
    <t>Zusätzliche Informationen über Änderungen im Eigenkapital</t>
  </si>
  <si>
    <t>Additional information concerning the statement of changes in equity</t>
  </si>
  <si>
    <t>budynki, lokale, prawa do lokali i obiekty inżynierii lądowej i wodnej</t>
  </si>
  <si>
    <t>Podatki i opłaty, w tym:</t>
  </si>
  <si>
    <t>Steuern und Gebühren, darunter:</t>
  </si>
  <si>
    <t>Taxes and charges, incl:</t>
  </si>
  <si>
    <t>Przychody netto ze sprzedaży i zrównane z nimi, w tym:</t>
  </si>
  <si>
    <t>Umsatzerlöse und ihnen gleichgestellte Erträge, darunter:</t>
  </si>
  <si>
    <t>Sales revenue and sales equivalents, incl:</t>
  </si>
  <si>
    <t xml:space="preserve">Umsatzerlöse, darunter: </t>
  </si>
  <si>
    <t>Budynki, lokale, prawa do lokali i obiekty inżynierii lądowej i wodnej</t>
  </si>
  <si>
    <t>Zarząd proponuje …</t>
  </si>
  <si>
    <t>Die Geschäftsführung schlägt …. vor.</t>
  </si>
  <si>
    <t>Management Board suggests …</t>
  </si>
  <si>
    <t>- rodzaju stosowanych standardów rachunkowości (krajowych czy międzynarodowych) przez jednostki powiązane</t>
  </si>
  <si>
    <t>nota 1.17. - Aktywa niebędące instrumentami finansowymi, wyceniane wg wartości godziwej</t>
  </si>
  <si>
    <t>zaliczki otrzymane na dostawy i usługi</t>
  </si>
  <si>
    <t>erhaltene Anzahlungen auf Lieferungen und Leistungen</t>
  </si>
  <si>
    <t>payments received on account of supplies and services</t>
  </si>
  <si>
    <t>Przemieszczenia 
wewnętrzne (+/-)</t>
  </si>
  <si>
    <t>Internal 
Reposting (+/-)</t>
  </si>
  <si>
    <t>aktualizacji wartości</t>
  </si>
  <si>
    <t>nabycia</t>
  </si>
  <si>
    <t>Neubewertung</t>
  </si>
  <si>
    <t>Erwerb</t>
  </si>
  <si>
    <t xml:space="preserve">Korekty błędów </t>
  </si>
  <si>
    <t>Correction of  errors</t>
  </si>
  <si>
    <t>CZYNNIKI RYZYKA ZWIĄZANE Z PROWADZONĄ DZIAŁALNOŚCIĄ,  W TYM W ZAKRESIE INSTRUMENTÓW FINANSOWYCH</t>
  </si>
  <si>
    <t>RISK FACTORS RELATED TO BUSINESS ACTIVITY, INCL. FINANCIAL INSTRUMENTS</t>
  </si>
  <si>
    <t>Czynniki ryzyka związane z instrumentami finansowymi</t>
  </si>
  <si>
    <t>Risikofaktoren bei Finanzinstrumenten</t>
  </si>
  <si>
    <t>Risk factors related to financial instruments</t>
  </si>
  <si>
    <t>Kapitał  (fundusz) własny</t>
  </si>
  <si>
    <t>z tytułu podatków, dotacji, ceł, ubezpieczeń społecznych i zdrowotnych oraz innych tytułów publicznoprawnych</t>
  </si>
  <si>
    <t xml:space="preserve">Należne wpłaty na kapitał (fundusz) podstawowy </t>
  </si>
  <si>
    <t>Verbindlichkeiten gegenüber verbundenen Unternehmen</t>
  </si>
  <si>
    <t>Liabilities against related parties</t>
  </si>
  <si>
    <t>Zobowiązania wobec pozostałych jednostek</t>
  </si>
  <si>
    <t>Verbindlichkeiten gegenüber dritten Unternehmen</t>
  </si>
  <si>
    <t>Liabilities against third parties</t>
  </si>
  <si>
    <t>Zobowiązania wekslowe</t>
  </si>
  <si>
    <t>Zinsen und Kursdifferenzen, die die Anschaffungskosten der Waren oder die Herstellungskosten der Erzeugnisse im Geschäftsjahr erhöhten</t>
  </si>
  <si>
    <t>Wertberichtigung auf Sachanlagen</t>
  </si>
  <si>
    <t>Entwicklungskosten</t>
  </si>
  <si>
    <t>Gebäude, Räumlichkeiten und Rechte daran sowie Hoch-, Tief- und Wasserbauten</t>
  </si>
  <si>
    <t>technische Anlagen und Maschinen</t>
  </si>
  <si>
    <t>sonstige Sachanlagen</t>
  </si>
  <si>
    <t>Geschäfts- oder Firmenwert</t>
  </si>
  <si>
    <t>Fertige Erzeugnisse</t>
  </si>
  <si>
    <t>Rückstellung für Pensionen und ähnliche Verpflichtungen</t>
  </si>
  <si>
    <t>Veränderung des Bestandes an Erzeugnissen</t>
  </si>
  <si>
    <t>Pensionsleistungen</t>
  </si>
  <si>
    <t>Sonstige Pflichtabzüge vom Ergebnis</t>
  </si>
  <si>
    <t>Veränderung des Bestandes an Rückstellungen</t>
  </si>
  <si>
    <t>Veränderung des Bestandes an Vorräten</t>
  </si>
  <si>
    <t>Veränderung des Bestandes an Forderungen</t>
  </si>
  <si>
    <t>Veränderung des Bestandes an kurzfristigen Verbindlichkeiten (ohne Darlehen und Kredite)</t>
  </si>
  <si>
    <t>Veränderung des Bestandes an Rechnungsabgrenzungsposten</t>
  </si>
  <si>
    <t>Nettokapitalfluss aus der laufenden Geschäftstätigkeit</t>
  </si>
  <si>
    <t>Einzahlungen</t>
  </si>
  <si>
    <t>Rückzahlung langfristiger Ausleihungen</t>
  </si>
  <si>
    <t>sonstige Einzahlungen aus finanziellen Vermögenswerten</t>
  </si>
  <si>
    <t>Auszahlungen</t>
  </si>
  <si>
    <t>Erwerb finanzieller Vermögenswerte</t>
  </si>
  <si>
    <t>Erwerb von immateriellen Vermögensgegenständen und Rechten sowie von Gegenständen des Sachanlagevermögens</t>
  </si>
  <si>
    <t>langfristige Ausleihungen</t>
  </si>
  <si>
    <t>Nettokapitalfluss aus der Investitionstätigkeit</t>
  </si>
  <si>
    <t>Kapitalfluss aus der Finanzierungstätigkeit</t>
  </si>
  <si>
    <t xml:space="preserve">Nettoeinzahlungen aus der Ausgabe von Anteilen (Emission von Aktien) und sonstigen Kapitalmarktinstrumenten sowie aus Kapitalnachschüssen </t>
  </si>
  <si>
    <t>aus der Emission schuldrechtlicher Wertpapiere</t>
  </si>
  <si>
    <t>Emission schuldrechtlicher Wertpapiere</t>
  </si>
  <si>
    <t>Sonstige Einzahlungen aus der Finanzierungstätigkeit</t>
  </si>
  <si>
    <t>Erwerb eigener Anteile (Aktien)</t>
  </si>
  <si>
    <t>Andere Gewinnausschüttungen als Zahlungen an Eigentümer</t>
  </si>
  <si>
    <t>Rückkauf schuldrechtlicher Wertpapiere</t>
  </si>
  <si>
    <t>Zahlungen aus Finanzierungsleasingverträgen</t>
  </si>
  <si>
    <t>Sonstige Auszahlungen für die Finanzierungstätigkeit</t>
  </si>
  <si>
    <t>Nettokapitalfluss aus der Finanzierungstätigkeit</t>
  </si>
  <si>
    <t>Nettokapitalfluss insgesamt</t>
  </si>
  <si>
    <t>Bilanzielle Veränderung des Bestandes an Geldmitteln, darunter:</t>
  </si>
  <si>
    <t>Veränderung des Bestandes an Geldmitteln aus Kursdifferenzen</t>
  </si>
  <si>
    <t>Geldmittel am Anfang der Periode</t>
  </si>
  <si>
    <t>Geldmittel am Ende der Periode, darunter:</t>
  </si>
  <si>
    <t>Sonstige Einzahlungen aus der laufenden Geschäftstätigkeit</t>
  </si>
  <si>
    <t>Nettolöhne und Gehälter</t>
  </si>
  <si>
    <t>Sonstige Auszahlungen für die laufende Geschäftstätigkeit</t>
  </si>
  <si>
    <t>Eigenkapital am Anfang der Periode (EB)</t>
  </si>
  <si>
    <t>Eigenkapital am Anfang der Periode (EB), nach Korrekturen</t>
  </si>
  <si>
    <t>Gezeichnetes Kapital am Anfang der Periode</t>
  </si>
  <si>
    <t>der Ausgabe von Anteilen (Emission von Aktien)</t>
  </si>
  <si>
    <t>Gezeichnetes Kapital am Ende der Periode</t>
  </si>
  <si>
    <t>Ausstehende Einlagen auf das gezeichnete Kapital am Anfang der Periode</t>
  </si>
  <si>
    <t>Ausstehende Einlagen auf das gezeichnete Kapital am Ende der Periode</t>
  </si>
  <si>
    <t>Eigene Anteile (Aktien) am Anfang der Periode</t>
  </si>
  <si>
    <t>Eigene Anteile (Aktien) am Ende der Periode</t>
  </si>
  <si>
    <t>Kapitalrücklage am Anfang der Periode</t>
  </si>
  <si>
    <t>Kapitalrücklage am Ende der Periode</t>
  </si>
  <si>
    <t>Neubewertungsrücklage am Anfang der Periode   - Änderung der angenommenen Rechnungslegungsgrundsätze (-politik)</t>
  </si>
  <si>
    <t>der Veräußerung von Sachanlagen</t>
  </si>
  <si>
    <t>Neubewertungsrücklage am Ende der Periode</t>
  </si>
  <si>
    <t>Sonstige Rücklagen am Anfang der Periode</t>
  </si>
  <si>
    <t>Sonstige Rücklagen am Ende der Periode</t>
  </si>
  <si>
    <t>Ergebnisvortrag am Anfang der Periode</t>
  </si>
  <si>
    <t>Gewinnvortrag am Anfang der Periode</t>
  </si>
  <si>
    <t>Gewinnvortrag am Anfang der Periode, nach Korrekturen</t>
  </si>
  <si>
    <t>Gewinnvortrag am Ende der Periode</t>
  </si>
  <si>
    <t>Verlustvortrag am Anfang der Periode</t>
  </si>
  <si>
    <t>Verlustvortrag am Anfang der Periode, nach Korrekturen</t>
  </si>
  <si>
    <t>Verlustvortrag am Ende der Periode</t>
  </si>
  <si>
    <t>Abzüge vom Jahresüberschuss</t>
  </si>
  <si>
    <t>Eigenkapital am Ende der Periode (SB)</t>
  </si>
  <si>
    <t>Eigenkapital nach Berücksichtigung der vorgeschlagenen Gewinnverwendung (Verlustdeckung)</t>
  </si>
  <si>
    <t>Verbindlichkeiten gegenüber dem Staatshaushalt oder Gebietskörperschaften aufgrund der Erlangung des Eigentumsrechts an Gebäuden und Bauten</t>
  </si>
  <si>
    <t>Vorschläge zur Gewinnverwendung oder Verlustdeckung für das Geschäftsjahr</t>
  </si>
  <si>
    <t>Einzelaufstellung aktiver Rechnungsabgrenzungsposten</t>
  </si>
  <si>
    <t>Einzelaufstellung passiver Rechnungsabgrenzungsposten</t>
  </si>
  <si>
    <t>Bezeichnung und Umfang der Tätigkeit der gemeinsamen Unternehmung</t>
  </si>
  <si>
    <t>Mit der gemeinsamen Unternehmung verbundene Aufwendungen</t>
  </si>
  <si>
    <t xml:space="preserve"> - grundlegende Wirtschafts- und Finanzdaten, die über die Geschäftstätigkeit der verbundenen Unternehmen im laufenden sowie im vorausgehenden Geschäftsjahr Auskunft geben.</t>
  </si>
  <si>
    <t>- Art der durch verbundene Unternehmen angewandten (nationalen oder internationalen) Rechnungslegungsgrundsätze</t>
  </si>
  <si>
    <t>Informationen über die Gesellschaft, mit der eine Verschmelzung nach der Erwerbsmethode erfolgte</t>
  </si>
  <si>
    <t>Nennwert der Aktien (Anteile):</t>
  </si>
  <si>
    <t>Angaben zu verschmolzenen Gesellschaften für den Zeitraum vom XX.XX.XXXX bis zum XX.XX.XXXX</t>
  </si>
  <si>
    <t>nota 1.1.c – Zusammenstellung der langfristigen Investitionen</t>
  </si>
  <si>
    <t>nota 1.13 – Aufstellung der Gruppen von Verbindlichkeiten, die mit dem Vermögen der Gesellschaft besichert sind (unter Angabe der Art)</t>
  </si>
  <si>
    <t>nota 1.16. - Eventualverbindlichkeiten</t>
  </si>
  <si>
    <t xml:space="preserve">nota 7 – Informationen über gemeinsame Unternehmungen, die nicht in den Konzernabschluss einbezogen werden, Geschäfte mit verbundenen Unternehmen, Auflistung der verbundenen Unternehmen, Gründe für den Verzicht auf die Konsolidierung </t>
  </si>
  <si>
    <t>nota 8 – Angaben zur Verschmelzung der Gesellschaften (Erwerbsmethode oder Methode der Interessenzusammenführung)</t>
  </si>
  <si>
    <t>nota 9 – Angaben zur Gefährdung der Unternehmensfortführung</t>
  </si>
  <si>
    <t xml:space="preserve">SPRAWOZDANIE – Lagebericht </t>
  </si>
  <si>
    <t>Vorgeschlagene Gewinnverwendung – falls an die Gesellschafter ausgeschüttet</t>
  </si>
  <si>
    <t>Verlust aus der Veräußerung nicht finanzieller langfristiger Vermögenswerte</t>
  </si>
  <si>
    <t>A.II.5. Veränderung des Bestandes an Rückstellungen für Verbindlichkeiten</t>
  </si>
  <si>
    <t xml:space="preserve">A.II.7. Veränderung des Bestandes an Forderungen </t>
  </si>
  <si>
    <t>A.II.8. Veränderung des Bestandes an kurzfristigen Verbindlichkeiten, ohne Kredite und Darlehen</t>
  </si>
  <si>
    <t>Veränderung des Bestandes an Verbindlichkeiten</t>
  </si>
  <si>
    <t>A.II.9. Veränderung des Bestandes an Rechnungsabgrenzungsposten</t>
  </si>
  <si>
    <t>Insgesamt Veränderung des Bestandes an Rechnungsabgrenzungsposten (1+2)</t>
  </si>
  <si>
    <t>Erlass aufgenommener Kredite und Darlehen und sonstiger finanzieller Schulden (minus)</t>
  </si>
  <si>
    <t>Erlass erteilter langfristiger Darlehen (plus)</t>
  </si>
  <si>
    <t>Veränderung des Bestandes an Geldmitteln aufgrund von Kursdifferenzen</t>
  </si>
  <si>
    <t>RISIKOFAKTOREN IM RAHMEN DER GEWERBETÄTIGKEIT, DARUNTER DER FINANZINSTRUMENTE</t>
  </si>
  <si>
    <t>Amtsgericht</t>
  </si>
  <si>
    <t>sonstige langfristige finanzielle Vermögenswerte – zu Nennbeträgen;</t>
  </si>
  <si>
    <t>sonstige kurzfristige finanzielle Vermögenswerte – zu Nennbeträgen;</t>
  </si>
  <si>
    <t>Fertige Erzeugnisse – zu Herstellungskosten, die nicht höher als Nettoverkaufspreise sind;</t>
  </si>
  <si>
    <t>Eventualverbindlichkeiten gegenüber verbundenen Unternehmen:</t>
  </si>
  <si>
    <t>Eventualverbindlichkeiten gegenüber dritten Unternehmen:</t>
  </si>
  <si>
    <t>Informationen über den Übernahmepreis und den Geschäfts- oder Firmenwert</t>
  </si>
  <si>
    <t>Geschäfts- oder Firmenwert/Negativer Geschäfts- oder Firmenwert</t>
  </si>
  <si>
    <t>Beschreibung der Grundsätze der Abschreibung des Geschäfts- oder Firmenwertes</t>
  </si>
  <si>
    <t xml:space="preserve">beim Amtsgericht ……………., ………... Wirtschaftsabteilung des Landesgerichtsregisters, unter der Nummer ………….. </t>
  </si>
  <si>
    <t>Laufendes Jahr</t>
  </si>
  <si>
    <t xml:space="preserve">Aktive latente Steuern </t>
  </si>
  <si>
    <t>aus Steuern, Zuschüssen, Zöllen, Sozial- und Krankenversicherungen sowie andere öffentlich-rechtliche Forderungen</t>
  </si>
  <si>
    <t>für eigene Anteile (Aktien)</t>
  </si>
  <si>
    <t>Negativer Geschäfts- oder Firmenwert</t>
  </si>
  <si>
    <t>Kapitalfluss aus der laufenden Geschäftstätigkeit</t>
  </si>
  <si>
    <t>Kapitalfluss aus der Investitionstätigkeit</t>
  </si>
  <si>
    <t>Sonstige Einzahlungen aus der Investitionstätigkeit</t>
  </si>
  <si>
    <t>Sonstige Auszahlungen für die Investitionstätigkeit</t>
  </si>
  <si>
    <t>Zugänge (aus)</t>
  </si>
  <si>
    <t>Abgänge (aus)</t>
  </si>
  <si>
    <t>der Emission von Aktien über dem Nennwert</t>
  </si>
  <si>
    <t>der Gewinnverwendung (über dem gesetzlichen Minimalwert)</t>
  </si>
  <si>
    <t>podziału zysku (ustawowo)</t>
  </si>
  <si>
    <t>podziału zysku (ponad wymaganą ustawowo minimalną wartość)</t>
  </si>
  <si>
    <t>Ergebnisvortrag am Ende der Periode</t>
  </si>
  <si>
    <t>Interne
Umbuchung  (+/-)</t>
  </si>
  <si>
    <t>Kumulierte Abschreibung</t>
  </si>
  <si>
    <t>Angaben über die Eigentumsstruktur des gezeichneten Kapitals sowie die Anzahl und den Nennwert der gezeichneten Aktien, darunter Vorzugsaktien</t>
  </si>
  <si>
    <t>Ausführliche Darstellung der Änderungen an Kapitalrücklagen, sonstigen Rücklagen und Neubewertungsrücklagen (sofern die Gesellschaft keinen Eigenkapitalspiegel erstellt)</t>
  </si>
  <si>
    <t>Gesamtbetrag der mit dem Vermögen der Gesellschaft besicherten Verbindlichkeiten, unter Angabe der Art und Form dieser Sicherheiten</t>
  </si>
  <si>
    <t>Gesamtbetrag der Eventualverbindlichkeiten, darunter von der Gesellschaft erteilte Garantien und Bürgschaften, auch Wechselbürgschaften, die in der Bilanz nicht ausgewiesen wurden, unter Angabe der mit dem Vermögen der Gesellschaft besicherten Verbindlichkeiten sowie der Art und Form dieser Sicherheiten</t>
  </si>
  <si>
    <t>Höhe und Erläuterung der Gründe für Wertberichtigungen auf Sachanlagen</t>
  </si>
  <si>
    <t>Höhe der Wertberichtigungen auf Vorräte</t>
  </si>
  <si>
    <t>Änderung der latenten Steuern</t>
  </si>
  <si>
    <t>Aufwendungen der betrieblichen Tätigkeit:</t>
  </si>
  <si>
    <t>a) Abschreibung</t>
  </si>
  <si>
    <t>Abstimmung des Nettokapitalflusses aus der laufenden Geschäftstätigkeit, erstellt nach der indirekten Methode (unter Anwendung der direkten Methode)</t>
  </si>
  <si>
    <t>(bei Differenzen zwischen den Bestandsveränderungen einiger Positionen in der Bilanz und den Änderungen derselben Positionen in der Kapitalflussrechnung sind ihre Gründe aufzuklären)</t>
  </si>
  <si>
    <t>Informationen über wesentliche Geschäfte (einschließlich ihrer Beträge), welche die Gesellschaft mit verbundenen Parteien zu anderen als den marktüblichen Konditionen abgeschlossen hat</t>
  </si>
  <si>
    <t>die Steuerberatung</t>
  </si>
  <si>
    <t>Betrag zurückgezahlt</t>
  </si>
  <si>
    <t>Informationen über wesentliche, nach dem Bilanzstichtag eingetretene Ereignisse, die im Jahresabschluss nicht berücksichtigt wurden, und über deren Einfluss auf die Vermögens-, Finanz- und Ertragslage sowie das Jahresergebnis der Gesellschaft</t>
  </si>
  <si>
    <t>Im Geschäftsjahr vorgenommene Änderungen der Rechnungslegungsgrundsätze (-politik), darunter der Bewertungsmethoden, sofern sie wesentlichen Einfluss auf die Vermögens-, Finanz- und Ertragslage sowie das Jahresergebnis der Gesellschaft haben, die Gründe für diese Änderungen und die von ihnen verursachten Änderungen des Jahresergebnisses und des Eigenkapitals sowie Darstellung der Änderung der Art und Weise der Erstellung des Jahresabschlusses, unter Angabe der Gründe für diese Änderung</t>
  </si>
  <si>
    <t>Zahlenangaben mit einer Erläuterung, die die Vergleichbarkeit der Angaben aus dem Vorjahresabschluss mit dem Jahresabschluss für das Geschäftsjahr gewährleisten</t>
  </si>
  <si>
    <t>Prozentanteil der Gesellschaft an der Unternehmung</t>
  </si>
  <si>
    <t>Gemeinsam beherrschte Gegenstände des Sachanlagevermögens sowie immaterielle Vermögensgegenstände und Rechte</t>
  </si>
  <si>
    <t>Verbindlichkeiten, die für Zwecke der Unternehmung oder für den Kauf gebrauchter Gegenstände des Sachanlagevermögens aufgenommen wurden</t>
  </si>
  <si>
    <t>Gemeinsam eingegangene Verbindlichkeiten</t>
  </si>
  <si>
    <t xml:space="preserve">Erträge aus der gemeinsamen Unternehmung </t>
  </si>
  <si>
    <t>Eventualverbindlichkeiten, welche die gemeinsame Unternehmung betreffen</t>
  </si>
  <si>
    <t>Investitionsverbindlichkeiten, welche die gemeinsame Unternehmung betreffen</t>
  </si>
  <si>
    <t>Verzeichnis der Gesellschaften, an deren Kapital die Gesellschaft beteiligt ist oder 20% der Stimmen im beschlussfassenden Organ der Gesellschaft besitzt</t>
  </si>
  <si>
    <t xml:space="preserve"> - die Rechtsgrundlage sowie die Begründung für den Verzicht auf die Erstellung eines Konzernabschlusses;</t>
  </si>
  <si>
    <t>Information über die Aktien (Anteile), die zwecks Verschmelzung emittiert wurden</t>
  </si>
  <si>
    <t>Sollte es Umstände geben, die die Unternehmensfortführung in Frage stellen, so sind diese Umstände zu beschreiben, es ist festzustellen, dass solche Umstände vorliegen, und es ist anzugeben, ob der Jahresabschluss diesbezügliche Korrekturen enthält und welche Maßnahmen die Gesellschaft zur Beseitigung der o.g. Umstände ergriffen hat bzw. zu ergreifen beabsichtigt</t>
  </si>
  <si>
    <t>Sonstige Informationen außer den o.g. Sachverhalten, sofern sie die Vermögens-, Finanz- und Ertragslage sowie das Jahresergebnis der Gesellschaft wesentlich beeinflussen könnten</t>
  </si>
  <si>
    <t>nota 1.3–1 .10 – Grundstücke im Erbnießbrauch, geleaste, gemietete und gepachtete Sachanlagen, Wertpapiere,Wertberichtigungen auf Forderungen, Eigentumsstruktur des Eigenkapitals, Eigenkapitalspiegel, Vorschläge zur Gewinnverwendung oder Verlustdeckung</t>
  </si>
  <si>
    <t>nota 1.17. - Vermögenswerte, die keine Finanzinstrumente sind, zum beizulegenden Zeitwert bewertet</t>
  </si>
  <si>
    <t>nota 2 – Angaben zu Erträgen, Aufwendungen, Wertberichtigungen auf Sachanlagen und Vorräte, Gewinnen und Verlusten aus der Tätigkeit der Gesellschaft, Ermittlung der steuerlichen Bemessungsgrundlage, Herstellungskosten der Anlagen im Bau, Eigenleistungen, Zinsen und Kursdifferenzen, die die Anschaffungskosten der Waren oder die Herstellungskosten der Erzeugnisse erhöhten, geplante Aufwendungen für nicht finanzielle langfristige Vermögenswerte, außerordentliche Erträge und Aufwendungen</t>
  </si>
  <si>
    <t>nota 3 - Umrechnungskurse für die Bewertung der in Fremdwährung ausgedrückten Positionen der Bilanz sowie der Gewinn- und Verlustrechnung</t>
  </si>
  <si>
    <t>nota 5 – Angaben über die Beschäftigung und Vergütungen für die Geschäftsführer, Aufsichtsratmitglieder und Wirtschaftsprüfer</t>
  </si>
  <si>
    <t xml:space="preserve">Verbindlichkeiten aufgrund der Finanzierungsleasingverträge </t>
  </si>
  <si>
    <t>Verbindlichkeiten aufgrund der Darlehen gegenüber verbundenen Unternehmen</t>
  </si>
  <si>
    <t>Abschreibungen aufgrund der Wertminderung, die den Wert der Gegenstände der langfristigen Vermögenswerte und der kurzfristigen finanziellen Vermögenswerte korrigieren (plus oder minus)</t>
  </si>
  <si>
    <t>E. Bilanzielle Veränderung der Geldmittel</t>
  </si>
  <si>
    <t>Geldmittel mit Verfügbarkeitsbeschränkung</t>
  </si>
  <si>
    <t>60 Monate</t>
  </si>
  <si>
    <t>24-60 Monate</t>
  </si>
  <si>
    <t>Die immateriellen Vermögensgegenstände und Rechte mit einem Wert bis 3.500,00 PLN werden zum Zeitpunkt ihrer Anschaffung als Aufwand verbucht.</t>
  </si>
  <si>
    <t xml:space="preserve">Die Sachanlagen mit einem Wert bis 3.500,00 PLN werden im Verzeichnis der Sachanlagen erfasst. Im Monat der Freigabe zur Nutzung werden sie einmalig abgeschrieben. </t>
  </si>
  <si>
    <t>Anteile oder Aktien – zu Anschaffungskosten;</t>
  </si>
  <si>
    <t>Halbfertige und unfertige Erzeugnisse – zu direkten Herstellungskosten, die nicht höher als Nettoverkaufspreise sind.</t>
  </si>
  <si>
    <t>Die Abgänge an Vorräten werden nach dem FIFO-Verfahren bewertet.</t>
  </si>
  <si>
    <t xml:space="preserve">darunter: Eventualverbindlichkeiten aus Pensionen und ähnlichen Leistungen: </t>
  </si>
  <si>
    <t>Zinsen gegenüber der öffentlichen Hand</t>
  </si>
  <si>
    <t>Umrechnungskurse für die Bewertung der in Fremdwährung ausgedrückten Positionen der Bilanz sowie der Gewinn- und Verlustrechnung</t>
  </si>
  <si>
    <t>Name, Adresse der Geschäftsleitung oder satzungsmäßiger Sitz der Gesellschaft sowie Rechtsform der jeweiligen Gesellschaft, in der die betreffende Gesellschaft persönlich haftender Gesellschafter ist</t>
  </si>
  <si>
    <t>Wert des Nettovermögens</t>
  </si>
  <si>
    <t>Im Prüfungszeitraum erzielte die Gesellschaft ein Jahresergebnis i.H.v. … PLN, das sich insbesondere wie folgt zusammensetzt: … .</t>
  </si>
  <si>
    <t xml:space="preserve">Beschreibung der von der Gesellschaft angewandten Zwecke und Methoden des Finanzrisikomanagements, einschließlich der Methoden zur Sicherung wesentlicher Arten geplanter Geschäfte, auf die die Bilanzierung von Sicherungsgeschäften Anwendung findet. </t>
  </si>
  <si>
    <t>Informationen über die Anwendung der Grundsätze der Konzernordnung bei Gesellschaften, deren Wertpapiere auf einem der regulierten Märkte des Europäischen Wirtschaftsraums zum Handel zugelassen sind.</t>
  </si>
  <si>
    <t>value adjustment</t>
  </si>
  <si>
    <t>acquisition</t>
  </si>
  <si>
    <t>Receivables and liabilities disclosed in more than one balance sheet item</t>
  </si>
  <si>
    <r>
      <rPr>
        <sz val="10"/>
        <rFont val="Arial"/>
        <family val="2"/>
      </rPr>
      <t>Receivables</t>
    </r>
  </si>
  <si>
    <r>
      <rPr>
        <sz val="10"/>
        <rFont val="Arial"/>
        <family val="2"/>
      </rPr>
      <t>Liabilities</t>
    </r>
  </si>
  <si>
    <t>Difference between the value of received assets and the amount payable for them</t>
  </si>
  <si>
    <r>
      <rPr>
        <sz val="10"/>
        <rFont val="Arial"/>
        <family val="2"/>
      </rPr>
      <t>Total contingent liabilities, including warranties and guarantees granted by the entity, including also promissory notes provided by the entity but not disclosed in the balance sheet, with the indication of liabilities secured against the entity' assets, as well as the nature and form of each security</t>
    </r>
  </si>
  <si>
    <r>
      <rPr>
        <sz val="10"/>
        <rFont val="Arial"/>
        <family val="2"/>
      </rPr>
      <t>Assets other than financial instruments, measured at fair value</t>
    </r>
  </si>
  <si>
    <r>
      <rPr>
        <sz val="10"/>
        <rFont val="Arial"/>
        <family val="2"/>
      </rPr>
      <t>Extraordinary or incidental revenues or expenses, by amount and nature</t>
    </r>
  </si>
  <si>
    <r>
      <rPr>
        <sz val="10"/>
        <rFont val="Arial"/>
        <family val="2"/>
      </rPr>
      <t>Remuneration, including a profit share, paid or payable to members of the management, supervisory or administrative authorities of commercial companies (for each of those authorities separately) for the financial year, as well as all liabilities on account of pensions and similar benefits payable to former members of those authorities, or liabilities contracted in connection with such pensions, with an indication of the total amount for each of the authorities</t>
    </r>
  </si>
  <si>
    <r>
      <rPr>
        <sz val="10"/>
        <rFont val="Arial"/>
        <family val="2"/>
      </rPr>
      <t>Advances, loans, borrowings and similar benefits granted to members of the entity's management, supervisory and administrative authorities, with an indication of their basic terms, interest rate and any and all amounts repaid, written off or forgiven, as well as liabilities contracted on their behalf by way of guarantees and/or warranties of any kind, indicating the total amount for each of the authorities</t>
    </r>
  </si>
  <si>
    <r>
      <rPr>
        <sz val="10"/>
        <rFont val="Arial"/>
        <family val="2"/>
      </rPr>
      <t>Changes in the accounting rules (policy) made in the financial year, including the valuation method, if they have material impact on the net worth, financial standing and profit (loss) of the entity, their reasons and amount of the profit (loss) as affected by the changes, as well changes in owners' equity, and changes in the method of preparing the financial statements along with reasons therefor</t>
    </r>
  </si>
  <si>
    <r>
      <rPr>
        <sz val="10"/>
        <rFont val="Arial"/>
        <family val="2"/>
      </rPr>
      <t>- type of the accounting standards (national or international) used by related parties</t>
    </r>
  </si>
  <si>
    <r>
      <rPr>
        <sz val="10"/>
        <rFont val="Arial"/>
        <family val="2"/>
      </rPr>
      <t>Information other than that included in the remaining notes, which might materially affect the assessment of the net worth, financial standing and profit (loss) of the entity</t>
    </r>
  </si>
  <si>
    <t>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t>
  </si>
  <si>
    <r>
      <rPr>
        <sz val="10"/>
        <rFont val="Arial"/>
        <family val="2"/>
      </rPr>
      <t>Value adjustment write-down of tangible assets</t>
    </r>
  </si>
  <si>
    <t>Zobowiązania z tytułu pożyczek od jednostek powiązanych</t>
  </si>
  <si>
    <t>Zobowiązania z tytułu pożyczek od pozostałych jednostek, w których jednostka posiada zaangażowanie w kapitale</t>
  </si>
  <si>
    <r>
      <rPr>
        <sz val="10"/>
        <rFont val="Arial"/>
        <family val="2"/>
      </rPr>
      <t>Contingent liabilities against third parties in which the entity has an equity interest:</t>
    </r>
  </si>
  <si>
    <r>
      <rPr>
        <sz val="10"/>
        <rFont val="Arial"/>
        <family val="2"/>
      </rPr>
      <t>incl. contingent liabilities under retirement severance pays and similar benefits:</t>
    </r>
  </si>
  <si>
    <t>Vorschüsse, Kredite, Darlehen und ähnliche Leistungen für Mitglieder der Leitungs-, Aufsichts- und Verwaltungsorgane der Gesellschaft, unter Angabe der Hauptbedingungen, der Verzinsung und sämtlicher zurückgezahlter, abgeschriebener oder erlassener Beträge, sowie der in ihrem Namen eingegangenen Verbindlichkeiten aus Garantien und Bürgschaften jeglicher Art, unter Angabe des Gesamtbetrages für jede Kategorie dieser Organe</t>
  </si>
  <si>
    <t>Odpis aktualizujący wartość środków trwałych</t>
  </si>
  <si>
    <t>Das gezeichnete Kapital beträgt  …………… PLN. Es ist aufgeteilt in ………. Anteile mit einem Nennwert von je ………… PLN.</t>
  </si>
  <si>
    <t>Das gezeichnete Kapital beträgt …………..... PLN. Es ist aufgeteilt in ………. Aktien mit einem Nennwert von je ………… PLN.</t>
  </si>
  <si>
    <t>Das gezeichnete Kapital beträgt …………..... PLN. Es ist aufgeteilt in ………. Anteile mit einem Nennwert von je ………… PLN.</t>
  </si>
  <si>
    <t>Gebäude, Räumlichkeiten und Rechte daran sowie Hoch-, Tief und Wasserbauten</t>
  </si>
  <si>
    <t>Forderungen und Verbindlichkeiten, die unter mehreren Bilanzpositionen ausgewiesen werden</t>
  </si>
  <si>
    <t>Differenzbetrag zwischen dem Wert der erhaltenen Vermögenswerte und den Zahlungsverbindlichkeiten für diese Vermögenswerte</t>
  </si>
  <si>
    <t>Betrag und Art der einzelnen Posten unter den Erträgen oder Aufwendungen, deren Wert außerordentlich war oder die gelegentlich aufgetreten sind</t>
  </si>
  <si>
    <t>Informationen über die Art und den wirtschaftlichen Zweck der durch die Gesellschaft abgeschlossenen Verträge, die in der Bilanz nicht berücksichtigt wurden, soweit diese Verträge hinsichtlich ihres Einflusses auf die Vermögens-, Finanz- und Ertragslage der Gesellschaft sowie ihr Jahresergebnis als wesentlich einzustufen sind</t>
  </si>
  <si>
    <t>Vergütungen, einschließlich Gewinnbeteiligungen, die an Personen, welche zu den Leitungs-, Aufsichts- oder Verwaltungsorganen von Handelsgesellschaften gehören, für das Geschäftsjahr ausgezahlt wurden oder diesen Personen zustehen (separat für jede Gruppe) sowie sämtliche Verbindlichkeiten aus Pensionen und ähnlichen Leistungen für ehemalige Mitglieder dieser Organe oder eingegangene Verbindlichkeiten im Zusammenhang mit diesen Pensionen, unter Angabe des Gesamtbetrages für jede Kategorie des Organs</t>
  </si>
  <si>
    <t xml:space="preserve">Nazwa, adres siedziby zarządu lub siedziby statutowej jednostki oraz forma prawna każdej z jednostek, których dana jednostka jest wspólnikiem ponoszącym nieograniczoną odpowiedzialność majątkową </t>
  </si>
  <si>
    <t>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t>
  </si>
  <si>
    <t>Sachbezogene (Arten der Geschäftstätigkeit) und gebietsbezogene (geographische Märkte) Struktur der Erträge aus dem Verkauf von Waren und Erzeugnissen in einem Umfang, in dem sich diese Arten und Märkte wesentlich voneinander unterscheiden, unter Berücksichtigung der Grundsätze für den Verkauf von Erzeugnissen und die Erbringung von Dienstleistungen</t>
  </si>
  <si>
    <t>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t>
  </si>
  <si>
    <t>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t>
  </si>
  <si>
    <t>Loan liabilities against related parties</t>
  </si>
  <si>
    <t>Liabilities against third parties in which the entity has an equity interest</t>
  </si>
  <si>
    <t>Proszę ukryć wiersz!</t>
  </si>
  <si>
    <t>Kapitał (fundusz) zapasowy, w tym:</t>
  </si>
  <si>
    <t>Kapitał (fundusz) z aktualizacji wyceny, w tym:</t>
  </si>
  <si>
    <t>Pozostałe kapitały (fundusze) rezerwowe, w tym:</t>
  </si>
  <si>
    <t>Należy wypełniać wyłącznie żółte pola.</t>
  </si>
  <si>
    <t>Informacje uzupełniające do zestawienia inwestycji długoterminowych:</t>
  </si>
  <si>
    <t>1.18</t>
  </si>
  <si>
    <t>Stan środków pieniężnych zgromadzonych na rachunku VAT</t>
  </si>
  <si>
    <t>Lp</t>
  </si>
  <si>
    <t>Symbol</t>
  </si>
  <si>
    <t>Opis pozycji</t>
  </si>
  <si>
    <t>A. Zysk (strata) brutto za dany rok</t>
  </si>
  <si>
    <t>B. Przychody zwolnione z opodatkowania (trwałe różnice pomiędzy zyskiem/stratą dla celów rachunkowych a dochodem/stratą dla celów podatkowych), w tym:</t>
  </si>
  <si>
    <t>C. Przychody niepodlegające opodatkowania w roku bieżącym, w tym:</t>
  </si>
  <si>
    <t>D. Przychody podlegające opodatkowania w roku bieżącym, ujęte w księgach rachunkowych lat ubiegłych w tym:</t>
  </si>
  <si>
    <t>E. Koszty niestanowiące kosztów uzyskania przychodów (trwałe różnice pomiędzy zyskiem/stratą dla celów rachunkowych a dochodem/stratą dla celów podatkowych), w tym:</t>
  </si>
  <si>
    <t>F. Koszty nieuznawane za koszty uzyskania przychodów w bieżącym roku, w tym:</t>
  </si>
  <si>
    <t>G. Koszty uznawane za koszty uzyskania przychodów w roku bieżącym ujęte w księgach lat ubiegłych, w tym:</t>
  </si>
  <si>
    <t>H. Strata z lat ubiegłych, w tym:</t>
  </si>
  <si>
    <t>I. Inne zmiany podstawy opodatkowania, w tym:</t>
  </si>
  <si>
    <t>J. Podstawa opodatkowania podatkiem dochodowym</t>
  </si>
  <si>
    <t>11.</t>
  </si>
  <si>
    <t>K. Podatek dochodowy</t>
  </si>
  <si>
    <t>Łącznie:</t>
  </si>
  <si>
    <t>Zysk kapit.</t>
  </si>
  <si>
    <t>Inne źródła</t>
  </si>
  <si>
    <t>(-)</t>
  </si>
  <si>
    <t>(+)</t>
  </si>
  <si>
    <t>2.11.</t>
  </si>
  <si>
    <t>Informacje o kosztach związanych z pracami badawczymi i pracami rozwojowymi, które nie zostały zakwalifikowane zgodnie z art. 33 ust. 2 do wartości niematerialnych i prawnych</t>
  </si>
  <si>
    <t>Prace badawcze</t>
  </si>
  <si>
    <t>Prace rozwojowe</t>
  </si>
  <si>
    <t>Informacje o spółkach, z którymi nastąpiło połączenie rozliczone metodą łączenia udziałów</t>
  </si>
  <si>
    <t>nota 1.18. - Środki pieniężne zgromadzone na rachunku VAT, o którym mowaw art.. 62a ust.1 ustawy z dn. 29.08.1997 - Prawo bankowe</t>
  </si>
  <si>
    <t>Internet www.roedl.com</t>
  </si>
  <si>
    <t>Sprawozdanie finansowe</t>
  </si>
  <si>
    <t>Roedl Outsourcing Sp. z o.o.</t>
  </si>
  <si>
    <t>ZAŁĄCZNIK 1 DO SPRAWOZDANIA FINANSOWEGO SPORZĄDZONEGO W FORMIE ELEKTRONICZNEJ - INFORMACJE DODATKOWE</t>
  </si>
  <si>
    <t>NINIEJSZY DOKUMENT STANOWI JEDYNIE KOPIĘ W/W SPRAWOZDANIA FINANSOWEGO.</t>
  </si>
  <si>
    <t xml:space="preserve">SPRAWOZDANIE FINANSOWE SPÓŁKI SPORZĄDZONE ZOSTAŁO W WYMAGANEJ PRZEZ USTAWĘ FORMIE ELEKTRONICZNEJ. </t>
  </si>
  <si>
    <t>A.I.</t>
  </si>
  <si>
    <t>1.1.1.</t>
  </si>
  <si>
    <t>A.I.1.</t>
  </si>
  <si>
    <t>1.1.2.</t>
  </si>
  <si>
    <t>A.I.2.</t>
  </si>
  <si>
    <t>A.II.</t>
  </si>
  <si>
    <t>1.2.1.</t>
  </si>
  <si>
    <t>A.II.1.</t>
  </si>
  <si>
    <t>1.2.2.</t>
  </si>
  <si>
    <t>A.II.2.</t>
  </si>
  <si>
    <t>1.2.3.</t>
  </si>
  <si>
    <t>A.II.3.</t>
  </si>
  <si>
    <t>1.3.</t>
  </si>
  <si>
    <t>A.III.</t>
  </si>
  <si>
    <t>1.4.</t>
  </si>
  <si>
    <t>a) w jednostkach powiązanych</t>
  </si>
  <si>
    <t>B.I.</t>
  </si>
  <si>
    <t>2.1.1.</t>
  </si>
  <si>
    <t>B.I.1.</t>
  </si>
  <si>
    <t>2.1.2.</t>
  </si>
  <si>
    <t>B.I.2.</t>
  </si>
  <si>
    <t>2.1.3.</t>
  </si>
  <si>
    <t>B.I.3.</t>
  </si>
  <si>
    <t>2.1.4.</t>
  </si>
  <si>
    <t>B.I.4.</t>
  </si>
  <si>
    <t>B.II.</t>
  </si>
  <si>
    <t>2.2.1.</t>
  </si>
  <si>
    <t>B.II.1.</t>
  </si>
  <si>
    <t>2.2.2.</t>
  </si>
  <si>
    <t>B.II.2.</t>
  </si>
  <si>
    <t>2.2.3.</t>
  </si>
  <si>
    <t>B.II.3.</t>
  </si>
  <si>
    <t>2.2.3.1.</t>
  </si>
  <si>
    <t>B.II.3.a)</t>
  </si>
  <si>
    <t>2.2.3.2.</t>
  </si>
  <si>
    <t>B.II.3.b)</t>
  </si>
  <si>
    <t>B.III.</t>
  </si>
  <si>
    <t>b) w pozostałych jednostkach</t>
  </si>
  <si>
    <t>2.1.3.1.</t>
  </si>
  <si>
    <t>2.1.3.2.</t>
  </si>
  <si>
    <t>Bieżacy rok obrotowy</t>
  </si>
  <si>
    <t>Poprzedni rok obrotowy</t>
  </si>
  <si>
    <t>Przekształcone dane porównawcze za poprzedni rok obrotowy</t>
  </si>
  <si>
    <t>A. Przepływy środków pieniężnych z działalności operacyjnej</t>
  </si>
  <si>
    <t>I. Wpływy</t>
  </si>
  <si>
    <t>1. Sprzedaż</t>
  </si>
  <si>
    <t>2. Inne wpływy z działalności operacyjnej</t>
  </si>
  <si>
    <t>II. Wydatki</t>
  </si>
  <si>
    <t>1. Dostawy i usługi</t>
  </si>
  <si>
    <t>2. Wynagrodzenia netto</t>
  </si>
  <si>
    <t>3. Ubezpieczenia społeczne i zdrowotne oraz inne świadczenia</t>
  </si>
  <si>
    <t>1.2.4.</t>
  </si>
  <si>
    <t>A.II.4.</t>
  </si>
  <si>
    <t>4. Podatki i opłaty o charakterze publicznoprawnym</t>
  </si>
  <si>
    <t>1.2.5.</t>
  </si>
  <si>
    <t>A.II.5.</t>
  </si>
  <si>
    <t>5. Inne wydatki operacyjne</t>
  </si>
  <si>
    <t>III. Przepływy pieniężne netto z działalności operacyjnej (I–II)</t>
  </si>
  <si>
    <t>B. Przepływy środków pieniężnych z działalności inwestycyjnej</t>
  </si>
  <si>
    <t>1. Zbycie wartości niematerialnych i prawnych oraz rzeczowych aktywów trwałych</t>
  </si>
  <si>
    <t>2. Zbycie inwestycji w nieruchomości oraz wartości niematerialne i prawne</t>
  </si>
  <si>
    <t>3. Z aktywów finansowych, w tym:</t>
  </si>
  <si>
    <t>B.I.3.a)</t>
  </si>
  <si>
    <t>B.I.3.b)</t>
  </si>
  <si>
    <t>2.1.3.2.1.</t>
  </si>
  <si>
    <t>B.I.3.b).1</t>
  </si>
  <si>
    <t>– zbycie aktywów finansowych</t>
  </si>
  <si>
    <t>2.1.3.2.2.</t>
  </si>
  <si>
    <t>B.I.3.b).2</t>
  </si>
  <si>
    <t>– dywidendy i udziały w zyskach</t>
  </si>
  <si>
    <t>2.1.3.2.3.</t>
  </si>
  <si>
    <t>B.I.3.b).3</t>
  </si>
  <si>
    <t>– spłata udzielonych pożyczek długoterminowych</t>
  </si>
  <si>
    <t>2.1.3.2.4.</t>
  </si>
  <si>
    <t>B.I.3.b).4</t>
  </si>
  <si>
    <t>– odsetki</t>
  </si>
  <si>
    <t>2.1.3.2.5.</t>
  </si>
  <si>
    <t>B.I.3.b).5</t>
  </si>
  <si>
    <t>– inne wpływy z aktywów finansowych</t>
  </si>
  <si>
    <t>4. Inne wpływy inwestycyjne</t>
  </si>
  <si>
    <t>1. Nabycie wartości niematerialnych i prawnych oraz rzeczowych aktywów trwałych</t>
  </si>
  <si>
    <t>2. Inwestycje w nieruchomości oraz wartości niematerialne i prawne</t>
  </si>
  <si>
    <t>3. Na aktywa finansowe, w tym:</t>
  </si>
  <si>
    <t>2.2.3.2.1.</t>
  </si>
  <si>
    <t>B.II.3.b).1</t>
  </si>
  <si>
    <t>– nabycie aktywów finansowych</t>
  </si>
  <si>
    <t>2.2.3.2.2.</t>
  </si>
  <si>
    <t>B.II.3.b).2</t>
  </si>
  <si>
    <t>– udzielone pożyczki długoterminowe</t>
  </si>
  <si>
    <t>2.2.4.</t>
  </si>
  <si>
    <t>B.II.4.</t>
  </si>
  <si>
    <t>4. Inne wydatki inwestycyjne</t>
  </si>
  <si>
    <t>III. Przepływy pieniężne netto z działalności inwestycyjnej (I–II)</t>
  </si>
  <si>
    <t>C. Przepływy środków pieniężnych z działalności finansowej</t>
  </si>
  <si>
    <t>C.I.</t>
  </si>
  <si>
    <t>3.1.1.</t>
  </si>
  <si>
    <t>C.I.1.</t>
  </si>
  <si>
    <t>1. Wpływy netto z wydania udziałów (emisji akcji) i innych instrumentów kapitałowych oraz dopłat do kapitału</t>
  </si>
  <si>
    <t>3.1.2.</t>
  </si>
  <si>
    <t>C.I.2.</t>
  </si>
  <si>
    <t>2. Kredyty i pożyczki</t>
  </si>
  <si>
    <t>3.1.3.</t>
  </si>
  <si>
    <t>C.I.3.</t>
  </si>
  <si>
    <t>3. Emisja dłużnych papierów wartościowych</t>
  </si>
  <si>
    <t>3.1.4.</t>
  </si>
  <si>
    <t>C.I.4.</t>
  </si>
  <si>
    <t>4. Inne wpływy finansowe</t>
  </si>
  <si>
    <t>C.II.</t>
  </si>
  <si>
    <t>3.2.1.</t>
  </si>
  <si>
    <t>C.II.1.</t>
  </si>
  <si>
    <t>1. Nabycie udziałów (akcji) własnych</t>
  </si>
  <si>
    <t>3.2.2.</t>
  </si>
  <si>
    <t>C.II.2.</t>
  </si>
  <si>
    <t>2. Dywidendy i inne wypłaty na rzecz właścicieli</t>
  </si>
  <si>
    <t>3.2.3.</t>
  </si>
  <si>
    <t>C.II.3.</t>
  </si>
  <si>
    <t>3. Inne, niż wypłaty na rzecz właścicieli, wydatki z tytułu podziału zysku</t>
  </si>
  <si>
    <t>3.2.4.</t>
  </si>
  <si>
    <t>C.II.4.</t>
  </si>
  <si>
    <t>4. Spłaty kredytów i pożyczek</t>
  </si>
  <si>
    <t>3.2.5.</t>
  </si>
  <si>
    <t>C.II.5.</t>
  </si>
  <si>
    <t>5. Wykup dłużnych papierów wartościowych</t>
  </si>
  <si>
    <t>3.2.6.</t>
  </si>
  <si>
    <t>C.II.6.</t>
  </si>
  <si>
    <t>6. Z tytułu innych zobowiązań finansowych</t>
  </si>
  <si>
    <t>3.2.7.</t>
  </si>
  <si>
    <t>C.II.7.</t>
  </si>
  <si>
    <t>7. Płatności zobowiązań z tytułu umów leasingu finansowego</t>
  </si>
  <si>
    <t>3.2.8.</t>
  </si>
  <si>
    <t>C.II.8.</t>
  </si>
  <si>
    <t>8. Odsetki</t>
  </si>
  <si>
    <t>3.2.9.</t>
  </si>
  <si>
    <t>C.II.9.</t>
  </si>
  <si>
    <t>9. Inne wydatki finansowe</t>
  </si>
  <si>
    <t>3.3.</t>
  </si>
  <si>
    <t>C.III.</t>
  </si>
  <si>
    <t>III. Przepływy pieniężne netto z działalności finansowej (I–II)</t>
  </si>
  <si>
    <t>D. Przepływy pieniężne netto, razem (A.III±B.III±C.III)</t>
  </si>
  <si>
    <t>E. Bilansowa zmiana stanu środków pieniężnych, w tym:</t>
  </si>
  <si>
    <t>E.1</t>
  </si>
  <si>
    <t>– zmiana stanu środków pieniężnych z tytułu różnic kursowych</t>
  </si>
  <si>
    <t>F. Środki pieniężne na początek okresu</t>
  </si>
  <si>
    <t>G. Środki pieniężne na koniec okresu (F±D), w tym:</t>
  </si>
  <si>
    <t>7.1.</t>
  </si>
  <si>
    <t>G.1</t>
  </si>
  <si>
    <t>– o ograniczonej możliwości dysponowania</t>
  </si>
  <si>
    <t>7.4.</t>
  </si>
  <si>
    <t>7.3.</t>
  </si>
  <si>
    <t>7.2.</t>
  </si>
  <si>
    <t>Dotacje, subwencje na zakup ŚT, WNiP</t>
  </si>
  <si>
    <t>Dywidenda</t>
  </si>
  <si>
    <t>Rożnice kursowe od podatku VAT</t>
  </si>
  <si>
    <t>Otrzymane odsetki budżetowe oraz od nadpłaconych zobowiązań podatkowych</t>
  </si>
  <si>
    <t>Różnice kursowe dodatnie niezrealizowane</t>
  </si>
  <si>
    <t>Rozwiązane rezerwy na koszty utworzone w latach ubiegłych</t>
  </si>
  <si>
    <t>Faktury korygujące wystawione w następnym roku podatkowym</t>
  </si>
  <si>
    <t>Utworzone rezerwy na przychody</t>
  </si>
  <si>
    <t>Pobrane wpłaty lub zarachowane należności na poczet dostaw towarów i usług, które zostaną wykonane w następnych okresach sprawozdawczych, a także otrzymane lub zwrócone pożyczki (kredyty)</t>
  </si>
  <si>
    <t>Naliczone odsetki</t>
  </si>
  <si>
    <t>Rozwiązanie odpisu na należności</t>
  </si>
  <si>
    <t>Faktury korygujące przychody wystawione w bieżącym roku obrotowym, a dotyczące roku poprzedniego</t>
  </si>
  <si>
    <t>Odsetki naliczone w roku poprzednim otrzymane w roku bieżącym</t>
  </si>
  <si>
    <t>Przekazane darowizny</t>
  </si>
  <si>
    <t>Składki członkowskie</t>
  </si>
  <si>
    <t>Diety powyżej limitów</t>
  </si>
  <si>
    <t>Koszty reprezentacji</t>
  </si>
  <si>
    <t>Kary umowne oraz odszkodowania za nieterminowe dostawy</t>
  </si>
  <si>
    <t>Odsetki budżetowe</t>
  </si>
  <si>
    <t>Różnice kursowe ujemne niezrealizowane</t>
  </si>
  <si>
    <t>Nieopłacone do ZUS składki - narzuty na wynagrodzenia</t>
  </si>
  <si>
    <t>Niewypłacone w terminie wynagrodzenia</t>
  </si>
  <si>
    <t>Utworzone rezerwy</t>
  </si>
  <si>
    <t>Niewypłacone diety</t>
  </si>
  <si>
    <t>Odsetki naliczone</t>
  </si>
  <si>
    <t>Niewypłacone składki ZUS w roku poprzednim zapłacone w roku bieżącym</t>
  </si>
  <si>
    <t>Wypłacone po terminie wynagrodzenia</t>
  </si>
  <si>
    <t>Wykorzystane rezerwy z roku poprzedniego</t>
  </si>
  <si>
    <t>Niewypłacone diety w roku poprzednim, zapłacone w roku bieżącym</t>
  </si>
  <si>
    <t>Odsetki naliczone w roku poprzednim zapłacone w roku bieżącym</t>
  </si>
  <si>
    <t>miejsce zapisu JPK sprawozdanie</t>
  </si>
  <si>
    <t>Dane identyfikujące jednostkę</t>
  </si>
  <si>
    <t>KRS:</t>
  </si>
  <si>
    <t>Nazwa pełna jednostki:</t>
  </si>
  <si>
    <t>Województwo:</t>
  </si>
  <si>
    <t>Powiat:</t>
  </si>
  <si>
    <t>Gmina:</t>
  </si>
  <si>
    <t>Miejscowość:</t>
  </si>
  <si>
    <t>Dane i adres siedziby</t>
  </si>
  <si>
    <t>Ulica:</t>
  </si>
  <si>
    <t>1.1.-1.2.</t>
  </si>
  <si>
    <t>Kod pocztowy:</t>
  </si>
  <si>
    <t>Adres zagraniczny (opcjonalny)</t>
  </si>
  <si>
    <t>Kody PKD określające podstawową działalność podmiotu</t>
  </si>
  <si>
    <t>Ukryj, gdy nie dotyczy</t>
  </si>
  <si>
    <t>Ograniczony do:</t>
  </si>
  <si>
    <t>data od:</t>
  </si>
  <si>
    <t>data do:</t>
  </si>
  <si>
    <t>Wskazanie, że sprawozdanie finansowe zawiera dane łączne</t>
  </si>
  <si>
    <t>Założenie kontynuacji działalności</t>
  </si>
  <si>
    <t>Istnieją poniższe okoliczności wskazujące na zagrożenie kontynuacji działalności:</t>
  </si>
  <si>
    <t>Gdy istnieją przesłanki, należy opisać, w przeciwnym wypadku ukryć</t>
  </si>
  <si>
    <t>Informacja, czy sprawozdanie finansowe jest sporzadzone po połączeniu spółek</t>
  </si>
  <si>
    <t>Zasady (polityka) rachunkowości</t>
  </si>
  <si>
    <t>Zasady Rachunkowości</t>
  </si>
  <si>
    <t>W bieżącym roku obrotowym nie uległy zmianie:</t>
  </si>
  <si>
    <t>- zasady rachunkowości;</t>
  </si>
  <si>
    <t>- metody wyceny aktywów i pasywów;</t>
  </si>
  <si>
    <t>- sposób ustalania wyniku finansowego;</t>
  </si>
  <si>
    <t>- sposób sporządzenia rachunku zysków i strat oraz rachunku przepływów pieniężnych.</t>
  </si>
  <si>
    <t>W przypadku, gdy zasady uległy zmianie, odpowiednio zmodyfikować</t>
  </si>
  <si>
    <t>Metody wyceny</t>
  </si>
  <si>
    <t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t>
  </si>
  <si>
    <t xml:space="preserve">Środki trwałe ujmuje się w cenach nabycia lub kosztach wytworzenia pomniejszonych o dokonane odpisy amortyzacyjne. Cena nabycia obejmuje cenę zakupu oraz inne wydatki związane z nabyciem oraz przystosowaniem danego środka trwałego do użytkowania. </t>
  </si>
  <si>
    <t xml:space="preserve">Spółka stosuje następujące roczne stawki amortyzacyjne: </t>
  </si>
  <si>
    <t>Środki trwałe - Stawki amortyzacyjne</t>
  </si>
  <si>
    <t>Środki transportu - 20%</t>
  </si>
  <si>
    <t>Wartości niematerialne i prawne - Stawki amortyzacyjne</t>
  </si>
  <si>
    <t>Licencje - 20% - 50%</t>
  </si>
  <si>
    <t>Materiały wykazywane są według cen nabycia, nie wyższych od cen ich sprzedaży na dzień bilansowy. Korektę wyceny do ceny sprzedaży na dzień bilansowy dokonuje się poprzez dokonanie odpisu aktualizującego.</t>
  </si>
  <si>
    <t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t>
  </si>
  <si>
    <t>Zakupione materiały, dla których nie prowadzi się ewidencji magazynowej, podlegają inwentaryzacji metodą spisu z natury na koniec roku obrotowego.</t>
  </si>
  <si>
    <t xml:space="preserve">Towary handlowe </t>
  </si>
  <si>
    <t>Towary handlowe wykazywane są według cen nabycia, nie wyższych od cen ich sprzedaży na dzień bilansowy. Korektę wyceny do ceny sprzedaży na dzień bilansowy dokonuje się poprzez dokonanie odpisu aktualizującego.</t>
  </si>
  <si>
    <t>Cena nabycia obejmuje cenę zakupu oraz inne wydatki związane z nabyciem towarów. Jeżeli wydatki związane z nabyciem towarów (np. koszty transportu, ubezpieczenia) nie są istotne, towary wycenia się według cen zakupu, nie wyższych od cen ich sprzedaży na dzień bilansowy.</t>
  </si>
  <si>
    <t>Dla potrzeb wyceny rozchodu towarów handlowych wykorzystywana jest metoda FIFO / średniej ważonej.</t>
  </si>
  <si>
    <t>Cenę nabycia towarów spełniających warunki zaliczania ich do aktywów nie zwiększa się o koszty obsługi zobowiązań zaciągniętych w celu finansowania zapasu towarów.</t>
  </si>
  <si>
    <t>Wyroby gotowe</t>
  </si>
  <si>
    <t xml:space="preserve">Wytworzone wyroby gotowe, dla których nie prowadzi się ewidencji magazynowej, podlegają inwentaryzacji metodą spisu z natury na koniec każdego miesiąca. </t>
  </si>
  <si>
    <t>Wytworzone wyroby gotowe wyceniane są wg planowych kosztów wytworzenia wtedy, gdy różnica między planowanym kosztem wytworzenia a kosztem rzeczywistym nie jest znaczna.</t>
  </si>
  <si>
    <t>Koszt wytworzenia wyrobów spełniających warunki zaliczania ich do aktywów nie zwiększa się o koszty obsługi zobowiązań zaciągniętych w celu finansowania produktów w okresie ich wytworzenia.</t>
  </si>
  <si>
    <t xml:space="preserve">Produkcja w toku </t>
  </si>
  <si>
    <t>Produkcję w toku wykazuje się w sprawozdaniu finansowym w wysokości bezpośrednich kosztów wytworzenia. Wartość produkcji w toku ustala się na podstawie inwentaryzacji.</t>
  </si>
  <si>
    <t>Produkcja w toku, w tym z tytułu usług budowlanych, dotyczy w szczególności:</t>
  </si>
  <si>
    <t>Metodologia kalkulacji odpisów aktualizujących zapasy</t>
  </si>
  <si>
    <t>Odpisy aktualizujące wartość zapasów dokonywane są raz do roku. Zapasy uznaje się za przeterminowane po dwóch latach od momentu przyjęcia ich do ewidencji księgowej i obejmuje się je 100% odpisem aktualizującym.</t>
  </si>
  <si>
    <t>Należności długoterminowe i krótkoterminowe</t>
  </si>
  <si>
    <t>Należności długoterminowe i krótkoterminowe wykazywane są w wartości netto (pomniejszonej o odpisy aktualizujące wartość należności).</t>
  </si>
  <si>
    <t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t>
  </si>
  <si>
    <t>Odpisów aktualizujących wartość należności nieprzeterminowanych, przeterminowanych, spornych i wątpliwych dokonuje się na podstawie decyzji kierownika jednostki.</t>
  </si>
  <si>
    <t>Zobowiązania długoterminowe i krótkoterminowe</t>
  </si>
  <si>
    <t>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t>
  </si>
  <si>
    <t>Inwestycje krótkoterminowe w księgach na moment ich nabycia lub powstania wycenia się według cen zakupu lub nabycia.</t>
  </si>
  <si>
    <t>Rozchód inwestycji jednakowych, których ceny nabycia są różne, wycenia się według metody FIFO. Ta zasada dotyczy również inwestycji uznanych za jednakowe, ze względu na podobieństwo rodzaju i przeznaczenie.</t>
  </si>
  <si>
    <t>Inwestycje krótkoterminowe na dzień bilansowy wyceniane są według ceny nabycia lub ceny rynkowej, w zależności od tego, która z nich jest mniejsza.</t>
  </si>
  <si>
    <t>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t>
  </si>
  <si>
    <t>Inwestycje długoterminowe w księgach na moment ich nabycia lub powstania wycenia się według cen nabycia.</t>
  </si>
  <si>
    <t>Rozchód inwestycji jednakowych, których ceny nabycia są różne, wycenia się według metody FIFO. Analogiczne zasady stosuje się do wyceny rozchodu inwestycji długoterminowych uznanych za jednakowe, ze względu na podobieństwo rodzaju i przeznaczenia.</t>
  </si>
  <si>
    <t>Kontrakty na usługi i roboty o okresie realizacji nie dłuższym niż 6 miesięcy</t>
  </si>
  <si>
    <t xml:space="preserve">Kontrakty na usługi i roboty o okresie realizacji nie dłuższym niż 6 miesięcy ujmowane są w księgach do czasu zakończenia realizacji kontraktu w wysokości poniesionych kosztów bezpośrednich i prezentowane są jako roboty (usługi) w toku. </t>
  </si>
  <si>
    <t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t>
  </si>
  <si>
    <t>Kontrakty na usługi i roboty o okresie realizacji dłuższym niż 6 miesięcy</t>
  </si>
  <si>
    <t>Kontrakty na usługi i roboty o okresie realizacji dłuższym niż 6 miesięcy ujmowane są w księgach w zależności od stopnia zawansowania robót.</t>
  </si>
  <si>
    <t>Stopień zaawansowania robót z niezakończonej umowy ustala się udziałem kosztów wykonania umowy poniesionych od dnia zawarcia umowy do dnia bilansowego w całkowitych kosztach umowy.</t>
  </si>
  <si>
    <t>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t>
  </si>
  <si>
    <t>Przychody z realizacji kontraktów na usługi i roboty o okresie realizacji dłuższym niż 6 miesięcy, dla których nie można wiarygodnie ustalić stopnia zawansowania, ustalane są na poziomie poniesionych kosztów w wysokości, której pokrycie zapewnia zleceniodawca.</t>
  </si>
  <si>
    <t>Koszty wynikające z realizacji kontraktów o okresie realizacji dłuższym niż 6 miesięcy stanowią koszty poniesione do dnia bilansowego.</t>
  </si>
  <si>
    <t>Rozliczenia międzyokresowe kosztów</t>
  </si>
  <si>
    <t xml:space="preserve">Spółka dokonuje czynnych rozliczeń międzyokresowych kosztów, jeżeli dotyczą one przyszłych okresów sprawozdawczych. </t>
  </si>
  <si>
    <t>Bierne rozliczenia międzyokresowe kosztów dokonywane są w wysokości prawdopodobnych zobowiązań przypadających na bieżący okres sprawozdawczy.</t>
  </si>
  <si>
    <t xml:space="preserve">Rozliczenia międzyokresowe przychodów </t>
  </si>
  <si>
    <t>Rozliczenia międzyokresowe przychodów dokonywane są z zachowaniem ostrożnej wyceny i obejmują w szczególności:</t>
  </si>
  <si>
    <t xml:space="preserve">- równowartość otrzymanych lub należnych od kontrahentów środków z tytułu świadczeń, których wykonanie nastąpi w następnych okresach sprawozdawczych; </t>
  </si>
  <si>
    <t xml:space="preserve">- środki pieniężne otrzymane na sfinansowanie nabycia lub wytworzenia środków trwałych, w tym także środków trwałych w budowie oraz prac rozwojowych, jeżeli stosownie do innych ustaw nie zwiększają one kapitałów własnych. </t>
  </si>
  <si>
    <t>Zaliczone do rozliczeń międzyokresowych przychodów kwoty zwiększają stopniowo pozostałe przychody operacyjne, równolegle do odpisów amortyzacyjnych lub umorzeniowych od środków trwałych lub kosztów prac rozwojowych sfinansowanych z tych źródeł.</t>
  </si>
  <si>
    <t>Uznawanie przychodu</t>
  </si>
  <si>
    <t>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t>
  </si>
  <si>
    <t xml:space="preserve">Aktywa i rezerwy z tytułu odroczonego podatku dochodowego </t>
  </si>
  <si>
    <t xml:space="preserve">Zgodnie z uproszczeniem wynikającym z Art. 37 ust 10 UoR Spółka odstąpiła od ustalania aktywów i rezerw z tytułu odroczonego podatku dochodowego.  </t>
  </si>
  <si>
    <t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t>
  </si>
  <si>
    <t>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t>
  </si>
  <si>
    <t>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t>
  </si>
  <si>
    <t>Wysokość rezerwy i aktywów z tytułu odroczonego podatku dochodowego ustala się przy uwzględnieniu stawek podatku dochodowego obowiązujących w roku powstania obowiązku podatkowego.</t>
  </si>
  <si>
    <t>Ustalanie wyniku</t>
  </si>
  <si>
    <t>Rachunek przepływów pieniężnych sporządzany jest metodą bezpośrednią.</t>
  </si>
  <si>
    <t>Rachunek przepływów pieniężnych sporządzany jest metodą pośrednią.</t>
  </si>
  <si>
    <t>Zakupione towary handlowe, dla których nie prowadzi się ewidencji magazynowej, podlegają inwentaryzacji metodą spisu z natury na koniec każdego miesiąca, na koniec każdego kwartału, na koniec roku obrotowego.</t>
  </si>
  <si>
    <t>Informacja uszczegółowiająca, wynikająca z potrzeb lub specyfiki jednostki</t>
  </si>
  <si>
    <t>Prowadzenie ksiąg rachunkowych</t>
  </si>
  <si>
    <t>Po dniu bilansowym nie zanotowano zdarzeń mogących wpłynąć na sprawozdanie finansowe.</t>
  </si>
  <si>
    <t>Rok obrotowy</t>
  </si>
  <si>
    <t xml:space="preserve">Immaterielle Vermögensgegenstände und Rechte werden zu Anschaffungs- oder Herstellungskosten, vermindert um vorgenommene Abschreibungen erfasst. Die Anschaffungskosten umfassen den Einkaufspreis und sonstige Aufwendungen für die Anschaffung sowie für Anpassungen an den betreffenden immateriellen Vermögensgegenständen und Rechten, die ihre Nutzbarkeit gewährleisten. </t>
  </si>
  <si>
    <t xml:space="preserve">Sachanlagen werden zu Anschaffungs- oder Herstellungskosten, vermindert um vorgenommene Abschreibungen erfasst. Die Anschaffungskosten umfassen den Einkaufspreis und sonstige Aufwendungen für die Anschaffung sowie für Anpassungen an den betreffenden Sachanlagen, die ihre Nutzbarkeit gewährleisten. </t>
  </si>
  <si>
    <t xml:space="preserve">Die Abschreibung erfolgt nach folgenden Jahresabschreibungssätzen: </t>
  </si>
  <si>
    <t>Roh-, Hilfs- und Betriebsstoffe werden zu Anschaffungskosten ausgewiesen, die ihre Verkaufspreise zum Bilanzstichtag nicht übersteigen dürfen. Die Korrektur der Bewertung auf den Verkaufspreis zum Bilanzstichtag erfolgt durch Vornahme einer Wertberichtigung.</t>
  </si>
  <si>
    <t xml:space="preserve">Die Anschaffungskosten umfassen den Einkaufspreis und sonstige mit der Anschaffung der RHB-Stoffe verbundene Aufwendungen. Soweit die mit der Anschaffung der RHB-Stoffe verbundenen Aufwendungen (z.B. Transportkosten, Versicherungskosten) nicht wesentlich sind, erfolgt die Bewertung zu Einkaufspreisen, die die Verkaufspreise zum Bilanzstichtag nicht übersteigen dürfen. </t>
  </si>
  <si>
    <t>Für die erworbenen RHB-Stoffe, über die kein Lagerverzeichnis geführt wird, ist eine körperliche Bestandsaufnahme zum Ende des Geschäftsjahres durchzuführen.</t>
  </si>
  <si>
    <t>Über die Verwendbarkeit und Nutzbarkeit der Vorräte an RHB-Stoffen (zwecks Feststellung, ob Wertberichtigungen vorgenommen werden müssen oder nicht) entscheidet jeweils der Geschäftsleiter während der Jahresinventur.</t>
  </si>
  <si>
    <t xml:space="preserve">Handelswaren </t>
  </si>
  <si>
    <t>Handelswaren werden zu Anschaffungskosten ausgewiesen, die ihre Verkaufspreise zum Bilanzstichtag nicht übersteigen dürfen. Die Korrektur der Bewertung auf den Verkaufspreis zum Bilanzstichtag erfolgt durch Vornahme einer Wertberichtigung.</t>
  </si>
  <si>
    <t>Die Anschaffungskosten umfassen den Einkaufspreis und sonstige mit der Anschaffung der Handelswaren verbundene Aufwendungen. Soweit die mit der Anschaffung der Handelswaren verbundenen Aufwendungen (z.B. Transportkosten, Versicherungskosten) nicht wesentlich sind, erfolgt die Bewertung zu Einkaufspreisen, die die Verkaufspreise zum Bilanzstichtag nicht übersteigen dürfen.</t>
  </si>
  <si>
    <t>Für die erworbenen Handelswaren, über die kein Lagerverzeichnis geführt wird, ist eine körperliche Bestandsaufnahme (zum Ende eines jeden Monats, zum Ende eines jeden Quartals oder zum Ende des Geschäftsjahres) durchzuführen.</t>
  </si>
  <si>
    <t>Die Anschaffungskosten der Waren, die unter Aktiva ausgewiesen werden, werden nicht um die Finanzierungskosten für den Erwerb der Waren erhöht.</t>
  </si>
  <si>
    <t>Über die Verwendbarkeit und Nutzbarkeit der Vorräte an Waren (zwecks Feststellung, ob Wertberichtigungen vorgenommen werden müssen oder nicht) entscheidet jeweils der Geschäftsleiter während der Jahresinventur.</t>
  </si>
  <si>
    <t xml:space="preserve">Für die fertigen Erzeugnisse, über die kein Lagerverzeichnis geführt wird, ist eine körperliche Bestandsaufnahme zum Ende eines jeden Monats durchzuführen. </t>
  </si>
  <si>
    <t>Die Herstellungskosten der Erzeugnisse, die unter Aktiva ausgewiesen werden, werden nicht um die Finanzierungskosten für die Herstellung der Erzeugnisse erhöht.</t>
  </si>
  <si>
    <t>Über die Verwendbarkeit und Nutzbarkeit der Vorräte an Erzeugnissen (zwecks Feststellung, ob Wertberichtigungen vorgenommen werden müssen oder nicht) entscheidet jeweils der Geschäftsleiter während der Jahresinventur.</t>
  </si>
  <si>
    <t xml:space="preserve">Unfertige Erzeugnisse </t>
  </si>
  <si>
    <t>Unfertige Erzeugnisse werden in Höhe der direkten Herstellungskosten im Jahresabschluss ausgewiesen. Die Bewertung der unfertigen Erzeugnisse erfolgt aufgrund der Inventur.</t>
  </si>
  <si>
    <t>Unfertige Erzeugnisse, darunter aus Bauleistungen, umfassen insbesondere:</t>
  </si>
  <si>
    <t>Langfristige und kurzfristige Forderungen</t>
  </si>
  <si>
    <t>Langfristige und kurzfristige Forderungen werden zu Nettowerten ausgewiesen (vermindert um Wertberichtigungen).</t>
  </si>
  <si>
    <t xml:space="preserve">Forderungen werden zu Rückzahlungsbeträgen bewertet. Der Betrag beinhaltet den Nominalwert der Forderungen zuzüglich Verzugszinsen. Die Zinsen werden nur dann unter den Finanzerträgen verbucht, wenn die Gesellschaft eine Entscheidung über die Geltendmachung der Zinsen zum Bilanzstichtag trifft. </t>
  </si>
  <si>
    <t>Über die Wertberichtigungen auf nicht überfällige, überfällige, strittige und zweifelhafte Forderungen entscheidet der Geschäftsleiter.</t>
  </si>
  <si>
    <t>Langfristige und kurzfristige Verbindlichkeiten</t>
  </si>
  <si>
    <t>Kurzfristige Investitionen werden zum Bilanzstichtag zu Anschaffungskosten oder Marktpreisen bewertet, je nachdem, welcher Preis niedriger ist.</t>
  </si>
  <si>
    <t>Verträge über Dienstleistungen und Arbeiten mit einer Durchführungsdauer von bis zu 6 Monaten</t>
  </si>
  <si>
    <t>Verträge über Dienstleistungen und Arbeiten mit einer Durchführungsdauer von mehr als 6 Monaten</t>
  </si>
  <si>
    <t>Der Fertigstellungsgrad der Arbeiten aus nicht beendeten Verträgen wird anhand des Anteils ermittelt, den die zwischen dem Tag des Vertragsabschlusses und dem Bilanzstichtag getragenen Vertragsdurchführungskosten an den gesamten Vertragskosten haben.</t>
  </si>
  <si>
    <t>Der Wert der geschätzten Erlöse aus nicht beendeten Bauverträgen wird in Höhe des Teiles des Vertragspreises für die gesamte Dienstleistung ermittelt, der dem Fertigstellungsgrad der Dienstleistung zum Bilanzstichtag entspricht, abzüglich der Erlöse, die das Ergebnis in den vorigen Berichtszeiträumen beeinflusst haben.</t>
  </si>
  <si>
    <t>Aufwandsabgrenzung</t>
  </si>
  <si>
    <t xml:space="preserve">Die Gesellschaft bildet aktive Rechnungsabgrenzungsposten, sofern diese künftige Berichtszeiträume betreffen. </t>
  </si>
  <si>
    <t>Passive Rechnungsabgrenzungsposten werden in Höhe der im laufenden Berichtszeitraum voraussichtlich anfallenden Verbindlichkeiten gebildet.</t>
  </si>
  <si>
    <t>Die Ertragsabgrenzung erfolgt unter Beachtung des Niederstwertprinzips und umfasst insbesondere:</t>
  </si>
  <si>
    <t>Die als Ertragsabgrenzung erfassten Beträge erhöhen sukzessiv die sonstigen betrieblichen Erträge, parallel zu den Abschreibungen und kumulierten Abschreibungen auf Sachanlagen oder auf Entwicklungskosten, die aus diesen Quellen finanziert werden.</t>
  </si>
  <si>
    <t>Erfassung der Umsatzerlöse als Betriebseinnahmen</t>
  </si>
  <si>
    <t xml:space="preserve">Aktive latente Steuern und Rückstellungen für latente Steuern </t>
  </si>
  <si>
    <t xml:space="preserve">Gemäß der Vereinfachung nach Art. 37 Abs. 10 RLG-PL hat die Gesellschaft auf die Ermittlung der aktiven latenten Steuern und der Rückstellungen für latente Steuern verzichtet. </t>
  </si>
  <si>
    <t xml:space="preserve">Da es zwischen den in den Handelsbüchern ausgewiesenen Werten der Aktiva und Passiva einerseits und ihrem Steuerwert sowie dem in der Zukunft abzugsfähigen steuerlichen Verlustvortrag andererseits zu vorübergehenden Differenzen kommen kann, werden eine Rückstellung für latente Steuern gebildet und aktive latente Steuern ermittelt. </t>
  </si>
  <si>
    <t>Die Höhe der aktiven latenten Steuern ist die Summe aus dem Betrag, der in Zukunft in Zusammenhang mit vorübergehenden negativen Differenzbeträgen, die in Zukunft die Körperschaftsteuerbemessungsgrundlage vermindern werden, von der Körperschaftsteuer abgezogen werden soll, sowie aus dem abzugsfähigen steuerlichen Verlust, der unter Beachtung des Niederstwertprinzips ermittelt wurde.</t>
  </si>
  <si>
    <t>Die Rückstellung für latente Steuern wird in Höhe der in Zukunft zahlbaren Körperschaftsteuer gebildet, und zwar im Zusammenhang mit dem Auftreten vorübergehender positiver Differenzbeträge, d.h. derjenigen Differenzbeträge, die in Zukunft die Körperschaftsteuerbemessungsgrundlage erhöhen werden.</t>
  </si>
  <si>
    <t xml:space="preserve">Die Höhe der Rückstellung für latente Steuern und der aktiven latenten Steuern wird unter Berücksichtigung der Körperschaftsteuersätze festgelegt, die in demjenigen Jahr galten, in dem die Steuerpflicht entstand. </t>
  </si>
  <si>
    <t>- usług (robót) już rozpoczętych, ale jeszcze nieobjętych umową, gdyż negocjacje trwają, ale jest pewne, że umowa zostanie zawarta,</t>
  </si>
  <si>
    <t>- usług, których realizacja ma nastąpić w okresie krótszym niż 6 miesięcy,</t>
  </si>
  <si>
    <t>- usług, których realizacja ma trwać dłużej niż 6 miesięcy, ale ich wartość na dzień bilansowy nie wpływa istotnie na sytuację wykonawcy.</t>
  </si>
  <si>
    <t>Angewandte Bewertungsmethoden</t>
  </si>
  <si>
    <t>Finanzielle Vermögenswerte gelten als kurzfristig, wenn sie innerhalb von 12 Monaten nach dem Bilanzstichtag zahlbar, fällig oder zur Veräußerung bestimmt sind, oder wenn sie innerhalb von 12 Monaten nach ihrer Entstehung, Ausstellung oder Anschaffung zahlbar, fällig oder zur Veräußerung bestimmt sind.</t>
  </si>
  <si>
    <t>Verträge über Dienstleistungen und Arbeiten mit einer Durchführungsdauer von mehr als 6 Monaten werden nach dem Fertigstellungsgrad der Arbeiten in den Büchern erfasst.</t>
  </si>
  <si>
    <t xml:space="preserve">Ertragsabgrenzung </t>
  </si>
  <si>
    <t>- bereits begonnene Leistungen (Arbeiten), die jedoch vertraglich noch nicht geregelt sind, da die Verhandlungen noch andauern; es ist jedoch sicher, dass der Vertrag geschlossen wird;</t>
  </si>
  <si>
    <t>- Leistungen, die in einem Zeitraum von mehr als 6 Monaten durchzuführen sind, deren Wert zum Bilanzstichtag auf die Lage des Auftragnehmers jedoch keinen wesentlichen Einfluss hat.</t>
  </si>
  <si>
    <t xml:space="preserve">Tangible assets are recognised at acquisition or production cost reduced by the depreciation charges made. The acquisition cost includes the purchase price and other expenses associated with acquiring of or adapting a given tangible asset for use. </t>
  </si>
  <si>
    <t>Raw materials</t>
  </si>
  <si>
    <t>Raw materials are recognised at acquisition cost, not higher than their selling price as of the balance sheet date. Revaluation based on the selling price as of the balance sheet date is performed by way of a value adjustment write-down.</t>
  </si>
  <si>
    <t xml:space="preserve">The acquisition cost includes the purchase price and other expenses associated with the acquisition of raw materials. If such expenses (for instance, cost of transportation, insurance costs, etc.) are not significant, the raw materials are valued at the purchase price not higher than their selling price as of the balance sheet date. </t>
  </si>
  <si>
    <t>Purchased raw materials for which no inventory records are kept are subject to stocktaking by physical count at the end of the financial year.</t>
  </si>
  <si>
    <t xml:space="preserve">Merchandise </t>
  </si>
  <si>
    <t>Merchandise is recognised at acquisition cost, not higher than its selling price as of the balance sheet date. Revaluation based on the selling price as of the balance sheet date is performed by way of a value adjustment write-down.</t>
  </si>
  <si>
    <t>Purchased merchandise for which no inventory records are kept is subject to stocktaking by physical count at the end of each month, at the end of each quarter, at the end of the financial year.</t>
  </si>
  <si>
    <t>Merchandise disposals are measured using the first-in first-out (FIFO) method.</t>
  </si>
  <si>
    <t>The acquisition cost of merchandise which meets the conditions for its classification as an asset is not subject to an increase by costs of servicing the liabilities incurred for the purpose of financing the merchandise in stock.</t>
  </si>
  <si>
    <t xml:space="preserve">Manufactured finished goods for which no inventory records are kept are subject to stocktaking by physical count at the end of each month. </t>
  </si>
  <si>
    <t>The production costs of finished goods which meet the conditions for their classification as assets are not subject to an increase by costs of servicing the liabilities incurred for the purpose of financing the goods during their manufacture period.</t>
  </si>
  <si>
    <t xml:space="preserve">Work in progress </t>
  </si>
  <si>
    <t>Work in progress is recognised in the financial statements at direct production costs. Work in progress is valued based on the stocktaking.</t>
  </si>
  <si>
    <t>Work in progress, including construction services, comprises in particular:</t>
  </si>
  <si>
    <t>Non-current and current receivables</t>
  </si>
  <si>
    <t>Non-current and current receivables are recognised in the net value (less value adjustment write-downs).</t>
  </si>
  <si>
    <t>Non-current and current liabilities</t>
  </si>
  <si>
    <t>Costs arising from the performance of contracts for services and work to be performed within a period longer than 6 months are the costs incurred until the balance sheet date.</t>
  </si>
  <si>
    <t>Prepaid expenses</t>
  </si>
  <si>
    <t xml:space="preserve">The Company recognises prepaid expenses if they relate to future reporting periods. </t>
  </si>
  <si>
    <t>The Company recognises accrued expenses at amounts of probable liabilities relating to the reporting period.</t>
  </si>
  <si>
    <t xml:space="preserve">- an equivalent of funds received or due from contractors, arising from performances which will be completed in next reporting periods; </t>
  </si>
  <si>
    <t xml:space="preserve">- cash received for the financing of acquisition or production of tangible assets, including also assets under construction and research and development work, if, in compliance with other acts, they do not increase the owners’ equity. </t>
  </si>
  <si>
    <t>Recognition of revenue</t>
  </si>
  <si>
    <t>Valuation methods</t>
  </si>
  <si>
    <t>Tangible assets - depreciation rates</t>
  </si>
  <si>
    <t>Intangible assets - depreciation rates</t>
  </si>
  <si>
    <t>Licences - 20% - 50%</t>
  </si>
  <si>
    <t>Software - 20%</t>
  </si>
  <si>
    <t>Technical equipment and machinery - 10% - 30%</t>
  </si>
  <si>
    <t>Vehicles - 20%</t>
  </si>
  <si>
    <t>Other tangible assets - 14% - 20%</t>
  </si>
  <si>
    <t>- services (work) already started and not yet covered by an agreement due to pending negotiations which, however, will definitely lead to the conclusion of the agreement;</t>
  </si>
  <si>
    <t>Jahresabschluss</t>
  </si>
  <si>
    <t xml:space="preserve">DER JAHRESABSCHLUSS WURDE IN DER GESETZLICH GEFORDERTEN ELEKTRONISCHEN FORM ERSTELLT. </t>
  </si>
  <si>
    <t>DIESES DOKUMENT STELLT LEDIGLICH EINE KOPIE DES O.G. JAHRESABSCHLUSSES DAR.</t>
  </si>
  <si>
    <t>Ergänzende Informationen zur Aufstellung der langfristigen Investitionen:</t>
  </si>
  <si>
    <t>Guthaben auf dem Umsatzsteuer-Konto, von dem in Art. 62a Abs.1 des Bankgesetzes vom 29. August 1997 die Rede ist.</t>
  </si>
  <si>
    <t>Guthaben auf dem Umsatzsteuer-Konto</t>
  </si>
  <si>
    <t>A. Ergebnis vor Steuern für das betreffende Jahr</t>
  </si>
  <si>
    <t>B. Steuerbefreit Einnahmen (dauerhafte Differenzen zwischen dem Gewinn/Verlust für handelsrechtliche Zwecke und dem Einkommen/Verlust für steuerliche Zwecke), darunter:</t>
  </si>
  <si>
    <t>C. Im laufenden Jahr nicht zu besteuernde Einnahmen, darunter:</t>
  </si>
  <si>
    <t>D. Im laufenden Jahr zu besteuernde Einnahmen, die in den Handelsbüchern der Vorjahre ausgewiesen wurden, darunter:</t>
  </si>
  <si>
    <t>F. Nicht als steuerlich abzugsfähige Betriebsausgaben des laufenden Jahres eingestufte Aufwendungen, darunter:</t>
  </si>
  <si>
    <t>G. Steuerlich abzugsfähige Betriebsausgaben des laufenden Geschäftsjahres, die in den Handelsbüchern der Vorjahre erfasst wurden, darunter:</t>
  </si>
  <si>
    <t>H. Verlustvortrag, darunter:</t>
  </si>
  <si>
    <t>I. Sonstige Änderungen der Steuerbemessungsgrundlage, darunter:</t>
  </si>
  <si>
    <t>J. Körperschaftsteuerbemessungsgrundlage</t>
  </si>
  <si>
    <t>K.  Körperschaftsteuer</t>
  </si>
  <si>
    <t>Forschungsarbeiten</t>
  </si>
  <si>
    <t>Entwicklungsarbeiten</t>
  </si>
  <si>
    <t>Note 1.18. - Guthaben auf dem Umsatzsteuer-Konto, von dem in Art. 62a Abs.1 des Bankgesetzes vom 29. August 1997 die Rede ist</t>
  </si>
  <si>
    <t>Zuschüsse, Zuwendungen für den Einkauf von Sachanlagen, immateriellen Vermögensgegenständen und Rechten</t>
  </si>
  <si>
    <t>Dividende</t>
  </si>
  <si>
    <t>Kursdifferenzen bei der Umsatzsteuer</t>
  </si>
  <si>
    <t>Von der Staatskasse erhaltene Zinsen auf überzahlte  Steuerverbindlichkeiten</t>
  </si>
  <si>
    <t>Nicht realisierte Kursgewinne</t>
  </si>
  <si>
    <t>Aufgelöste Rückstellungen für Aufwendungen, die in den Vorjahren gebildet wurden</t>
  </si>
  <si>
    <t>Im nächsten Steuerjahr ausgestellte Korrekturrechnungen</t>
  </si>
  <si>
    <t>Beträge, welche die Erträge für Buchhaltungszwecke erhöhen</t>
  </si>
  <si>
    <t>Erhaltene Zahlungen oder angerechnete Forderungen auf Lieferungen von Waren und Dienstleistungen, die in nachfolgenden Berichtszeiträumen ausgeführt werden, sowie erhaltene bzw. zurückgezahlte Darlehen (Kredite)</t>
  </si>
  <si>
    <t>Berechnete Zinsen</t>
  </si>
  <si>
    <t>Auflösung der Wertberichtigung auf Forderungen</t>
  </si>
  <si>
    <t>Im laufenden Geschäftsjahr ausgestellte, aber das Vorjahr betreffende Rechnungen, welche die Erträge korrigieren</t>
  </si>
  <si>
    <t>Im Vorjahr berechnete und im laufenden Jahr erhaltene Zinsen</t>
  </si>
  <si>
    <t>E. Nicht steuerlich abzugsfähige Betriebsausgaben (dauerhafte Differenzen zwischen dem Gewinn/Verlust für handelsrechtliche Zwecke und dem Einkommen/Verlust für steuerliche Zwecke), darunter:</t>
  </si>
  <si>
    <t>Übergebene Schenkungen</t>
  </si>
  <si>
    <t>Mitgliedsbeiträge</t>
  </si>
  <si>
    <t>Über die Obergrenzen hinausgehenden Spesen</t>
  </si>
  <si>
    <t>Repräsentationskosten</t>
  </si>
  <si>
    <t>Vertragsstrafen und Entschädigungen für nicht termingemäße Lieferungen</t>
  </si>
  <si>
    <t>Zinsen an die Staatskasse</t>
  </si>
  <si>
    <t>Nicht realisierte Kursverluste</t>
  </si>
  <si>
    <t>Nicht beglichene Sozialabgaben - Aufschläge auf Löhne und Gehälter</t>
  </si>
  <si>
    <t>Nicht termingemäß ausbezahlte Löhne und Gehälter</t>
  </si>
  <si>
    <t>Gebildete Rückstellungen</t>
  </si>
  <si>
    <t>Nicht ausbezahlte Spesen</t>
  </si>
  <si>
    <t>Im Vorjahr nicht beglichene Sozialabgaben, bezahlt im laufenden Jahr</t>
  </si>
  <si>
    <t>Verspätet ausbezahlte Löhne und Gehälter</t>
  </si>
  <si>
    <t>In Anspruch genommene Rückstellungen aus dem Vorjahr</t>
  </si>
  <si>
    <t>Im Vorjahr nicht ausbezahlte Spesen, gezahlt im laufenden Jahr</t>
  </si>
  <si>
    <t>Im Vorjahr berechnete und im laufenden Jahr bezahlte Zinsen</t>
  </si>
  <si>
    <t xml:space="preserve">A. Profit (loss) before tax for the period </t>
  </si>
  <si>
    <t>B. Tax-exempt revenues (permanent differences between the profit/loss for accounting purposes and the income/loss for tax purposes, of which:</t>
  </si>
  <si>
    <t>Grants and subsidies for the purchase of tangible and intangible assets</t>
  </si>
  <si>
    <t>Dividend</t>
  </si>
  <si>
    <t>Interest received from state budget and interest on tax overpayments</t>
  </si>
  <si>
    <t>C. Non-taxable revenues in the current year, of which:</t>
  </si>
  <si>
    <t xml:space="preserve">Unrealised foreign exchange gains </t>
  </si>
  <si>
    <t>Reversal of provisions made for costs in previous years</t>
  </si>
  <si>
    <t xml:space="preserve">Correcting invoices issued in the following tax year </t>
  </si>
  <si>
    <r>
      <rPr>
        <sz val="10"/>
        <rFont val="Arial"/>
        <family val="2"/>
        <charset val="238"/>
      </rPr>
      <t>Amounts increasing the revenue for accounting purposes</t>
    </r>
    <r>
      <rPr>
        <sz val="10"/>
        <color rgb="FFFF0000"/>
        <rFont val="Arial"/>
        <family val="2"/>
        <charset val="238"/>
      </rPr>
      <t xml:space="preserve"> </t>
    </r>
  </si>
  <si>
    <t>Payments received or receivables recognised on account of goods and services to be supplied in future periods, and loans and credit facilities received or repaid</t>
  </si>
  <si>
    <t>Accrued interest</t>
  </si>
  <si>
    <t>Value-adjustment write-down of receivables, reversed</t>
  </si>
  <si>
    <t>D. Taxable revenues in the current year, entered in the books of account for previous years, of which:</t>
  </si>
  <si>
    <t xml:space="preserve">Revenue amending invoices issued in the current financial year but referring to the previous financial year  </t>
  </si>
  <si>
    <t xml:space="preserve">Interest accrued in the previous year, received in the current year </t>
  </si>
  <si>
    <t>E. Non-tax-deductible costs (permanent differences between the profit/loss for accounting purposes and the income/loss for tax purposes, of which:</t>
  </si>
  <si>
    <t>State Fund for Rehabilitation of the Disabled (PFRON)</t>
  </si>
  <si>
    <t>Donations granted</t>
  </si>
  <si>
    <t>Membership fees</t>
  </si>
  <si>
    <t>Travel allowances above the applicable limits</t>
  </si>
  <si>
    <t>Costs of official entertainment</t>
  </si>
  <si>
    <t>Contractual penalties and late delivery damages</t>
  </si>
  <si>
    <t>Interest payable to state budget</t>
  </si>
  <si>
    <t>F. Costs not classified as tax-deductible costs in the current year, of which:</t>
  </si>
  <si>
    <t>Value-adjustment write-downs of receivables</t>
  </si>
  <si>
    <t xml:space="preserve">Unrealised foreign exchange losses </t>
  </si>
  <si>
    <t xml:space="preserve">Social security (ZUS) contributions unpaid - payroll-related charges </t>
  </si>
  <si>
    <t xml:space="preserve">Wages and salaries not paid on time </t>
  </si>
  <si>
    <t>Provisions made</t>
  </si>
  <si>
    <t>Travel allowances, unpaid</t>
  </si>
  <si>
    <t>G. Costs classified as tax-deductible costs in the current year but entered in the books of account for previous years, of which:</t>
  </si>
  <si>
    <t xml:space="preserve">Social security (ZUS) contributions unpaid in the previous year, paid in the current year </t>
  </si>
  <si>
    <t>Wages and salaries paid after the due date</t>
  </si>
  <si>
    <t>Provisions for the previous year, used</t>
  </si>
  <si>
    <t xml:space="preserve">Travel allowances unpaid in the previous year, paid in the current year </t>
  </si>
  <si>
    <t>Interest accrued in the previous year, paid in the current year</t>
  </si>
  <si>
    <t>H. Accumulated loss carried forward, of which:</t>
  </si>
  <si>
    <t>I. Other changes in taxable base, of which:</t>
  </si>
  <si>
    <t xml:space="preserve">J. Taxable base for coprorate income tax purposes </t>
  </si>
  <si>
    <t>K. Corporate income tax</t>
  </si>
  <si>
    <t>Financial statements</t>
  </si>
  <si>
    <t xml:space="preserve">THE COMPANY'S FINANCIAL STATEMENTS HAVE BEEN PREPARED IN ELECTRONIC FORMAT, AS PRESCRIBED BY THE ACT. </t>
  </si>
  <si>
    <t>THIS DOCUMENT IS ONLY A COPY OF THE AFOREMENTIONED FINANCIAL STATEMENTS.</t>
  </si>
  <si>
    <t>APPENDIX 1 TO THE FINANCIAL STATEMENTS PREPARED IN ELECTRONIC FORMAT - NOTES TO THE FINANCIAL STATEMENTS</t>
  </si>
  <si>
    <t>Notes supplementing the schedule of non-current investments:</t>
  </si>
  <si>
    <t>Cash in the VAT account referred to in Article 62a(1) of the Banking Act of 29.08.1997</t>
  </si>
  <si>
    <t>Cash in the VAT account</t>
  </si>
  <si>
    <t>D. Revenues taxable in the current year, entered in the books of accounts for previous years, of which:</t>
  </si>
  <si>
    <t>G. Costs classified as tax-deductibe costs in the current year, entered in the books of account for previous years, of which:</t>
  </si>
  <si>
    <t xml:space="preserve">J. Taxable base for corporate income tax purposes </t>
  </si>
  <si>
    <t>Capital gains</t>
  </si>
  <si>
    <t>Other sources</t>
  </si>
  <si>
    <t>Research work</t>
  </si>
  <si>
    <t>Development work</t>
  </si>
  <si>
    <t>Rodzaj działalności</t>
  </si>
  <si>
    <t>Działalność zaniechana w roku obrotowym</t>
  </si>
  <si>
    <t>Działalność przewidziana do zaniechania w następnym roku obrotowym</t>
  </si>
  <si>
    <t>Wynik na działalności</t>
  </si>
  <si>
    <t>Odpisy z zysku netto w ciągu roku obrotowego
 (wielkość ujemna)</t>
  </si>
  <si>
    <t>Abzüge vom Jahresüberschuss im Laufe des Geschäftsjahres (negativer Wert)</t>
  </si>
  <si>
    <t>Deductions from net profit during the financial year (negative figure)</t>
  </si>
  <si>
    <t>NIP:</t>
  </si>
  <si>
    <t>degresywną</t>
  </si>
  <si>
    <t>niepotrzebne ukryj</t>
  </si>
  <si>
    <t>odpowiedni wiersz ukryj</t>
  </si>
  <si>
    <t>nazwa</t>
  </si>
  <si>
    <t>pokrycia straty z wyniku roku ubiegłego</t>
  </si>
  <si>
    <t>Strona tytułowa SF</t>
  </si>
  <si>
    <t>Bilans - korekty</t>
  </si>
  <si>
    <t>Bilans  po korektach</t>
  </si>
  <si>
    <t>RZiS Por. po korektach</t>
  </si>
  <si>
    <t>CF kalkulacja</t>
  </si>
  <si>
    <t xml:space="preserve">    3. zastosować inny kolor wypełnienia dla zamienionego tekstu.</t>
  </si>
  <si>
    <t>nota do CIT</t>
  </si>
  <si>
    <t>Im Geschäftsjahr eingestellte Tätigkeit</t>
  </si>
  <si>
    <t>Art der Tätigkeit</t>
  </si>
  <si>
    <t>Tätigkeit, deren Einstellung im folgenden Geschäftsjahr vorgesehen ist</t>
  </si>
  <si>
    <t>Identifikationsangaben der Gesellschaft</t>
  </si>
  <si>
    <t>Landesgerichtsregister (KRS):</t>
  </si>
  <si>
    <t>Volle Firma der Gesellschaft:</t>
  </si>
  <si>
    <t>Angaben und Sitzanschrift</t>
  </si>
  <si>
    <t>Straße:</t>
  </si>
  <si>
    <t>Ort:</t>
  </si>
  <si>
    <t>Postleitzahl:</t>
  </si>
  <si>
    <t>Gemeinde:</t>
  </si>
  <si>
    <t>Kreis:</t>
  </si>
  <si>
    <t>Woiwodschaft:</t>
  </si>
  <si>
    <t>Ausländische Anschrift (optional)</t>
  </si>
  <si>
    <t>PKD-Kodes zur Festlegung des Kerngeschäfts</t>
  </si>
  <si>
    <t>Beschränkt auf:</t>
  </si>
  <si>
    <t>Datum vom:</t>
  </si>
  <si>
    <t>Datum bis:</t>
  </si>
  <si>
    <t>Hinweis darauf, dass der Jahresabschluss Gesamtangaben enthält</t>
  </si>
  <si>
    <t>Es bestehen nachfolgende Umstände, die auf eine Gefährdung der Unternehmensfortführung hinweisen:</t>
  </si>
  <si>
    <t>Information, ob der Jahresabschluss nach Zusammenschluss der Gesellschaften erstellt wird</t>
  </si>
  <si>
    <t>Rechnungslegungsgrundsätze (-politik)</t>
  </si>
  <si>
    <t>Rechnungslegungsgrundsätze</t>
  </si>
  <si>
    <t>Im laufenden Geschäftsjahr änderten sich nicht:</t>
  </si>
  <si>
    <t>- Rechnungslegungsgrundsätze;</t>
  </si>
  <si>
    <t>- Methoden für die Bewertung der Aktiva und Passiva;</t>
  </si>
  <si>
    <t>- Art und Weise der Ermittlung des Jahresergebnisses;</t>
  </si>
  <si>
    <t>- Art und Weise der Erstellung der Gewinn- und Verlustrechnung sowie der Kapitalflussrechnung.</t>
  </si>
  <si>
    <r>
      <t>Der Abgang der Handelswaren erfolgt nach der FIFO-Methode/</t>
    </r>
    <r>
      <rPr>
        <sz val="10"/>
        <color rgb="FFFF0000"/>
        <rFont val="Arial"/>
        <family val="2"/>
      </rPr>
      <t>nach dem gewogenen Durchschnittspreis.</t>
    </r>
  </si>
  <si>
    <r>
      <t xml:space="preserve">Die fertigen Erzeugnisse werden dann zu den geplanten Herstellungskosten bewertet, </t>
    </r>
    <r>
      <rPr>
        <sz val="10"/>
        <color rgb="FFFF0000"/>
        <rFont val="Arial"/>
        <family val="2"/>
      </rPr>
      <t>wenn</t>
    </r>
    <r>
      <rPr>
        <sz val="10"/>
        <rFont val="Arial"/>
        <family val="2"/>
      </rPr>
      <t xml:space="preserve"> die </t>
    </r>
    <r>
      <rPr>
        <sz val="10"/>
        <color rgb="FFFF0000"/>
        <rFont val="Arial"/>
        <family val="2"/>
      </rPr>
      <t>Differenz</t>
    </r>
    <r>
      <rPr>
        <sz val="10"/>
        <rFont val="Arial"/>
        <family val="2"/>
      </rPr>
      <t xml:space="preserve"> zwischen den geplanten und den tatsächlichen Herstellungskosten gering </t>
    </r>
    <r>
      <rPr>
        <sz val="10"/>
        <color rgb="FFFF0000"/>
        <rFont val="Arial"/>
        <family val="2"/>
      </rPr>
      <t>ist.</t>
    </r>
  </si>
  <si>
    <t>Methode zur Kalkulation der Wertberichtigungen auf Vorräte</t>
  </si>
  <si>
    <t>Die Wertberichtigungen auf Vorräte werden einmal im Jahr vorgenommen. Die Vorräte gelten nach zwei Jahren ab deren Erfassung in den Büchern als veraltet und werden zu 100% wertberichtigt.</t>
  </si>
  <si>
    <r>
      <t xml:space="preserve">Verbindlichkeiten werden zu Rückzahlungsbeträgen ausgewiesen. Der Betrag beinhaltet den Nominalwert der Verbindlichkeiten zuzüglich Verzugszinsen. Die Zinsen werden im Laufe des Jahres aufgrund von Lastschriften der Lieferanten unter den Finanzaufwendungen verbucht. Zum Ende des Geschäftsjahres werden die Zinsen aufgrund der Überprüfung des Bestandes der Verbindlichkeiten zum Ende des Geschäftsjahres und der mit den Lieferanten vereinbarten Zahlungsfristen </t>
    </r>
    <r>
      <rPr>
        <sz val="10"/>
        <color rgb="FFFF0000"/>
        <rFont val="Arial"/>
        <family val="2"/>
      </rPr>
      <t>zu</t>
    </r>
    <r>
      <rPr>
        <sz val="10"/>
        <rFont val="Arial"/>
        <family val="2"/>
      </rPr>
      <t xml:space="preserve"> einem Gesamtwert verbucht.</t>
    </r>
  </si>
  <si>
    <t>Kurzfristige Investitionen werden zum Zeitpunkt deren Anschaffung oder Herstellung zu Einkaufspreisen bzw. Anschaffungskosten bewertet.</t>
  </si>
  <si>
    <r>
      <t xml:space="preserve">Der Abgang von gleichen Investitionen, deren Anschaffungskosten jedoch unterschiedlich sind, erfolgt nach der FIFO-Methode. Das Gleiche gilt für Investitionen, die aufgrund ihrer Ähnlichkeit und Zweckbestimmung als </t>
    </r>
    <r>
      <rPr>
        <sz val="10"/>
        <color rgb="FFFF0000"/>
        <rFont val="Arial"/>
        <family val="2"/>
      </rPr>
      <t>gleich</t>
    </r>
    <r>
      <rPr>
        <sz val="10"/>
        <rFont val="Arial"/>
        <family val="2"/>
      </rPr>
      <t xml:space="preserve"> anerkannt werden.</t>
    </r>
  </si>
  <si>
    <t>Langfristige Investitionen werden zum Zeitpunkt deren Anschaffung oder Herstellung zu Anschaffungskosten bewertet.</t>
  </si>
  <si>
    <r>
      <t xml:space="preserve">Der Abgang von gleichen Investitionen, deren Anschaffungskosten jedoch unterschiedlich sind, erfolgt nach der FIFO-Methode. Das Gleiche gilt für langfristige Investitionen, die aufgrund ihrer Ähnlichkeit und Zweckbestimmung als </t>
    </r>
    <r>
      <rPr>
        <sz val="10"/>
        <color rgb="FFFF0000"/>
        <rFont val="Arial"/>
        <family val="2"/>
      </rPr>
      <t>gleich</t>
    </r>
    <r>
      <rPr>
        <sz val="10"/>
        <rFont val="Arial"/>
        <family val="2"/>
      </rPr>
      <t xml:space="preserve"> anerkannt werden.</t>
    </r>
  </si>
  <si>
    <r>
      <t xml:space="preserve">Verträge über Dienstleistungen und Arbeiten mit einer Durchführungsdauer von bis zu 6 Monaten werden bis zur Beendigung der Vertragsdurchführung in Höhe der getragenen </t>
    </r>
    <r>
      <rPr>
        <sz val="10"/>
        <color rgb="FFFF0000"/>
        <rFont val="Arial"/>
        <family val="2"/>
        <charset val="238"/>
      </rPr>
      <t>direkten</t>
    </r>
    <r>
      <rPr>
        <sz val="10"/>
        <rFont val="Arial"/>
        <family val="2"/>
      </rPr>
      <t xml:space="preserve"> Kosten in den Büchern erfasst und als unfertige Arbeiten (Leistungen) ausgewiesen. </t>
    </r>
  </si>
  <si>
    <r>
      <t xml:space="preserve">Erlöse werden zu Beträgen aus Teilrechnungen und Abnahmeprotokollen in den Büchern erfasst, und die damit verbundenen Teilkosten werden als Differenz zwischen den tatsächlichen Kosten und den Kosten, die infolge der Inventur </t>
    </r>
    <r>
      <rPr>
        <sz val="10"/>
        <color rgb="FFFF0000"/>
        <rFont val="Arial"/>
        <family val="2"/>
      </rPr>
      <t>der ausgeführten Arbeiten oder Denstleistungen</t>
    </r>
    <r>
      <rPr>
        <sz val="10"/>
        <rFont val="Arial"/>
        <family val="2"/>
      </rPr>
      <t xml:space="preserve"> als Teil der unfertigen </t>
    </r>
    <r>
      <rPr>
        <sz val="10"/>
        <color rgb="FFFF0000"/>
        <rFont val="Arial"/>
        <family val="2"/>
      </rPr>
      <t>Erzeugnisse</t>
    </r>
    <r>
      <rPr>
        <sz val="10"/>
        <rFont val="Arial"/>
        <family val="2"/>
      </rPr>
      <t xml:space="preserve"> gelten, erfasst. </t>
    </r>
  </si>
  <si>
    <r>
      <t xml:space="preserve">Kosten, die sich aus Verträgen mit einer Durchführungsdauer von mehr als 6 Monaten ergeben, gelten als bis zum Bilanzstichtag </t>
    </r>
    <r>
      <rPr>
        <sz val="10"/>
        <color rgb="FFFF0000"/>
        <rFont val="Arial"/>
        <family val="2"/>
        <charset val="238"/>
      </rPr>
      <t>getragene Kosten</t>
    </r>
    <r>
      <rPr>
        <sz val="10"/>
        <rFont val="Arial"/>
        <family val="2"/>
      </rPr>
      <t>.</t>
    </r>
  </si>
  <si>
    <r>
      <t xml:space="preserve">Umsatzerlöse gelten als Betriebseinnahmen zum Zeitpunkt der Warenlieferung, soweit die Gesellschaft die erheblichen Risiken und Vorteile aus dem Eigentumsrecht an Waren überlassen hat, oder zum Zeitpunkt der Leistungserbringung. Der Verkauf wird zum Nettowert ausgewiesen, d.h. ohne Berücksichtigung der Umsatzsteuer, jedoch </t>
    </r>
    <r>
      <rPr>
        <sz val="10"/>
        <color rgb="FFFF0000"/>
        <rFont val="Arial"/>
        <family val="2"/>
      </rPr>
      <t>nach</t>
    </r>
    <r>
      <rPr>
        <sz val="10"/>
        <rFont val="Arial"/>
        <family val="2"/>
      </rPr>
      <t xml:space="preserve"> Berücksichtigung aller gewährten Rabatte.</t>
    </r>
  </si>
  <si>
    <t>Ermittlung des Ergebnisses</t>
  </si>
  <si>
    <t>Ergänzende Information, die sich aus den Bedürfnissen bzw. Eigenart der Gesellschaft ergibt</t>
  </si>
  <si>
    <t>Führung der Handelsbücher</t>
  </si>
  <si>
    <t>Nach dem Bilanzstichtag traten keine Vorfälle auf, die auf den Jahresabschluss Einfluss haben könnten.</t>
  </si>
  <si>
    <t>Activity discontinued in the financial year</t>
  </si>
  <si>
    <t>Type of activity</t>
  </si>
  <si>
    <t>Revenues</t>
  </si>
  <si>
    <t>Costs</t>
  </si>
  <si>
    <t>Profit (loss)</t>
  </si>
  <si>
    <t>Activity expected to be discontinued in the next financial year</t>
  </si>
  <si>
    <t>Company's identification data</t>
  </si>
  <si>
    <t>Tax ID number NIP:</t>
  </si>
  <si>
    <t>KRS number:</t>
  </si>
  <si>
    <t>Company's full name:</t>
  </si>
  <si>
    <t>Registered office and address:</t>
  </si>
  <si>
    <t>Street:</t>
  </si>
  <si>
    <t>City/town:</t>
  </si>
  <si>
    <t>Postal code:</t>
  </si>
  <si>
    <t>Municipality:</t>
  </si>
  <si>
    <t>District:</t>
  </si>
  <si>
    <t>Province:</t>
  </si>
  <si>
    <t>Foreign address (optional):</t>
  </si>
  <si>
    <t>PKD codes describing the Company's basic activity:</t>
  </si>
  <si>
    <t>Limited to:</t>
  </si>
  <si>
    <t>date from:</t>
  </si>
  <si>
    <t>date to:</t>
  </si>
  <si>
    <t>Information that the financial statements include consolidated data</t>
  </si>
  <si>
    <t>The following circumstances threaten the Company's ability to continue as a going concern:</t>
  </si>
  <si>
    <t xml:space="preserve">Information whether the financial statements are prepared after a merger </t>
  </si>
  <si>
    <t>Accounting principles (policy)</t>
  </si>
  <si>
    <t xml:space="preserve">Accounting Principles </t>
  </si>
  <si>
    <t>In the current financial year, there were no changes to:</t>
  </si>
  <si>
    <t>- method of preparing the income statement and the cash flow statement.</t>
  </si>
  <si>
    <t>Method for calculating value-adjustment write-downs of inventories</t>
  </si>
  <si>
    <t>Value adjustment write-downs of inventories are made once a year. Inventories are considered overdue two years after being recognised in the accounting records, in which case they are written off.</t>
  </si>
  <si>
    <t>Determination of the net profit (loss)</t>
  </si>
  <si>
    <t>Further details required due to the needs or the specific nature of the Company's business</t>
  </si>
  <si>
    <t>After the balance sheet date there were no events that could affect the Company's financial statements.</t>
  </si>
  <si>
    <t xml:space="preserve">Intangible assets are recognised at acquisition or production cost reduced by the amortisation charges made. The acquisition cost includes the purchase price and other expenses associated with acquiring or adapting a given item of the intangible assets for use. </t>
  </si>
  <si>
    <t>Decisions as to merchantability or usability of the raw materials in stock, for the purpose of establishing whether or not value adjustment write-downs should be made, are taken by the Company's managing body during annual stocktaking.</t>
  </si>
  <si>
    <t>The acquisition cost includes the purchase price and other expenses associated with the acquiring of merchandise. If expenses associated with acquiring merchandise (for instance, cost of transportation, insurance costs, etc.) are not significant, merchandise is valued at the purchase price not higher than its selling price as of the balance sheet date.</t>
  </si>
  <si>
    <t>Decisions as to merchantability or usability of the merchandise in stock, for the purpose of establishing whether or not value adjustment write-downs should be made, are taken by the Company's managing body during annual stocktaking.</t>
  </si>
  <si>
    <t>Finished goods are measured at the target production costs when the difference between the target and the actual production costs is not significant.</t>
  </si>
  <si>
    <t>Decisions as to merchantability or usability of the finished goods in stock, for the purpose of establishing whether or not value adjustment write-downs should be made, are made by the Company's managing body during annual stocktaking.</t>
  </si>
  <si>
    <t>Value adjustment write-downs of non-overdue, overdue, contested and doubtful debts are made on the basis of the decision taken by the Company's managing body.</t>
  </si>
  <si>
    <t>Contracts for services and work to be performed within up to 6 months</t>
  </si>
  <si>
    <t xml:space="preserve">Contracts for services and work to be performed within up to 6 months are recognised in the books until the contract performance is completed, in the amounts of direct costs incurred, and are classified as work (service) in progress. </t>
  </si>
  <si>
    <t xml:space="preserve">Revenues are recognised in the books in amounts arising from invoices for partial services and acceptance records, and the related partial expenses are established as a difference between actually incurred expenses and those classified, based on the stocktaking of work or services performed, as components of work in progress. </t>
  </si>
  <si>
    <r>
      <t xml:space="preserve">Contracts for services and work to be performed </t>
    </r>
    <r>
      <rPr>
        <sz val="10"/>
        <rFont val="Arial"/>
        <family val="2"/>
        <charset val="238"/>
      </rPr>
      <t>within more</t>
    </r>
    <r>
      <rPr>
        <sz val="10"/>
        <rFont val="Arial"/>
        <family val="2"/>
      </rPr>
      <t xml:space="preserve"> than 6 months</t>
    </r>
  </si>
  <si>
    <t>Contracts for services and work to be performed within more than 6 months are recognised in the books according to the percentage of completion method.</t>
  </si>
  <si>
    <t>The percentage of completion of an unfinished contract is established as a share of the contract performance costs incurred from the date of signing the contract till the balance sheet date in the total costs of the contract.</t>
  </si>
  <si>
    <t>Revenues from contracts for services and work to be performed within a period longer than 6 months for which it is not possible to reliably establish the percentage of completion are recognised at the level of the costs incurred, in an amount that is guaranteed to be covered by the commissioning party.</t>
  </si>
  <si>
    <t>Deferred tax assets are established in the amount anticipated to be deducted in the future from income tax, in relation to negative temporary differences which will, in the future, decrease the income tax base and the deductible tax loss determined according to the principle of prudence.</t>
  </si>
  <si>
    <t>the declining balance method.</t>
  </si>
  <si>
    <t>degressiv abgeschrieben.</t>
  </si>
  <si>
    <t>symbol</t>
  </si>
  <si>
    <t>Uprawa zbóż, roślin strączkowych i roślin oleistych na nasiona, z wyłączeniem ryżu</t>
  </si>
  <si>
    <t>Uprawa ryżu</t>
  </si>
  <si>
    <t>Uprawa warzyw, włączając melony oraz uprawa roślin korzeniowych i roślin bulwiastych</t>
  </si>
  <si>
    <t>Uprawa trzciny cukrowej</t>
  </si>
  <si>
    <t>Uprawa tytoniu</t>
  </si>
  <si>
    <t>Uprawa roślin włóknistych</t>
  </si>
  <si>
    <t>Pozostałe uprawy rolne inne niż wieloletnie</t>
  </si>
  <si>
    <t>Uprawa winogron</t>
  </si>
  <si>
    <t>Uprawa drzew i krzewów owocowych tropikalnych i podzwrotnikowych</t>
  </si>
  <si>
    <t>Uprawa drzew i krzewów owocowych cytrusowych</t>
  </si>
  <si>
    <t>Uprawa drzew i krzewów owocowych ziarnkowych i pestkowych</t>
  </si>
  <si>
    <t>Uprawa pozostałych drzew i krzewów owocowych oraz orzechów</t>
  </si>
  <si>
    <t>Uprawa drzew oleistych</t>
  </si>
  <si>
    <t>Uprawa roślin wykorzystywanych do produkcji napojów</t>
  </si>
  <si>
    <t>Uprawa roślin przyprawowych i aromatycznych oraz roślin wykorzystywanych do produkcji leków i wyrobów farmaceutycznych</t>
  </si>
  <si>
    <t>Uprawa pozostałych roślin wieloletnich</t>
  </si>
  <si>
    <t>Rozmnażanie roślin</t>
  </si>
  <si>
    <t>Chów i hodowla bydła mlecznego</t>
  </si>
  <si>
    <t>Chów i hodowla pozostałego bydła i bawołów</t>
  </si>
  <si>
    <t>Chów i hodowla koni i pozostałych zwierząt koniowatych</t>
  </si>
  <si>
    <t>Chów i hodowla wielbłądów i zwierząt wielbłądowatych</t>
  </si>
  <si>
    <t>Chów i hodowla owiec i kóz</t>
  </si>
  <si>
    <t>Chów i hodowla świń</t>
  </si>
  <si>
    <t>Chów i hodowla drobiu</t>
  </si>
  <si>
    <t>Chów i hodowla pozostałych zwierząt</t>
  </si>
  <si>
    <t>Uprawy rolne połączone z chowem i hodowlą zwierząt (działalność mieszana)</t>
  </si>
  <si>
    <t>Działalność usługowa wspomagająca produkcję roślinną</t>
  </si>
  <si>
    <t>Działalność usługowa wspomagająca chów i hodowlę zwierząt gospodarskich</t>
  </si>
  <si>
    <t>Działalność usługowa następująca po zbiorach</t>
  </si>
  <si>
    <t>Obróbka nasion dla celów rozmnażania roślin</t>
  </si>
  <si>
    <t>Łowiectwo i pozyskiwanie zwierząt łownych, włączając działalność usługową</t>
  </si>
  <si>
    <t>Gospodarka leśna i pozostała działalność leśna, z wyłączeniem pozyskiwania produktów leśnych</t>
  </si>
  <si>
    <t>Pozyskiwanie drewna</t>
  </si>
  <si>
    <t>Pozyskiwanie dziko rosnących produktów leśnych, z wyłączeniem drewna</t>
  </si>
  <si>
    <t>Działalność usługowa związana z leśnictwem</t>
  </si>
  <si>
    <t>Rybołówstwo w wodach morskich</t>
  </si>
  <si>
    <t>Rybołówstwo w wodach śródlądowych</t>
  </si>
  <si>
    <t>Chów i hodowla ryb oraz pozostałych organizmów wodnych w wodach morskich</t>
  </si>
  <si>
    <t>Chów i hodowla ryb oraz pozostałych organizmów wodnych w wodach śródlądowych</t>
  </si>
  <si>
    <t>Wydobywanie węgla kamiennego</t>
  </si>
  <si>
    <t>Wydobywanie węgla brunatnego (lignitu)</t>
  </si>
  <si>
    <t>Górnictwo ropy naftowej</t>
  </si>
  <si>
    <t>Górnictwo gazu ziemnego</t>
  </si>
  <si>
    <t>Górnictwo rud żelaza</t>
  </si>
  <si>
    <t>Górnictwo rud uranu i toru</t>
  </si>
  <si>
    <t>Górnictwo pozostałych rud metali nieżelaznych</t>
  </si>
  <si>
    <t>Wydobywanie kamieni ozdobnych oraz kamienia dla potrzeb budownictwa, skał wapiennych, gipsu, kredy i łupków</t>
  </si>
  <si>
    <t>Wydobywanie żwiru i piasku; wydobywanie gliny i kaolinu</t>
  </si>
  <si>
    <t>Wydobywanie minerałów dla przemysłu chemicznego oraz do produkcji nawozów</t>
  </si>
  <si>
    <t>Wydobywanie torfu</t>
  </si>
  <si>
    <t>Wydobywanie soli</t>
  </si>
  <si>
    <t>Pozostałe górnictwo i wydobywanie, gdzie indziej niesklasyfikowane</t>
  </si>
  <si>
    <t>Działalność usługowa wspomagająca eksploatację złóż ropy naftowej i gazu ziemnego</t>
  </si>
  <si>
    <t>Działalność usługowa wspomagająca pozostałe górnictwo i wydobywanie</t>
  </si>
  <si>
    <t>Przetwarzanie i konserwowanie mięsa, z wyłączeniem mięsa z drobiu</t>
  </si>
  <si>
    <t>Przetwarzanie i konserwowanie mięsa z drobiu</t>
  </si>
  <si>
    <t>Produkcja wyrobów z mięsa, włączając wyroby z mięsa drobiowego</t>
  </si>
  <si>
    <t>Przetwarzanie i konserwowanie ryb, skorupiaków i mięczaków</t>
  </si>
  <si>
    <t>Przetwarzanie i konserwowanie ziemniaków</t>
  </si>
  <si>
    <t>Produkcja soków z owoców i warzyw</t>
  </si>
  <si>
    <t>Pozostałe przetwarzanie i konserwowanie owoców i warzyw</t>
  </si>
  <si>
    <t>Produkcja olejów i pozostałych tłuszczów płynnych</t>
  </si>
  <si>
    <t>Produkcja margaryny i podobnych tłuszczów jadalnych</t>
  </si>
  <si>
    <t>Przetwórstwo mleka i wyrób serów</t>
  </si>
  <si>
    <t>Produkcja lodów</t>
  </si>
  <si>
    <t>Wytwarzanie produktów przemiału zbóż</t>
  </si>
  <si>
    <t>Wytwarzanie skrobi i wyrobów skrobiowych</t>
  </si>
  <si>
    <t>Produkcja pieczywa; produkcja świeżych wyrobów ciastkarskich i ciastek</t>
  </si>
  <si>
    <t>Produkcja sucharów i herbatników; produkcja konserwowanych wyrobów ciastkarskich i ciastek</t>
  </si>
  <si>
    <t>Produkcja makaronów, klusek, kuskusu i podobnych wyrobów mącznych</t>
  </si>
  <si>
    <t>Produkcja cukru</t>
  </si>
  <si>
    <t>Produkcja kakao, czekolady i wyrobów cukierniczych</t>
  </si>
  <si>
    <t>Przetwórstwo herbaty i kawy</t>
  </si>
  <si>
    <t>Produkcja przypraw</t>
  </si>
  <si>
    <t>Wytwarzanie gotowych posiłków i dań</t>
  </si>
  <si>
    <t>Produkcja artykułów spożywczych homogenizowanych i żywności dietetycznej</t>
  </si>
  <si>
    <t>Produkcja pozostałych artykułów spożywczych, gdzie indziej niesklasyfikowana</t>
  </si>
  <si>
    <t>Produkcja gotowej paszy dla zwierząt gospodarskich</t>
  </si>
  <si>
    <t>Produkcja gotowej karmy dla zwierząt domowych</t>
  </si>
  <si>
    <t>Destylowanie, rektyfikowanie i mieszanie alkoholi</t>
  </si>
  <si>
    <t>Produkcja win gronowych</t>
  </si>
  <si>
    <t>Produkcja cydru i pozostałych win owocowych</t>
  </si>
  <si>
    <t>Produkcja pozostałych niedestylowanych napojów fermentowanych</t>
  </si>
  <si>
    <t>Produkcja piwa</t>
  </si>
  <si>
    <t>Produkcja słodu</t>
  </si>
  <si>
    <t>Produkcja napojów bezalkoholowych; produkcja wód mineralnych i pozostałych wód butelkowanych</t>
  </si>
  <si>
    <t>PRODUKCJA WYROBÓW TYTONIOWYCH</t>
  </si>
  <si>
    <t>Produkcja przędzy bawełnianej</t>
  </si>
  <si>
    <t>Produkcja przędzy wełnianej</t>
  </si>
  <si>
    <t>Produkcja przędzy z włókien chemicznych</t>
  </si>
  <si>
    <t>Produkcja przędzy z pozostałych włókien tekstylnych, włączając produkcję nici</t>
  </si>
  <si>
    <t>Produkcja tkanin bawełnianych</t>
  </si>
  <si>
    <t>Produkcja tkanin wełnianych</t>
  </si>
  <si>
    <t>Produkcja tkanin z włókien chemicznych</t>
  </si>
  <si>
    <t>Produkcja pozostałych tkanin</t>
  </si>
  <si>
    <t>Wykończanie wyrobów włókienniczych</t>
  </si>
  <si>
    <t>Produkcja dzianin metrażowych</t>
  </si>
  <si>
    <t>Produkcja gotowych wyrobów tekstylnych</t>
  </si>
  <si>
    <t>Produkcja dywanów i chodników</t>
  </si>
  <si>
    <t>Produkcja wyrobów powroźniczych, lin, szpagatów i wyrobów sieciowych</t>
  </si>
  <si>
    <t>Produkcja włóknin i wyrobów wykonanych z włóknin, z wyłączeniem odzieży</t>
  </si>
  <si>
    <t>Produkcja pozostałych technicznych i przemysłowych wyrobów tekstylnych</t>
  </si>
  <si>
    <t>Produkcja pozostałych wyrobów tekstylnych, gdzie indziej niesklasyfikowana</t>
  </si>
  <si>
    <t>Produkcja odzieży skórzanej</t>
  </si>
  <si>
    <t>Produkcja odzieży roboczej</t>
  </si>
  <si>
    <t>Produkcja pozostałej odzieży wierzchniej</t>
  </si>
  <si>
    <t>Produkcja bielizny</t>
  </si>
  <si>
    <t>Produkcja pozostałej odzieży i dodatków do odzieży</t>
  </si>
  <si>
    <t>Produkcja wyrobów futrzarskich</t>
  </si>
  <si>
    <t>Produkcja wyrobów pończoszniczych</t>
  </si>
  <si>
    <t>Produkcja pozostałej odzieży dzianej</t>
  </si>
  <si>
    <t>Wyprawa skór, garbowanie; wyprawa i barwienie skór futerkowych</t>
  </si>
  <si>
    <t>Produkcja toreb bagażowych, toreb ręcznych i podobnych wyrobów kaletniczych; produkcja wyrobów rymarskich</t>
  </si>
  <si>
    <t>Produkcja obuwia</t>
  </si>
  <si>
    <t>Produkcja wyrobów tartacznych</t>
  </si>
  <si>
    <t>Produkcja arkuszy fornirowych i płyt wykonanych na bazie drewna</t>
  </si>
  <si>
    <t>Produkcja gotowych parkietów podłogowych</t>
  </si>
  <si>
    <t>Produkcja pozostałych wyrobów stolarskich i ciesielskich dla budownictwa</t>
  </si>
  <si>
    <t>Produkcja opakowań drewnianych</t>
  </si>
  <si>
    <t>Produkcja pozostałych wyrobów z drewna; produkcja wyrobów z korka, słomy i materiałów używanych do wyplatania</t>
  </si>
  <si>
    <t>Produkcja masy włóknistej</t>
  </si>
  <si>
    <t>Produkcja papieru i tektury</t>
  </si>
  <si>
    <t>Produkcja papieru falistego i tektury falistej oraz opakowań z papieru i tektury</t>
  </si>
  <si>
    <t>Produkcja artykułów gospodarstwa domowego, toaletowych i sanitarnych</t>
  </si>
  <si>
    <t>Produkcja artykułów piśmiennych</t>
  </si>
  <si>
    <t>Produkcja tapet</t>
  </si>
  <si>
    <t>Produkcja pozostałych wyrobów z papieru i tektury</t>
  </si>
  <si>
    <t>Drukowanie gazet</t>
  </si>
  <si>
    <t>Pozostałe drukowanie</t>
  </si>
  <si>
    <t>Działalność usługowa związana z przygotowywaniem do druku</t>
  </si>
  <si>
    <t>Introligatorstwo i podobne usługi</t>
  </si>
  <si>
    <t>Reprodukcja zapisanych nośników informacji</t>
  </si>
  <si>
    <t>Wytwarzanie i przetwarzanie koksu</t>
  </si>
  <si>
    <t>Wytwarzanie i przetwarzanie produktów rafinacji ropy naftowej</t>
  </si>
  <si>
    <t>Produkcja gazów technicznych</t>
  </si>
  <si>
    <t>Produkcja barwników i pigmentów</t>
  </si>
  <si>
    <t>Produkcja pozostałych podstawowych chemikaliów nieorganicznych</t>
  </si>
  <si>
    <t>Produkcja pozostałych podstawowych chemikaliów organicznych</t>
  </si>
  <si>
    <t>Produkcja nawozów i związków azotowych</t>
  </si>
  <si>
    <t>Produkcja tworzyw sztucznych w formach podstawowych</t>
  </si>
  <si>
    <t>Produkcja kauczuku syntetycznego w formach podstawowych</t>
  </si>
  <si>
    <t>Produkcja pestycydów i pozostałych środków agrochemicznych</t>
  </si>
  <si>
    <t>Produkcja farb, lakierów i podobnych powłok, farb drukarskich i mas uszczelniających</t>
  </si>
  <si>
    <t>Produkcja mydła i detergentów, środków myjących i czyszczących</t>
  </si>
  <si>
    <t>Produkcja wyrobów kosmetycznych i toaletowych</t>
  </si>
  <si>
    <t>Produkcja materiałów wybuchowych</t>
  </si>
  <si>
    <t>Produkcja klejów</t>
  </si>
  <si>
    <t>Produkcja olejków eterycznych</t>
  </si>
  <si>
    <t>Produkcja pozostałych wyrobów chemicznych, gdzie indziej niesklasyfikowana</t>
  </si>
  <si>
    <t>Produkcja włókien chemicznych</t>
  </si>
  <si>
    <t>Produkcja podstawowych substancji farmaceutycznych</t>
  </si>
  <si>
    <t>Produkcja leków i pozostałych wyrobów farmaceutycznych</t>
  </si>
  <si>
    <t>Produkcja opon i dętek z gumy; bieżnikowanie i regenerowanie opon z gumy</t>
  </si>
  <si>
    <t>Produkcja pozostałych wyrobów z gumy</t>
  </si>
  <si>
    <t>Produkcja płyt, arkuszy, rur i kształtowników z tworzyw sztucznych</t>
  </si>
  <si>
    <t>Produkcja opakowań z tworzyw sztucznych</t>
  </si>
  <si>
    <t>Produkcja wyrobów dla budownictwa z tworzyw sztucznych</t>
  </si>
  <si>
    <t>Produkcja pozostałych wyrobów z tworzyw sztucznych</t>
  </si>
  <si>
    <t>Produkcja szkła płaskiego</t>
  </si>
  <si>
    <t>Kształtowanie i obróbka szkła płaskiego</t>
  </si>
  <si>
    <t>Produkcja szkła gospodarczego</t>
  </si>
  <si>
    <t>Produkcja włókien szklanych</t>
  </si>
  <si>
    <t>Produkcja i obróbka pozostałego szkła, włączając szkło techniczne</t>
  </si>
  <si>
    <t>Produkcja wyrobów ogniotrwałych</t>
  </si>
  <si>
    <t>Produkcja ceramicznych kafli i płytek</t>
  </si>
  <si>
    <t>Produkcja cegieł, dachówek i materiałów budowlanych, z wypalanej gliny</t>
  </si>
  <si>
    <t>Produkcja ceramicznych wyrobów stołowych i ozdobnych</t>
  </si>
  <si>
    <t>Produkcja ceramicznych wyrobów sanitarnych</t>
  </si>
  <si>
    <t>Produkcja ceramicznych izolatorów i osłon izolacyjnych</t>
  </si>
  <si>
    <t>Produkcja pozostałych technicznych wyrobów ceramicznych</t>
  </si>
  <si>
    <t>Produkcja pozostałych wyrobów ceramicznych</t>
  </si>
  <si>
    <t>Produkcja cementu</t>
  </si>
  <si>
    <t>Produkcja wapna i gipsu</t>
  </si>
  <si>
    <t>Produkcja wyrobów budowlanych z betonu</t>
  </si>
  <si>
    <t>Produkcja wyrobów budowlanych z gipsu</t>
  </si>
  <si>
    <t>Produkcja masy betonowej prefabrykowanej</t>
  </si>
  <si>
    <t>Produkcja zaprawy murarskiej</t>
  </si>
  <si>
    <t>Produkcja cementu wzmocnionego włóknem</t>
  </si>
  <si>
    <t>Produkcja pozostałych wyrobów z betonu, gipsu i cementu</t>
  </si>
  <si>
    <t>Cięcie, formowanie i wykańczanie kamienia</t>
  </si>
  <si>
    <t>Produkcja wyrobów ściernych</t>
  </si>
  <si>
    <t>Produkcja pozostałych wyrobów z mineralnych surowców niemetalicznych, gdzie indziej niesklasyfikowana</t>
  </si>
  <si>
    <t>Produkcja surówki, żelazostopów, żeliwa i stali oraz wyrobów hutniczych</t>
  </si>
  <si>
    <t>Produkcja rur, przewodów, kształtowników zamkniętych i łączników, ze stali</t>
  </si>
  <si>
    <t>Produkcja prętów ciągnionych na zimno</t>
  </si>
  <si>
    <t>Produkcja wyrobów płaskich walcowanych na zimno</t>
  </si>
  <si>
    <t>Produkcja wyrobów formowanych na zimno</t>
  </si>
  <si>
    <t>Produkcja drutu</t>
  </si>
  <si>
    <t>Produkcja metali szlachetnych</t>
  </si>
  <si>
    <t>Produkcja aluminium hutniczego</t>
  </si>
  <si>
    <t>Produkcja wyrobów z aluminium i stopów aluminium</t>
  </si>
  <si>
    <t>Produkcja ołowiu, cynku i cyny</t>
  </si>
  <si>
    <t>Produkcja miedzi</t>
  </si>
  <si>
    <t>Produkcja pozostałych metali nieżelaznych</t>
  </si>
  <si>
    <t>Wytwarzanie paliw jądrowych</t>
  </si>
  <si>
    <t>Odlewnictwo żeliwa</t>
  </si>
  <si>
    <t>Odlewnictwo staliwa</t>
  </si>
  <si>
    <t>Odlewnictwo metali lekkich</t>
  </si>
  <si>
    <t>Odlewnictwo miedzi i stopów miedzi</t>
  </si>
  <si>
    <t>Odlewnictwo pozostałych metali nieżelaznych, gdzie indziej niesklasyfikowane</t>
  </si>
  <si>
    <t>Produkcja konstrukcji metalowych i ich części</t>
  </si>
  <si>
    <t>Produkcja metalowych elementów stolarki budowlanej</t>
  </si>
  <si>
    <t>Produkcja grzejników i kotłów centralnego ogrzewania</t>
  </si>
  <si>
    <t>Produkcja pozostałych zbiorników, cystern i pojemników metalowych</t>
  </si>
  <si>
    <t>Produkcja wytwornic pary, z wyłączeniem kotłów do centralnego ogrzewania gorącą wodą</t>
  </si>
  <si>
    <t>Produkcja broni i amunicji</t>
  </si>
  <si>
    <t>Kucie, prasowanie, wytłaczanie i walcowanie metali; metalurgia proszków</t>
  </si>
  <si>
    <t>Obróbka metali i nakładanie powłok na metale</t>
  </si>
  <si>
    <t>Obróbka mechaniczna elementów metalowych</t>
  </si>
  <si>
    <t>Produkcja wyrobów nożowniczych i sztućców</t>
  </si>
  <si>
    <t>Produkcja zamków i zawiasów</t>
  </si>
  <si>
    <t>Produkcja narzędzi</t>
  </si>
  <si>
    <t>Produkcja pojemników metalowych</t>
  </si>
  <si>
    <t xml:space="preserve">Produkcja opakowań z metali </t>
  </si>
  <si>
    <t>Produkcja wyrobów z drutu, łańcuchów i sprężyn</t>
  </si>
  <si>
    <t>Produkcja złączy i śrub</t>
  </si>
  <si>
    <t>Produkcja pozostałych gotowych wyrobów metalowych, gdzie indziej niesklasyfikowana</t>
  </si>
  <si>
    <t>Produkcja elementów elektronicznych</t>
  </si>
  <si>
    <t>Produkcja elektronicznych obwodów drukowanych</t>
  </si>
  <si>
    <t>Produkcja komputerów i urządzeń peryferyjnych</t>
  </si>
  <si>
    <t>Produkcja sprzętu (tele)komunikacyjnego</t>
  </si>
  <si>
    <t>Produkcja elektronicznego sprzętu powszechnego użytku</t>
  </si>
  <si>
    <t>Produkcja instrumentów i przyrządów pomiarowych, kontrolnych i nawigacyjnych</t>
  </si>
  <si>
    <t>Produkcja zegarków i zegarów</t>
  </si>
  <si>
    <t>Produkcja urządzeń napromieniowujących, sprzętu elektromedycznego i elektroterapeutycznego</t>
  </si>
  <si>
    <t>Produkcja instrumentów optycznych i sprzętu fotograficznego</t>
  </si>
  <si>
    <t>Produkcja magnetycznych i optycznych niezapisanych nośników informacji</t>
  </si>
  <si>
    <t>Produkcja elektrycznych silników, prądnic i transformatorów</t>
  </si>
  <si>
    <t>Produkcja aparatury rozdzielczej i sterowniczej energii elektrycznej</t>
  </si>
  <si>
    <t>Produkcja baterii i akumulatorów</t>
  </si>
  <si>
    <t>Produkcja kabli światłowodowych</t>
  </si>
  <si>
    <t>Produkcja pozostałych elektronicznych i elektrycznych przewodów i kabli</t>
  </si>
  <si>
    <t>Produkcja sprzętu instalacyjnego</t>
  </si>
  <si>
    <t>Produkcja elektrycznego sprzętu oświetleniowego</t>
  </si>
  <si>
    <t>Produkcja elektrycznego sprzętu gospodarstwa domowego</t>
  </si>
  <si>
    <t>Produkcja nieelektrycznego sprzętu gospodarstwa domowego</t>
  </si>
  <si>
    <t>Produkcja pozostałego sprzętu elektrycznego</t>
  </si>
  <si>
    <t>Produkcja silników i turbin, z wyłączeniem silników lotniczych, samochodowych i motocyklowych</t>
  </si>
  <si>
    <t>Produkcja sprzętu i wyposażenia do napędu hydraulicznego i pneumatycznego</t>
  </si>
  <si>
    <t>Produkcja pozostałych pomp i sprężarek</t>
  </si>
  <si>
    <t>Produkcja pozostałych kurków i zaworów</t>
  </si>
  <si>
    <t>Produkcja łożysk, kół zębatych, przekładni zębatych i elementów napędowych</t>
  </si>
  <si>
    <t>Produkcja pieców, palenisk i palników piecowych</t>
  </si>
  <si>
    <t>Produkcja urządzeń dźwigowych i chwytaków</t>
  </si>
  <si>
    <t>Produkcja maszyn i sprzętu biurowego, z wyłączeniem komputerów i urządzeń peryferyjnych</t>
  </si>
  <si>
    <t>Produkcja narzędzi ręcznych mechanicznych</t>
  </si>
  <si>
    <t>Produkcja przemysłowych urządzeń chłodniczych i wentylacyjnych</t>
  </si>
  <si>
    <t>Produkcja pozostałych maszyn ogólnego przeznaczenia, gdzie indziej niesklasyfikowana</t>
  </si>
  <si>
    <t>Produkcja maszyn dla rolnictwa i leśnictwa</t>
  </si>
  <si>
    <t>Produkcja maszyn do obróbki metalu</t>
  </si>
  <si>
    <t>Produkcja pozostałych narzędzi mechanicznych</t>
  </si>
  <si>
    <t>Produkcja maszyn dla metalurgii</t>
  </si>
  <si>
    <t>Produkcja maszyn dla górnictwa i do wydobywania oraz budownictwa</t>
  </si>
  <si>
    <t>Produkcja maszyn stosowanych w przetwórstwie żywności, tytoniu i produkcji napojów</t>
  </si>
  <si>
    <t>Produkcja maszyn dla przemysłu tekstylnego, odzieżowego i skórzanego</t>
  </si>
  <si>
    <t>Produkcja maszyn dla przemysłu papierniczego</t>
  </si>
  <si>
    <t>Produkcja maszyn do obróbki gumy lub tworzyw sztucznych oraz wytwarzania wyrobów z tych materiałów</t>
  </si>
  <si>
    <t>Produkcja pozostałych maszyn specjalnego przeznaczenia, gdzie indziej niesklasyfikowana</t>
  </si>
  <si>
    <t>Produkcja silników do pojazdów samochodowych (z wyłączeniem motocykli) oraz do ciągników rolniczych</t>
  </si>
  <si>
    <t>Produkcja samochodów osobowych</t>
  </si>
  <si>
    <t>Produkcja autobusów</t>
  </si>
  <si>
    <t>Produkcja pojazdów samochodowych przeznaczonych do przewozu towarów</t>
  </si>
  <si>
    <t>Produkcja pozostałych pojazdów samochodowych, z wyłączeniem motocykli</t>
  </si>
  <si>
    <t>Produkcja nadwozi do pojazdów silnikowych; produkcja przyczep i naczep</t>
  </si>
  <si>
    <t>Produkcja wyposażenia elektrycznego i elektronicznego do pojazdów silnikowych</t>
  </si>
  <si>
    <t>Produkcja pozostałych części i akcesoriów do pojazdów silnikowych, z wyłączeniem motocykli</t>
  </si>
  <si>
    <t>Produkcja statków i konstrukcji pływających</t>
  </si>
  <si>
    <t>Produkcja łodzi wycieczkowych i sportowych</t>
  </si>
  <si>
    <t>Produkcja lokomotyw kolejowych oraz taboru szynowego</t>
  </si>
  <si>
    <t>Produkcja statków powietrznych, statków kosmicznych i podobnych maszyn</t>
  </si>
  <si>
    <t>Produkcja wojskowych pojazdów bojowych</t>
  </si>
  <si>
    <t>Produkcja motocykli</t>
  </si>
  <si>
    <t>Produkcja rowerów i wózków inwalidzkich</t>
  </si>
  <si>
    <t>Produkcja pozostałego sprzętu transportowego, gdzie indziej niesklasyfikowana</t>
  </si>
  <si>
    <t>Produkcja mebli biurowych i sklepowych</t>
  </si>
  <si>
    <t>Produkcja mebli kuchennych</t>
  </si>
  <si>
    <t>Produkcja materaców</t>
  </si>
  <si>
    <t>Produkcja pozostałych mebli</t>
  </si>
  <si>
    <t>Produkcja monet</t>
  </si>
  <si>
    <t>Produkcja wyrobów jubilerskich i podobnych</t>
  </si>
  <si>
    <t>Produkcja sztucznej biżuterii i wyrobów podobnych</t>
  </si>
  <si>
    <t>Produkcja instrumentów muzycznych</t>
  </si>
  <si>
    <t>Produkcja sprzętu sportowego</t>
  </si>
  <si>
    <t>Produkcja gier i zabawek</t>
  </si>
  <si>
    <t>Produkcja urządzeń, instrumentów oraz wyrobów medycznych, włączając dentystyczne</t>
  </si>
  <si>
    <t>Produkcja mioteł, szczotek i pędzli</t>
  </si>
  <si>
    <t>Produkcja pozostałych wyrobów, gdzie indziej niesklasyfikowana</t>
  </si>
  <si>
    <t>Naprawa i konserwacja metalowych wyrobów gotowych</t>
  </si>
  <si>
    <t>Naprawa i konserwacja maszyn</t>
  </si>
  <si>
    <t>Naprawa i konserwacja urządzeń elektronicznych i optycznych</t>
  </si>
  <si>
    <t>Naprawa i konserwacja urządzeń elektrycznych</t>
  </si>
  <si>
    <t>Naprawa i konserwacja statków i łodzi</t>
  </si>
  <si>
    <t>Naprawa i konserwacja statków powietrznych i statków kosmicznych</t>
  </si>
  <si>
    <t>Naprawa i konserwacja pozostałego sprzętu transportowego</t>
  </si>
  <si>
    <t>Naprawa i konserwacja pozostałego sprzętu i wyposażenia</t>
  </si>
  <si>
    <t>Instalowanie maszyn przemysłowych, sprzętu i wyposażenia</t>
  </si>
  <si>
    <t>Wytwarzanie energii elektrycznej</t>
  </si>
  <si>
    <t>Przesyłanie energii elektrycznej</t>
  </si>
  <si>
    <t>Dystrybucja energii elektrycznej</t>
  </si>
  <si>
    <t>Handel energią elektryczną</t>
  </si>
  <si>
    <t>Wytwarzanie paliw gazowych</t>
  </si>
  <si>
    <t>Dystrybucja paliw gazowych w systemie sieciowym</t>
  </si>
  <si>
    <t>Handel paliwami gazowymi w systemie sieciowym</t>
  </si>
  <si>
    <t>Wytwarzanie i zaopatrywanie w parę wodną, gorącą wodę i powietrze do układów klimatyzacyjnych</t>
  </si>
  <si>
    <t>POBÓR, UZDATNIANIE I DOSTARCZANIE WODY</t>
  </si>
  <si>
    <t>ODPROWADZANIE I OCZYSZCZANIE ŚCIEKÓW</t>
  </si>
  <si>
    <t>Zbieranie odpadów innych niż niebezpieczne</t>
  </si>
  <si>
    <t>Zbieranie odpadów niebezpiecznych</t>
  </si>
  <si>
    <t>Obróbka i usuwanie odpadów innych niż niebezpieczne</t>
  </si>
  <si>
    <t>Przetwarzanie i unieszkodliwianie odpadów niebezpiecznych</t>
  </si>
  <si>
    <t>Demontaż wyrobów zużytych</t>
  </si>
  <si>
    <t>Odzysk surowców z materiałów segregowanych</t>
  </si>
  <si>
    <t>DZIAŁALNOŚĆ ZWIĄZANA Z REKULTYWACJĄ I POZOSTAŁA DZIAŁALNOŚĆ USŁUGOWA ZWIĄZANA Z GOSPODARKĄ ODPADAMI</t>
  </si>
  <si>
    <t>Realizacja projektów budowlanych związanych ze wznoszeniem budynków</t>
  </si>
  <si>
    <t>Roboty budowlane związane ze wznoszeniem budynków mieszkalnych i niemieszkalnych</t>
  </si>
  <si>
    <t>Roboty związane z budową dróg i autostrad</t>
  </si>
  <si>
    <t>Roboty związane z budową dróg szynowych i kolei podziemnej</t>
  </si>
  <si>
    <t>Roboty związane z budową mostów i tuneli</t>
  </si>
  <si>
    <t>Roboty związane z budową rurociągów przesyłowych i sieci rozdzielczych</t>
  </si>
  <si>
    <t>Roboty związane z budową linii telekomunikacyjnych i elektroenergetycznych</t>
  </si>
  <si>
    <t>Roboty związane z budową obiektów inżynierii wodnej</t>
  </si>
  <si>
    <t>Roboty związane z budową pozostałych obiektów inżynierii lądowej i wodnej, gdzie indziej niesklasyfikowane</t>
  </si>
  <si>
    <t>Rozbiórka i burzenie obiektów budowlanych</t>
  </si>
  <si>
    <t>Przygotowanie terenu pod budowę</t>
  </si>
  <si>
    <t>Wykonywanie wykopów i wierceń geologiczno-inżynierskich</t>
  </si>
  <si>
    <t>Wykonywanie instalacji elektrycznych</t>
  </si>
  <si>
    <t>Wykonywanie instalacji wodno-kanalizacyjnych, cieplnych, gazowych i klimatyzacyjnych</t>
  </si>
  <si>
    <t>Wykonywanie pozostałych instalacji budowlanych</t>
  </si>
  <si>
    <t>Tynkowanie</t>
  </si>
  <si>
    <t>Zakładanie stolarki budowlanej</t>
  </si>
  <si>
    <t>Posadzkarstwo; tapetowanie i oblicowywanie ścian</t>
  </si>
  <si>
    <t>Malowanie i szklenie</t>
  </si>
  <si>
    <t>Wykonywanie pozostałych robót budowlanych wykończeniowych</t>
  </si>
  <si>
    <t>Wykonywanie konstrukcji i pokryć dachowych</t>
  </si>
  <si>
    <t>Pozostałe specjalistyczne roboty budowlane, gdzie indziej niesklasyfikowane</t>
  </si>
  <si>
    <t>Sprzedaż hurtowa i detaliczna samochodów osobowych i furgonetek</t>
  </si>
  <si>
    <t>Sprzedaż hurtowa i detaliczna pozostałych pojazdów samochodowych, z wyłączeniem motocykli</t>
  </si>
  <si>
    <t>Konserwacja i naprawa pojazdów samochodowych, z wyłączeniem motocykli</t>
  </si>
  <si>
    <t>Sprzedaż hurtowa części i akcesoriów do pojazdów samochodowych, z wyłączeniem motocykli</t>
  </si>
  <si>
    <t>Sprzedaż detaliczna części i akcesoriów do pojazdów samochodowych, z wyłączeniem motocykli</t>
  </si>
  <si>
    <t>Sprzedaż hurtowa i detaliczna motocykli, ich naprawa i konserwacja oraz sprzedaż hurtowa i detaliczna części i akcesoriów do nich</t>
  </si>
  <si>
    <t>Działalność agentów zajmujących się sprzedażą płodów rolnych, żywych zwierząt, surowców dla przemysłu tekstylnego i półproduktów</t>
  </si>
  <si>
    <t>Działalność agentów zajmujących się sprzedażą paliw, rud, metali i chemikaliów przemysłowych</t>
  </si>
  <si>
    <t>Działalność agentów zajmujących się sprzedażą drewna i materiałów budowlanych</t>
  </si>
  <si>
    <t>Działalność agentów zajmujących się sprzedażą maszyn, urządzeń przemysłowych, statków i samolotów</t>
  </si>
  <si>
    <t>Działalność agentów zajmujących się sprzedażą mebli, artykułów gospodarstwa domowego i drobnych wyrobów metalowych</t>
  </si>
  <si>
    <t>Działalność agentów zajmujących się sprzedażą wyrobów tekstylnych, odzieży, wyrobów futrzarskich, obuwia i artykułów skórzanych</t>
  </si>
  <si>
    <t>Działalność agentów zajmujących się sprzedażą żywności, napojów i wyrobów tytoniowych</t>
  </si>
  <si>
    <t>Działalność agentów specjalizujących się w sprzedaży pozostałych określonych towarów</t>
  </si>
  <si>
    <t>Działalność agentów zajmujących się sprzedażą towarów różnego rodzaju</t>
  </si>
  <si>
    <t>Sprzedaż hurtowa zboża, nieprzetworzonego tytoniu, nasion i pasz dla zwierząt</t>
  </si>
  <si>
    <t>Sprzedaż hurtowa kwiatów i roślin</t>
  </si>
  <si>
    <t>Sprzedaż hurtowa żywych zwierząt</t>
  </si>
  <si>
    <t>Sprzedaż hurtowa skór</t>
  </si>
  <si>
    <t>Sprzedaż hurtowa owoców i warzyw</t>
  </si>
  <si>
    <t>Sprzedaż hurtowa mięsa i wyrobów z mięsa</t>
  </si>
  <si>
    <t>Sprzedaż hurtowa mleka, wyrobów mleczarskich, jaj, olejów i tłuszczów jadalnych</t>
  </si>
  <si>
    <t>Sprzedaż hurtowa napojów alkoholowych</t>
  </si>
  <si>
    <t>Sprzedaż hurtowa napojów bezalkoholowych</t>
  </si>
  <si>
    <t>Sprzedaż hurtowa wyrobów tytoniowych</t>
  </si>
  <si>
    <t>Sprzedaż hurtowa cukru, czekolady, wyrobów cukierniczych i piekarskich</t>
  </si>
  <si>
    <t>Sprzedaż hurtowa herbaty, kawy, kakao i przypraw</t>
  </si>
  <si>
    <t>Sprzedaż hurtowa pozostałej żywności, włączając ryby, skorupiaki i mięczaki</t>
  </si>
  <si>
    <t>Sprzedaż hurtowa niewyspecjalizowana żywności, napojów i wyrobów tytoniowych</t>
  </si>
  <si>
    <t>Sprzedaż hurtowa wyrobów tekstylnych</t>
  </si>
  <si>
    <t>Sprzedaż hurtowa odzieży i obuwia</t>
  </si>
  <si>
    <t>Sprzedaż hurtowa elektrycznych artykułów użytku domowego</t>
  </si>
  <si>
    <t>Sprzedaż hurtowa wyrobów porcelanowych, ceramicznych i szklanych oraz środków czyszczących</t>
  </si>
  <si>
    <t>Sprzedaż hurtowa perfum i kosmetyków</t>
  </si>
  <si>
    <t>Sprzedaż hurtowa wyrobów farmaceutycznych i medycznych</t>
  </si>
  <si>
    <t>Sprzedaż hurtowa mebli, dywanów i sprzętu oświetleniowego</t>
  </si>
  <si>
    <t>Sprzedaż hurtowa zegarków, zegarów i biżuterii</t>
  </si>
  <si>
    <t>Sprzedaż hurtowa pozostałych artykułów użytku domowego</t>
  </si>
  <si>
    <t>Sprzedaż hurtowa komputerów, urządzeń peryferyjnych i oprogramowania</t>
  </si>
  <si>
    <t>Sprzedaż hurtowa sprzętu elektronicznego i telekomunikacyjnego oraz części do niego</t>
  </si>
  <si>
    <t>Sprzedaż hurtowa maszyn i urządzeń rolniczych oraz dodatkowego wyposażenia</t>
  </si>
  <si>
    <t>Sprzedaż hurtowa obrabiarek</t>
  </si>
  <si>
    <t>Sprzedaż hurtowa maszyn wykorzystywanych w górnictwie, budownictwie oraz inżynierii lądowej i wodnej</t>
  </si>
  <si>
    <t>Sprzedaż hurtowa maszyn dla przemysłu tekstylnego oraz maszyn do szycia i maszyn dziewiarskich</t>
  </si>
  <si>
    <t>Sprzedaż hurtowa mebli biurowych</t>
  </si>
  <si>
    <t>Sprzedaż hurtowa pozostałych maszyn i urządzeń biurowych</t>
  </si>
  <si>
    <t>Sprzedaż hurtowa pozostałych maszyn i urządzeń</t>
  </si>
  <si>
    <t>Sprzedaż hurtowa paliw i produktów pochodnych</t>
  </si>
  <si>
    <t>Sprzedaż hurtowa metali i rud metali</t>
  </si>
  <si>
    <t>Sprzedaż hurtowa drewna, materiałów budowlanych i wyposażenia sanitarnego</t>
  </si>
  <si>
    <t>Sprzedaż hurtowa wyrobów metalowych oraz sprzętu i dodatkowego wyposażenia hydraulicznego i grzejnego</t>
  </si>
  <si>
    <t>Sprzedaż hurtowa wyrobów chemicznych</t>
  </si>
  <si>
    <t>Sprzedaż hurtowa pozostałych półproduktów</t>
  </si>
  <si>
    <t>Sprzedaż hurtowa odpadów i złomu</t>
  </si>
  <si>
    <t>Sprzedaż hurtowa niewyspecjalizowana</t>
  </si>
  <si>
    <t>Sprzedaż detaliczna prowadzona w niewyspecjalizowanych sklepach z przewagą żywności, napojów i wyrobów tytoniowych</t>
  </si>
  <si>
    <t>Pozostała sprzedaż detaliczna prowadzona w niewyspecjalizowanych sklepach</t>
  </si>
  <si>
    <t>Sprzedaż detaliczna owoców i warzyw prowadzona w wyspecjalizowanych sklepach</t>
  </si>
  <si>
    <t>Sprzedaż detaliczna mięsa i wyrobów z mięsa prowadzona w wyspecjalizowanych sklepach</t>
  </si>
  <si>
    <t>Sprzedaż detaliczna ryb, skorupiaków i mięczaków prowadzona w wyspecjalizowanych sklepach</t>
  </si>
  <si>
    <t>Sprzedaż detaliczna pieczywa, ciast, wyrobów ciastkarskich i cukierniczych prowadzona w wyspecjalizowanych sklepach</t>
  </si>
  <si>
    <t>Sprzedaż detaliczna napojów alkoholowych i bezalkoholowych prowadzona w wyspecjalizowanych sklepach</t>
  </si>
  <si>
    <t>Sprzedaż detaliczna wyrobów tytoniowych prowadzona w wyspecjalizowanych sklepach</t>
  </si>
  <si>
    <t>Sprzedaż detaliczna pozostałej żywności prowadzona w wyspecjalizowanych sklepach</t>
  </si>
  <si>
    <t>Sprzedaż detaliczna paliw do pojazdów silnikowych na stacjach paliw</t>
  </si>
  <si>
    <t>Sprzedaż detaliczna komputerów, urządzeń peryferyjnych i oprogramowania prowadzona w wyspecjalizowanych sklepach</t>
  </si>
  <si>
    <t>Sprzedaż detaliczna sprzętu telekomunikacyjnego prowadzona w wyspecjalizowanych sklepach</t>
  </si>
  <si>
    <t>Sprzedaż detaliczna sprzętu audiowizualnego prowadzona w wyspecjalizowanych sklepach</t>
  </si>
  <si>
    <t>Sprzedaż detaliczna wyrobów tekstylnych prowadzona w wyspecjalizowanych sklepach</t>
  </si>
  <si>
    <t>Sprzedaż detaliczna drobnych wyrobów metalowych, farb i szkła prowadzona w wyspecjalizowanych sklepach</t>
  </si>
  <si>
    <t>Sprzedaż detaliczna dywanów, chodników i innych pokryć podłogowych oraz pokryć ściennych prowadzona w wyspecjalizowanych sklepach</t>
  </si>
  <si>
    <t>Sprzedaż detaliczna elektrycznego sprzętu gospodarstwa domowego prowadzona w wyspecjalizowanych sklepach</t>
  </si>
  <si>
    <t>Sprzedaż detaliczna mebli, sprzętu oświetleniowego i pozostałych artykułów użytku domowego prowadzona w wyspecjalizowanych sklepach</t>
  </si>
  <si>
    <t>Sprzedaż detaliczna książek prowadzona w wyspecjalizowanych sklepach</t>
  </si>
  <si>
    <t>Sprzedaż detaliczna gazet i artykułów piśmiennych prowadzona w wyspecjalizowanych sklepach</t>
  </si>
  <si>
    <t>Sprzedaż detaliczna nagrań dźwiękowych i audiowizualnych prowadzona w wyspecjalizowanych sklepach</t>
  </si>
  <si>
    <t>Sprzedaż detaliczna sprzętu sportowego prowadzona w wyspecjalizowanych sklepach</t>
  </si>
  <si>
    <t>Sprzedaż detaliczna gier i zabawek prowadzona w wyspecjalizowanych sklepach</t>
  </si>
  <si>
    <t>Sprzedaż detaliczna odzieży prowadzona w wyspecjalizowanych sklepach</t>
  </si>
  <si>
    <t>Sprzedaż detaliczna obuwia i wyrobów skórzanych prowadzona w wyspecjalizowanych sklepach</t>
  </si>
  <si>
    <t>Sprzedaż detaliczna wyrobów farmaceutycznych prowadzona w wyspecjalizowanych sklepach</t>
  </si>
  <si>
    <t>Sprzedaż detaliczna wyrobów medycznych, włączając ortopedyczne, prowadzona w wyspecjalizowanych sklepach</t>
  </si>
  <si>
    <t>Sprzedaż detaliczna kosmetyków i artykułów toaletowych prowadzona w wyspecjalizowanych sklepach</t>
  </si>
  <si>
    <t>Sprzedaż detaliczna kwiatów, roślin, nasion, nawozów, żywych zwierząt domowych, karmy dla zwierząt domowych prowadzona w wyspecjalizowanych sklepach</t>
  </si>
  <si>
    <t>Sprzedaż detaliczna zegarków, zegarów i biżuterii prowadzona w wyspecjalizowanych sklepach</t>
  </si>
  <si>
    <t>Sprzedaż detaliczna pozostałych nowych wyrobów prowadzona w wyspecjalizowanych sklepach</t>
  </si>
  <si>
    <t>Sprzedaż detaliczna artykułów używanych prowadzona w wyspecjalizowanych sklepach</t>
  </si>
  <si>
    <t>Sprzedaż detaliczna żywności, napojów i wyrobów tytoniowych prowadzona na straganach i targowiskach</t>
  </si>
  <si>
    <t>Sprzedaż detaliczna wyrobów tekstylnych, odzieży i obuwia prowadzona na straganach i targowiskach</t>
  </si>
  <si>
    <t>Sprzedaż detaliczna pozostałych wyrobów prowadzona na straganach i targowiskach</t>
  </si>
  <si>
    <t>Sprzedaż detaliczna prowadzona przez domy sprzedaży wysyłkowej lub Internet</t>
  </si>
  <si>
    <t>Pozostała sprzedaż detaliczna prowadzona poza siecią sklepową, straganami i targowiskami</t>
  </si>
  <si>
    <t>Transport kolejowy pasażerski międzymiastowy</t>
  </si>
  <si>
    <t>Transport kolejowy towarów</t>
  </si>
  <si>
    <t>Transport lądowy pasażerski, miejski i podmiejski</t>
  </si>
  <si>
    <t>Działalność taksówek osobowych</t>
  </si>
  <si>
    <t>Pozostały transport lądowy pasażerski, gdzie indziej niesklasyfikowany</t>
  </si>
  <si>
    <t>Transport drogowy towarów</t>
  </si>
  <si>
    <t>Działalność usługowa związana z przeprowadzkami</t>
  </si>
  <si>
    <t>Transport rurociągami paliw gazowych</t>
  </si>
  <si>
    <t>Transport rurociągowy pozostałych towarów</t>
  </si>
  <si>
    <t>Transport morski i przybrzeżny pasażerski</t>
  </si>
  <si>
    <t>Transport morski i przybrzeżny towarów</t>
  </si>
  <si>
    <t>Transport wodny śródlądowy pasażerski </t>
  </si>
  <si>
    <t>Transport wodny śródlądowy towarów</t>
  </si>
  <si>
    <t>Transport lotniczy pasażerski</t>
  </si>
  <si>
    <t>Transport lotniczy towarów</t>
  </si>
  <si>
    <t>Transport kosmiczny</t>
  </si>
  <si>
    <t>Magazynowanie i przechowywanie paliw gazowych</t>
  </si>
  <si>
    <t>Magazynowanie i przechowywanie pozostałych towarów</t>
  </si>
  <si>
    <t>Działalność usługowa wspomagająca transport lądowy</t>
  </si>
  <si>
    <t>Działalność usługowa wspomagająca transport morski</t>
  </si>
  <si>
    <t>Działalność usługowa wspomagająca transport śródlądowy</t>
  </si>
  <si>
    <t>Działalność usługowa wspomagająca transport lotniczy</t>
  </si>
  <si>
    <t>Przeładunek towarów w portach morskich</t>
  </si>
  <si>
    <t>Przeładunek towarów w portach śródlądowych</t>
  </si>
  <si>
    <t>Przeładunek towarów w pozostałych punktach przeładunkowych</t>
  </si>
  <si>
    <t>Działalność morskich agencji transportowych</t>
  </si>
  <si>
    <t>Działalność śródlądowych agencji transportowych</t>
  </si>
  <si>
    <t>Działalność pozostałych agencji transportowych</t>
  </si>
  <si>
    <t>Działalność pocztowa objęta obowiązkiem świadczenia usług powszechnych (operatora publicznego)</t>
  </si>
  <si>
    <t>Pozostała działalność pocztowa i kurierska</t>
  </si>
  <si>
    <t>Hotele i podobne obiekty zakwaterowania</t>
  </si>
  <si>
    <t>Obiekty noclegowe turystyczne i miejsca krótkotrwałego zakwaterowania</t>
  </si>
  <si>
    <t>Pola kempingowe (włączając pola dla pojazdów kempingowych) i pola namiotowe</t>
  </si>
  <si>
    <t>Pozostałe zakwaterowanie</t>
  </si>
  <si>
    <t>Restauracje i inne stałe placówki gastronomiczne</t>
  </si>
  <si>
    <t>Ruchome placówki gastronomiczne</t>
  </si>
  <si>
    <t>Przygotowywanie i dostarczanie żywności dla odbiorców zewnętrznych (katering)</t>
  </si>
  <si>
    <t>Pozostała usługowa działalność gastronomiczna</t>
  </si>
  <si>
    <t>Przygotowywanie i podawanie napojów</t>
  </si>
  <si>
    <t>Wydawanie książek</t>
  </si>
  <si>
    <t>Wydawanie wykazów oraz list (np. adresowych, telefonicznych)</t>
  </si>
  <si>
    <t>Wydawanie gazet</t>
  </si>
  <si>
    <t>Wydawanie czasopism i pozostałych periodyków</t>
  </si>
  <si>
    <t>Pozostała działalność wydawnicza</t>
  </si>
  <si>
    <t>Działalność wydawnicza w zakresie gier komputerowych</t>
  </si>
  <si>
    <t>Działalność wydawnicza w zakresie pozostałego oprogramowania</t>
  </si>
  <si>
    <t>Działalność związana z produkcją filmów, nagrań wideo i programów telewizyjnych</t>
  </si>
  <si>
    <t>Działalność postprodukcyjna związana z filmami, nagraniami wideo i programami telewizyjnymi</t>
  </si>
  <si>
    <t>Działalność związana z dystrybucją filmów, nagrań wideo i programów telewizyjnych</t>
  </si>
  <si>
    <t>Działalność związana z projekcją filmów</t>
  </si>
  <si>
    <t>Działalność w zakresie nagrań dźwiękowych i muzycznych</t>
  </si>
  <si>
    <t>Nadawanie programów radiofonicznych</t>
  </si>
  <si>
    <t>Nadawanie programów telewizyjnych ogólnodostępnych i abonamentowych</t>
  </si>
  <si>
    <t>Działalność w zakresie telekomunikacji przewodowej</t>
  </si>
  <si>
    <t>Działalność w zakresie telekomunikacji bezprzewodowej, z wyłączeniem telekomunikacji satelitarnej</t>
  </si>
  <si>
    <t>Działalność w zakresie telekomunikacji satelitarnej</t>
  </si>
  <si>
    <t>Działalność w zakresie pozostałej telekomunikacji</t>
  </si>
  <si>
    <t>Działalność związana z oprogramowaniem</t>
  </si>
  <si>
    <t>Działalność związana z doradztwem w zakresie informatyki</t>
  </si>
  <si>
    <t>Działalność związana z zarządzaniem urządzeniami informatycznymi</t>
  </si>
  <si>
    <t>Pozostała działalność usługowa w zakresie technologii informatycznych i komputerowych</t>
  </si>
  <si>
    <t>Przetwarzanie danych; zarządzanie stronami internetowymi (hosting) i podobna działalność</t>
  </si>
  <si>
    <t>Działalność portali internetowych</t>
  </si>
  <si>
    <t>Działalność agencji informacyjnych</t>
  </si>
  <si>
    <t>Pozostała działalność usługowa w zakresie informacji, gdzie indziej niesklasyfikowana</t>
  </si>
  <si>
    <t>Działalność banku centralnego</t>
  </si>
  <si>
    <t>Pozostałe pośrednictwo pieniężne</t>
  </si>
  <si>
    <t>Działalność holdingów finansowych</t>
  </si>
  <si>
    <t>Działalność trustów, funduszów i podobnych instytucji finansowych</t>
  </si>
  <si>
    <t>Leasing finansowy</t>
  </si>
  <si>
    <t>Pozostałe formy udzielania kredytów</t>
  </si>
  <si>
    <t>Pozostała finansowa działalność usługowa, gdzie indziej niesklasyfikowana, z wyłączeniem ubezpieczeń i funduszów emerytalnych</t>
  </si>
  <si>
    <t>Ubezpieczenia na życie</t>
  </si>
  <si>
    <t>Pozostałe ubezpieczenia osobowe oraz ubezpieczenia majątkowe</t>
  </si>
  <si>
    <t>Reasekuracja</t>
  </si>
  <si>
    <t>Fundusze emerytalne</t>
  </si>
  <si>
    <t>Zarządzanie rynkami finansowymi</t>
  </si>
  <si>
    <t>Działalność maklerska związana z rynkiem papierów wartościowych i towarów giełdowych</t>
  </si>
  <si>
    <t>Pozostała działalność wspomagająca usługi finansowe, z wyłączeniem ubezpieczeń i funduszów emerytalnych</t>
  </si>
  <si>
    <t>Działalność związana z oceną ryzyka i szacowaniem poniesionych strat</t>
  </si>
  <si>
    <t>Działalność agentów i brokerów ubezpieczeniowych</t>
  </si>
  <si>
    <t>Pozostała działalność wspomagająca ubezpieczenia i fundusze emerytalne</t>
  </si>
  <si>
    <t>Działalność związana z zarządzaniem funduszami</t>
  </si>
  <si>
    <t>Kupno i sprzedaż nieruchomości na własny rachunek</t>
  </si>
  <si>
    <t>Wynajem i zarządzanie nieruchomościami własnymi lub dzierżawionymi</t>
  </si>
  <si>
    <t>Pośrednictwo w obrocie nieruchomościami</t>
  </si>
  <si>
    <t>Zarządzanie nieruchomościami wykonywane na zlecenie</t>
  </si>
  <si>
    <t>Działalność prawnicza</t>
  </si>
  <si>
    <t>Działalność rachunkowo-księgowa; doradztwo podatkowe</t>
  </si>
  <si>
    <t>Działalność firm centralnych (head offices) i holdingów, z wyłączeniem holdingów finansowych</t>
  </si>
  <si>
    <t>Stosunki międzyludzkie (public relations) i komunikacja</t>
  </si>
  <si>
    <t>Pozostałe doradztwo w zakresie prowadzenia działalności gospodarczej i zarządzania</t>
  </si>
  <si>
    <t>Działalność w zakresie architektury</t>
  </si>
  <si>
    <t>Działalność w zakresie inżynierii i związane z nią doradztwo techniczne</t>
  </si>
  <si>
    <t>Badania i analizy związane z jakością żywności</t>
  </si>
  <si>
    <t>Pozostałe badania i analizy techniczne</t>
  </si>
  <si>
    <t>Badania naukowe i prace rozwojowe w dziedzinie biotechnologii</t>
  </si>
  <si>
    <t>Badania naukowe i prace rozwojowe w dziedzinie pozostałych nauk przyrodniczych i technicznych</t>
  </si>
  <si>
    <t>Badania naukowe i prace rozwojowe w dziedzinie nauk społecznych i humanistycznych</t>
  </si>
  <si>
    <t>Działalność agencji reklamowych</t>
  </si>
  <si>
    <t>Pośrednictwo w sprzedaży czasu i miejsca na cele reklamowe w radio i telewizji</t>
  </si>
  <si>
    <t>Pośrednictwo w sprzedaży miejsca na cele reklamowe w mediach drukowanych</t>
  </si>
  <si>
    <t>Pośrednictwo w sprzedaży miejsca na cele reklamowe w mediach elektronicznych (Internet)</t>
  </si>
  <si>
    <t>Pośrednictwo w sprzedaży miejsca na cele reklamowe w pozostałych mediach</t>
  </si>
  <si>
    <t>Badanie rynku i opinii publicznej</t>
  </si>
  <si>
    <t>Działalność w zakresie specjalistycznego projektowania</t>
  </si>
  <si>
    <t>Działalność fotograficzna</t>
  </si>
  <si>
    <t>Działalność związana z tłumaczeniami</t>
  </si>
  <si>
    <t>Pozostała działalność profesjonalna, naukowa i techniczna, gdzie indziej niesklasyfikowana</t>
  </si>
  <si>
    <t>DZIAŁALNOŚĆ WETERYNARYJNA</t>
  </si>
  <si>
    <t>Wynajem i dzierżawa samochodów osobowych i furgonetek</t>
  </si>
  <si>
    <t>Wynajem i dzierżawa pozostałych pojazdów samochodowych, z wyłączeniem motocykli</t>
  </si>
  <si>
    <t>Wypożyczanie i dzierżawa sprzętu rekreacyjnego i sportowego</t>
  </si>
  <si>
    <t>Wypożyczanie kaset wideo, płyt CD, DVD itp.</t>
  </si>
  <si>
    <t>Wypożyczanie i dzierżawa pozostałych artykułów użytku osobistego i domowego</t>
  </si>
  <si>
    <t>Wynajem i dzierżawa maszyn i urządzeń rolniczych</t>
  </si>
  <si>
    <t>Wynajem i dzierżawa maszyn i urządzeń budowlanych</t>
  </si>
  <si>
    <t>Wynajem i dzierżawa maszyn i urządzeń biurowych, włączając komputery</t>
  </si>
  <si>
    <t>Wynajem i dzierżawa środków transportu wodnego</t>
  </si>
  <si>
    <t>Wynajem i dzierżawa środków transportu lotniczego</t>
  </si>
  <si>
    <t>Wynajem i dzierżawa pozostałych maszyn, urządzeń oraz dóbr materialnych, gdzie indziej niesklasyfikowane</t>
  </si>
  <si>
    <t>Dzierżawa własności intelektualnej i podobnych produktów, z wyłączeniem prac chronionych prawem autorskim</t>
  </si>
  <si>
    <t>Działalność związana z wyszukiwaniem miejsc pracy i pozyskiwaniem pracowników</t>
  </si>
  <si>
    <t>Działalność agencji pracy tymczasowej</t>
  </si>
  <si>
    <t>Pozostała działalność związana z udostępnianiem pracowników</t>
  </si>
  <si>
    <t>Działalność agentów turystycznych</t>
  </si>
  <si>
    <t>Działalność pośredników turystycznych</t>
  </si>
  <si>
    <t>Działalność organizatorów turystyki</t>
  </si>
  <si>
    <t>Działalność pilotów wycieczek i przewodników turystycznych</t>
  </si>
  <si>
    <t>Działalność w zakresie informacji turystycznej</t>
  </si>
  <si>
    <t>Pozostała działalność usługowa w zakresie rezerwacji, gdzie indziej niesklasyfikowana</t>
  </si>
  <si>
    <t>Działalność ochroniarska, z wyłączeniem obsługi systemów bezpieczeństwa</t>
  </si>
  <si>
    <t>Działalność ochroniarska w zakresie obsługi systemów bezpieczeństwa</t>
  </si>
  <si>
    <t>Działalność detektywistyczna</t>
  </si>
  <si>
    <t>Działalność pomocnicza związana z utrzymaniem porządku w budynkach</t>
  </si>
  <si>
    <t>Niespecjalistyczne sprzątanie budynków i obiektów przemysłowych</t>
  </si>
  <si>
    <t>Specjalistyczne sprzątanie budynków i obiektów przemysłowych</t>
  </si>
  <si>
    <t>Pozostałe sprzątanie</t>
  </si>
  <si>
    <t>Działalność usługowa związana z zagospodarowaniem terenów zieleni</t>
  </si>
  <si>
    <t>Działalność usługowa związana z administracyjną obsługą biura</t>
  </si>
  <si>
    <t>Wykonywanie fotokopii, przygotowywanie dokumentów i pozostała specjalistyczna działalność wspomagająca prowadzenie biura</t>
  </si>
  <si>
    <t>Działalność centrów telefonicznych (call center)</t>
  </si>
  <si>
    <t>Działalność związana z organizacją targów, wystaw i kongresów</t>
  </si>
  <si>
    <t>Działalność świadczona przez agencje inkasa i biura kredytowe</t>
  </si>
  <si>
    <t>Działalność związana z pakowaniem</t>
  </si>
  <si>
    <t>Pozostała działalność wspomagająca prowadzenie działalności gospodarczej, gdzie indziej niesklasyfikowana</t>
  </si>
  <si>
    <t>Kierowanie podstawowymi rodzajami działalności publicznej</t>
  </si>
  <si>
    <t>Kierowanie w zakresie działalności związanej z ochroną zdrowia, edukacją, kulturą oraz pozostałymi usługami społecznymi, z wyłączeniem zabezpieczeń społecznych</t>
  </si>
  <si>
    <t>Kierowanie w zakresie efektywności gospodarowania</t>
  </si>
  <si>
    <t>Sprawy zagraniczne</t>
  </si>
  <si>
    <t>Obrona narodowa</t>
  </si>
  <si>
    <t>Wymiar sprawiedliwości</t>
  </si>
  <si>
    <t>Bezpieczeństwo państwa, porządek i bezpieczeństwo publiczne</t>
  </si>
  <si>
    <t>Ochrona przeciwpożarowa</t>
  </si>
  <si>
    <t>Obowiązkowe zabezpieczenia społeczne</t>
  </si>
  <si>
    <t>Placówki wychowania przedszkolnego</t>
  </si>
  <si>
    <t>Szkoły podstawowe</t>
  </si>
  <si>
    <t>Gimnazja</t>
  </si>
  <si>
    <t>Licea ogólnokształcące</t>
  </si>
  <si>
    <t>Technika</t>
  </si>
  <si>
    <t>Branżowe szkoły I stopnia</t>
  </si>
  <si>
    <t>Szkoły specjalne przysposabiające do pracy</t>
  </si>
  <si>
    <t>Branżowe szkoły II stopnia</t>
  </si>
  <si>
    <t>Szkoły policealne</t>
  </si>
  <si>
    <t>Kolegia pracowników służb społecznych</t>
  </si>
  <si>
    <t>Placówki doskonalenia nauczycieli</t>
  </si>
  <si>
    <t>Szkoły wyższe</t>
  </si>
  <si>
    <t>Pozaszkolne formy edukacji sportowej oraz zajęć sportowych i rekreacyjnych</t>
  </si>
  <si>
    <t>Pozaszkolne formy edukacji artystycznej</t>
  </si>
  <si>
    <t>Pozaszkolne formy edukacji z zakresu nauki jazdy i pilotażu</t>
  </si>
  <si>
    <t>Nauka języków obcych</t>
  </si>
  <si>
    <t>Pozostałe pozaszkolne formy edukacji, gdzie indziej niesklasyfikowane</t>
  </si>
  <si>
    <t>Działalność wspomagająca edukację</t>
  </si>
  <si>
    <t>Działalność szpitali</t>
  </si>
  <si>
    <t>Praktyka lekarska ogólna</t>
  </si>
  <si>
    <t>Praktyka lekarska specjalistyczna</t>
  </si>
  <si>
    <t>Praktyka lekarska dentystyczna</t>
  </si>
  <si>
    <t>Działalność fizjoterapeutyczna</t>
  </si>
  <si>
    <t>Działalność pogotowia ratunkowego</t>
  </si>
  <si>
    <t>Praktyka pielęgniarek i położnych</t>
  </si>
  <si>
    <t>Działalność paramedyczna</t>
  </si>
  <si>
    <t>Pozostała działalność w zakresie opieki zdrowotnej, gdzie indziej niesklasyfikowana</t>
  </si>
  <si>
    <t>Pomoc społeczna z zakwaterowaniem zapewniająca opiekę pielęgniarską</t>
  </si>
  <si>
    <t>Pomoc społeczna z zakwaterowaniem dla osób z zaburzeniami psychicznymi</t>
  </si>
  <si>
    <t>Pomoc społeczna z zakwaterowaniem dla osób w podeszłym wieku i osób niepełnosprawnych</t>
  </si>
  <si>
    <t>Pozostała pomoc społeczna z zakwaterowaniem</t>
  </si>
  <si>
    <t>Pomoc społeczna bez zakwaterowania dla osób w podeszłym wieku i osób niepełnosprawnych</t>
  </si>
  <si>
    <t>Opieka dzienna nad dziećmi</t>
  </si>
  <si>
    <t>Pozostała pomoc społeczna bez zakwaterowania, gdzie indziej niesklasyfikowana</t>
  </si>
  <si>
    <t>Działalność związana z wystawianiem przedstawień artystycznych</t>
  </si>
  <si>
    <t>Działalność wspomagająca wystawianie przedstawień artystycznych</t>
  </si>
  <si>
    <t>Artystyczna i literacka działalność twórcza</t>
  </si>
  <si>
    <t>Działalność obiektów kulturalnych</t>
  </si>
  <si>
    <t>Działalność bibliotek</t>
  </si>
  <si>
    <t>Działalność archiwów</t>
  </si>
  <si>
    <t>Działalność muzeów</t>
  </si>
  <si>
    <t>Działalność historycznych miejsc i budynków oraz podobnych atrakcji turystycznych</t>
  </si>
  <si>
    <t>Działalność ogrodów botanicznych i zoologicznych oraz obszarów i obiektów ochrony przyrody</t>
  </si>
  <si>
    <t>DZIAŁALNOŚĆ ZWIĄZANA Z GRAMI LOSOWYMI I ZAKŁADAMI WZAJEMNYMI</t>
  </si>
  <si>
    <t>Działalność obiektów sportowych</t>
  </si>
  <si>
    <t>Działalność klubów sportowych</t>
  </si>
  <si>
    <t>Działalność obiektów służących poprawie kondycji fizycznej</t>
  </si>
  <si>
    <t>Pozostała działalność związana ze sportem</t>
  </si>
  <si>
    <t>Działalność wesołych miasteczek i parków rozrywki</t>
  </si>
  <si>
    <t>Pozostała działalność rozrywkowa i rekreacyjna</t>
  </si>
  <si>
    <t>Działalność organizacji komercyjnych i pracodawców</t>
  </si>
  <si>
    <t>Działalność organizacji profesjonalnych</t>
  </si>
  <si>
    <t>Działalność związków zawodowych</t>
  </si>
  <si>
    <t>Działalność organizacji religijnych</t>
  </si>
  <si>
    <t>Działalność organizacji politycznych</t>
  </si>
  <si>
    <t>Działalność pozostałych organizacji członkowskich, gdzie indziej niesklasyfikowana</t>
  </si>
  <si>
    <t>Naprawa i konserwacja komputerów i urządzeń peryferyjnych</t>
  </si>
  <si>
    <t>Naprawa i konserwacja sprzętu (tele)komunikacyjnego</t>
  </si>
  <si>
    <t>Naprawa i konserwacja elektronicznego sprzętu powszechnego użytku</t>
  </si>
  <si>
    <t>Naprawa i konserwacja urządzeń gospodarstwa domowego oraz sprzętu użytku domowego i ogrodniczego</t>
  </si>
  <si>
    <t>Naprawa obuwia i wyrobów skórzanych</t>
  </si>
  <si>
    <t>Naprawa i konserwacja mebli i wyposażenia domowego</t>
  </si>
  <si>
    <t>Naprawa zegarów, zegarków oraz biżuterii</t>
  </si>
  <si>
    <t>Naprawa pozostałych artykułów użytku osobistego i domowego</t>
  </si>
  <si>
    <t>Pranie i czyszczenie wyrobów włókienniczych i futrzarskich</t>
  </si>
  <si>
    <t>Fryzjerstwo i pozostałe zabiegi kosmetyczne</t>
  </si>
  <si>
    <t>Pogrzeby i działalność pokrewna</t>
  </si>
  <si>
    <t>Działalność usługowa związana z poprawą kondycji fizycznej</t>
  </si>
  <si>
    <t>Pozostała działalność usługowa, gdzie indziej niesklasyfikowana</t>
  </si>
  <si>
    <t>GOSPODARSTWA DOMOWE ZATRUDNIAJĄCE PRACOWNIKÓW</t>
  </si>
  <si>
    <t>Gospodarstwa domowe produkujące wyroby na własne potrzeby</t>
  </si>
  <si>
    <t>Gospodarstwa domowe świadczące usługi na własne potrzeby</t>
  </si>
  <si>
    <t>ORGANIZACJE I ZESPOŁY EKSTERYTORIALNE</t>
  </si>
  <si>
    <t>0111Z</t>
  </si>
  <si>
    <t>0112Z</t>
  </si>
  <si>
    <t>0113Z</t>
  </si>
  <si>
    <t>0114Z</t>
  </si>
  <si>
    <t>0115Z</t>
  </si>
  <si>
    <t>0116Z</t>
  </si>
  <si>
    <t>0119Z</t>
  </si>
  <si>
    <t>0121Z</t>
  </si>
  <si>
    <t>0122Z</t>
  </si>
  <si>
    <t>0123Z</t>
  </si>
  <si>
    <t>0124Z</t>
  </si>
  <si>
    <t>0125Z</t>
  </si>
  <si>
    <t>0126Z</t>
  </si>
  <si>
    <t>0127Z</t>
  </si>
  <si>
    <t>0128Z</t>
  </si>
  <si>
    <t>0129Z</t>
  </si>
  <si>
    <t>0130Z</t>
  </si>
  <si>
    <t>0141Z</t>
  </si>
  <si>
    <t>0142Z</t>
  </si>
  <si>
    <t>0143Z</t>
  </si>
  <si>
    <t>0144Z</t>
  </si>
  <si>
    <t>0145Z</t>
  </si>
  <si>
    <t>0146Z</t>
  </si>
  <si>
    <t>0147Z</t>
  </si>
  <si>
    <t>0149Z</t>
  </si>
  <si>
    <t>0150Z</t>
  </si>
  <si>
    <t>0161Z</t>
  </si>
  <si>
    <t>0162Z</t>
  </si>
  <si>
    <t>0163Z</t>
  </si>
  <si>
    <t>0164Z</t>
  </si>
  <si>
    <t>0170Z</t>
  </si>
  <si>
    <t>0210Z</t>
  </si>
  <si>
    <t>0220Z</t>
  </si>
  <si>
    <t>0230Z</t>
  </si>
  <si>
    <t>0240Z</t>
  </si>
  <si>
    <t>0311Z</t>
  </si>
  <si>
    <t>0312Z</t>
  </si>
  <si>
    <t>0321Z</t>
  </si>
  <si>
    <t>0322Z</t>
  </si>
  <si>
    <t>0510Z</t>
  </si>
  <si>
    <t>0520Z</t>
  </si>
  <si>
    <t>0610Z</t>
  </si>
  <si>
    <t>0620Z</t>
  </si>
  <si>
    <t>0710Z</t>
  </si>
  <si>
    <t>0721Z</t>
  </si>
  <si>
    <t>0729Z</t>
  </si>
  <si>
    <t>0811Z</t>
  </si>
  <si>
    <t>0812Z</t>
  </si>
  <si>
    <t>0891Z</t>
  </si>
  <si>
    <t>0892Z</t>
  </si>
  <si>
    <t>0893Z</t>
  </si>
  <si>
    <t>0899Z</t>
  </si>
  <si>
    <t>0910Z</t>
  </si>
  <si>
    <t>0990Z</t>
  </si>
  <si>
    <t>1011Z</t>
  </si>
  <si>
    <t>1012Z</t>
  </si>
  <si>
    <t>1013Z</t>
  </si>
  <si>
    <t>1020Z</t>
  </si>
  <si>
    <t>1031Z</t>
  </si>
  <si>
    <t>1032Z</t>
  </si>
  <si>
    <t>1039Z</t>
  </si>
  <si>
    <t>1041Z</t>
  </si>
  <si>
    <t>1042Z</t>
  </si>
  <si>
    <t>1051Z</t>
  </si>
  <si>
    <t>1052Z</t>
  </si>
  <si>
    <t>1061Z</t>
  </si>
  <si>
    <t>1062Z</t>
  </si>
  <si>
    <t>1071Z</t>
  </si>
  <si>
    <t>1072Z</t>
  </si>
  <si>
    <t>1073Z</t>
  </si>
  <si>
    <t>1081Z</t>
  </si>
  <si>
    <t>1082Z</t>
  </si>
  <si>
    <t>1083Z</t>
  </si>
  <si>
    <t>1084Z</t>
  </si>
  <si>
    <t>1085Z</t>
  </si>
  <si>
    <t>1086Z</t>
  </si>
  <si>
    <t>1089Z</t>
  </si>
  <si>
    <t>1091Z</t>
  </si>
  <si>
    <t>1092Z</t>
  </si>
  <si>
    <t>1101Z</t>
  </si>
  <si>
    <t>1102Z</t>
  </si>
  <si>
    <t>1103Z</t>
  </si>
  <si>
    <t>1104Z</t>
  </si>
  <si>
    <t>1105Z</t>
  </si>
  <si>
    <t>1106Z</t>
  </si>
  <si>
    <t>1107Z</t>
  </si>
  <si>
    <t>1200Z</t>
  </si>
  <si>
    <t>1310A</t>
  </si>
  <si>
    <t>1310B</t>
  </si>
  <si>
    <t>1310C</t>
  </si>
  <si>
    <t>1310D</t>
  </si>
  <si>
    <t>1320A</t>
  </si>
  <si>
    <t>1320B</t>
  </si>
  <si>
    <t>1320C</t>
  </si>
  <si>
    <t>1320D</t>
  </si>
  <si>
    <t>1330Z</t>
  </si>
  <si>
    <t>1391Z</t>
  </si>
  <si>
    <t>1392Z</t>
  </si>
  <si>
    <t>1393Z</t>
  </si>
  <si>
    <t>1394Z</t>
  </si>
  <si>
    <t>1395Z</t>
  </si>
  <si>
    <t>1396Z</t>
  </si>
  <si>
    <t>1399Z</t>
  </si>
  <si>
    <t>1411Z</t>
  </si>
  <si>
    <t>1412Z</t>
  </si>
  <si>
    <t>1413Z</t>
  </si>
  <si>
    <t>1414Z</t>
  </si>
  <si>
    <t>1419Z</t>
  </si>
  <si>
    <t>1420Z</t>
  </si>
  <si>
    <t>1431Z</t>
  </si>
  <si>
    <t>1439Z</t>
  </si>
  <si>
    <t>1511Z</t>
  </si>
  <si>
    <t>1512Z</t>
  </si>
  <si>
    <t>1520Z</t>
  </si>
  <si>
    <t>1610Z</t>
  </si>
  <si>
    <t>1621Z</t>
  </si>
  <si>
    <t>1622Z</t>
  </si>
  <si>
    <t>1623Z</t>
  </si>
  <si>
    <t>1624Z</t>
  </si>
  <si>
    <t>1629Z</t>
  </si>
  <si>
    <t>1711Z</t>
  </si>
  <si>
    <t>1712Z</t>
  </si>
  <si>
    <t>1721Z</t>
  </si>
  <si>
    <t>1722Z</t>
  </si>
  <si>
    <t>1723Z</t>
  </si>
  <si>
    <t>1724Z</t>
  </si>
  <si>
    <t>1729Z</t>
  </si>
  <si>
    <t>1811Z</t>
  </si>
  <si>
    <t>1812Z</t>
  </si>
  <si>
    <t>1813Z</t>
  </si>
  <si>
    <t>1814Z</t>
  </si>
  <si>
    <t>1820Z</t>
  </si>
  <si>
    <t>1910Z</t>
  </si>
  <si>
    <t>1920Z</t>
  </si>
  <si>
    <t>2011Z</t>
  </si>
  <si>
    <t>2012Z</t>
  </si>
  <si>
    <t>2013Z</t>
  </si>
  <si>
    <t>2014Z</t>
  </si>
  <si>
    <t>2015Z</t>
  </si>
  <si>
    <t>2016Z</t>
  </si>
  <si>
    <t>2017Z</t>
  </si>
  <si>
    <t>2020Z</t>
  </si>
  <si>
    <t>2030Z</t>
  </si>
  <si>
    <t>2041Z</t>
  </si>
  <si>
    <t>2042Z</t>
  </si>
  <si>
    <t>2051Z</t>
  </si>
  <si>
    <t>2052Z</t>
  </si>
  <si>
    <t>2053Z</t>
  </si>
  <si>
    <t>2059Z</t>
  </si>
  <si>
    <t>2060Z</t>
  </si>
  <si>
    <t>2110Z</t>
  </si>
  <si>
    <t>2120Z</t>
  </si>
  <si>
    <t>2211Z</t>
  </si>
  <si>
    <t>2219Z</t>
  </si>
  <si>
    <t>2221Z</t>
  </si>
  <si>
    <t>2222Z</t>
  </si>
  <si>
    <t>2223Z</t>
  </si>
  <si>
    <t>2229Z</t>
  </si>
  <si>
    <t>2311Z</t>
  </si>
  <si>
    <t>2312Z</t>
  </si>
  <si>
    <t>2313Z</t>
  </si>
  <si>
    <t>2314Z</t>
  </si>
  <si>
    <t>2319Z</t>
  </si>
  <si>
    <t>2320Z</t>
  </si>
  <si>
    <t>2331Z</t>
  </si>
  <si>
    <t>2332Z</t>
  </si>
  <si>
    <t>2341Z</t>
  </si>
  <si>
    <t>2342Z</t>
  </si>
  <si>
    <t>2343Z</t>
  </si>
  <si>
    <t>2344Z</t>
  </si>
  <si>
    <t>2349Z</t>
  </si>
  <si>
    <t>2351Z</t>
  </si>
  <si>
    <t>2352Z</t>
  </si>
  <si>
    <t>2361Z</t>
  </si>
  <si>
    <t>2362Z</t>
  </si>
  <si>
    <t>2363Z</t>
  </si>
  <si>
    <t>2364Z</t>
  </si>
  <si>
    <t>2365Z</t>
  </si>
  <si>
    <t>2369Z</t>
  </si>
  <si>
    <t>2370Z</t>
  </si>
  <si>
    <t>2391Z</t>
  </si>
  <si>
    <t>2399Z</t>
  </si>
  <si>
    <t>2410Z</t>
  </si>
  <si>
    <t>2420Z</t>
  </si>
  <si>
    <t>2431Z</t>
  </si>
  <si>
    <t>2432Z</t>
  </si>
  <si>
    <t>2433Z</t>
  </si>
  <si>
    <t>2434Z</t>
  </si>
  <si>
    <t>2441Z</t>
  </si>
  <si>
    <t>2442A</t>
  </si>
  <si>
    <t>2442B</t>
  </si>
  <si>
    <t>2443Z</t>
  </si>
  <si>
    <t>2444Z</t>
  </si>
  <si>
    <t>2445Z</t>
  </si>
  <si>
    <t>2446Z</t>
  </si>
  <si>
    <t>2451Z</t>
  </si>
  <si>
    <t>2452Z</t>
  </si>
  <si>
    <t>2453Z</t>
  </si>
  <si>
    <t>2454A</t>
  </si>
  <si>
    <t>2454B</t>
  </si>
  <si>
    <t>2511Z</t>
  </si>
  <si>
    <t>2512Z</t>
  </si>
  <si>
    <t>2521Z</t>
  </si>
  <si>
    <t>2529Z</t>
  </si>
  <si>
    <t>2530Z</t>
  </si>
  <si>
    <t>2540Z</t>
  </si>
  <si>
    <t>2550Z</t>
  </si>
  <si>
    <t>2561Z</t>
  </si>
  <si>
    <t>2562Z</t>
  </si>
  <si>
    <t>2571Z</t>
  </si>
  <si>
    <t>2572Z</t>
  </si>
  <si>
    <t>2573Z</t>
  </si>
  <si>
    <t>2591Z</t>
  </si>
  <si>
    <t>2592Z</t>
  </si>
  <si>
    <t>2593Z</t>
  </si>
  <si>
    <t>2594Z</t>
  </si>
  <si>
    <t>2599Z</t>
  </si>
  <si>
    <t>2611Z</t>
  </si>
  <si>
    <t>2612Z</t>
  </si>
  <si>
    <t>2620Z</t>
  </si>
  <si>
    <t>2630Z</t>
  </si>
  <si>
    <t>2640Z</t>
  </si>
  <si>
    <t>2651Z</t>
  </si>
  <si>
    <t>2652Z</t>
  </si>
  <si>
    <t>2660Z</t>
  </si>
  <si>
    <t>2670Z</t>
  </si>
  <si>
    <t>2680Z</t>
  </si>
  <si>
    <t>2711Z</t>
  </si>
  <si>
    <t>2712Z</t>
  </si>
  <si>
    <t>2720Z</t>
  </si>
  <si>
    <t>2731Z</t>
  </si>
  <si>
    <t>2732Z</t>
  </si>
  <si>
    <t>2733Z</t>
  </si>
  <si>
    <t>2740Z</t>
  </si>
  <si>
    <t>2751Z</t>
  </si>
  <si>
    <t>2752Z</t>
  </si>
  <si>
    <t>2790Z</t>
  </si>
  <si>
    <t>2811Z</t>
  </si>
  <si>
    <t>2812Z</t>
  </si>
  <si>
    <t>2813Z</t>
  </si>
  <si>
    <t>2814Z</t>
  </si>
  <si>
    <t>2815Z</t>
  </si>
  <si>
    <t>2821Z</t>
  </si>
  <si>
    <t>2822Z</t>
  </si>
  <si>
    <t>2823Z</t>
  </si>
  <si>
    <t>2824Z</t>
  </si>
  <si>
    <t>2825Z</t>
  </si>
  <si>
    <t>2829Z</t>
  </si>
  <si>
    <t>2830Z</t>
  </si>
  <si>
    <t>2841Z</t>
  </si>
  <si>
    <t>2849Z</t>
  </si>
  <si>
    <t>2891Z</t>
  </si>
  <si>
    <t>2892Z</t>
  </si>
  <si>
    <t>2893Z</t>
  </si>
  <si>
    <t>2894Z</t>
  </si>
  <si>
    <t>2895Z</t>
  </si>
  <si>
    <t>2896Z</t>
  </si>
  <si>
    <t>2899Z</t>
  </si>
  <si>
    <t>2910A</t>
  </si>
  <si>
    <t>2910B</t>
  </si>
  <si>
    <t>2910C</t>
  </si>
  <si>
    <t>2910D</t>
  </si>
  <si>
    <t>2910E</t>
  </si>
  <si>
    <t>2920Z</t>
  </si>
  <si>
    <t>2931Z</t>
  </si>
  <si>
    <t>2932Z</t>
  </si>
  <si>
    <t>3011Z</t>
  </si>
  <si>
    <t>3012Z</t>
  </si>
  <si>
    <t>3020Z</t>
  </si>
  <si>
    <t>3030Z</t>
  </si>
  <si>
    <t>3040Z</t>
  </si>
  <si>
    <t>3091Z</t>
  </si>
  <si>
    <t>3092Z</t>
  </si>
  <si>
    <t>3099Z</t>
  </si>
  <si>
    <t>3101Z</t>
  </si>
  <si>
    <t>3102Z</t>
  </si>
  <si>
    <t>3103Z</t>
  </si>
  <si>
    <t>3109Z</t>
  </si>
  <si>
    <t>3211Z</t>
  </si>
  <si>
    <t>3212Z</t>
  </si>
  <si>
    <t>3213Z</t>
  </si>
  <si>
    <t>3220Z</t>
  </si>
  <si>
    <t>3230Z</t>
  </si>
  <si>
    <t>3240Z</t>
  </si>
  <si>
    <t>3250Z</t>
  </si>
  <si>
    <t>3291Z</t>
  </si>
  <si>
    <t>3299Z</t>
  </si>
  <si>
    <t>3311Z</t>
  </si>
  <si>
    <t>3312Z</t>
  </si>
  <si>
    <t>3313Z</t>
  </si>
  <si>
    <t>3314Z</t>
  </si>
  <si>
    <t>3315Z</t>
  </si>
  <si>
    <t>3316Z</t>
  </si>
  <si>
    <t>3317Z</t>
  </si>
  <si>
    <t>3319Z</t>
  </si>
  <si>
    <t>3320Z</t>
  </si>
  <si>
    <t>3511Z</t>
  </si>
  <si>
    <t>3512Z</t>
  </si>
  <si>
    <t>3513Z</t>
  </si>
  <si>
    <t>3514Z</t>
  </si>
  <si>
    <t>3521Z</t>
  </si>
  <si>
    <t>3522Z</t>
  </si>
  <si>
    <t>3523Z</t>
  </si>
  <si>
    <t>3530Z</t>
  </si>
  <si>
    <t>3600Z</t>
  </si>
  <si>
    <t>3700Z</t>
  </si>
  <si>
    <t>3811Z</t>
  </si>
  <si>
    <t>3812Z</t>
  </si>
  <si>
    <t>3821Z</t>
  </si>
  <si>
    <t>3822Z</t>
  </si>
  <si>
    <t>3831Z</t>
  </si>
  <si>
    <t>3832Z</t>
  </si>
  <si>
    <t>3900Z</t>
  </si>
  <si>
    <t>4110Z</t>
  </si>
  <si>
    <t>4120Z</t>
  </si>
  <si>
    <t>4211Z</t>
  </si>
  <si>
    <t>4212Z</t>
  </si>
  <si>
    <t>4213Z</t>
  </si>
  <si>
    <t>4221Z</t>
  </si>
  <si>
    <t>4222Z</t>
  </si>
  <si>
    <t>4291Z</t>
  </si>
  <si>
    <t>4299Z</t>
  </si>
  <si>
    <t>4311Z</t>
  </si>
  <si>
    <t>4312Z</t>
  </si>
  <si>
    <t>4313Z</t>
  </si>
  <si>
    <t>4321Z</t>
  </si>
  <si>
    <t>4322Z</t>
  </si>
  <si>
    <t>4329Z</t>
  </si>
  <si>
    <t>4331Z</t>
  </si>
  <si>
    <t>4332Z</t>
  </si>
  <si>
    <t>4333Z</t>
  </si>
  <si>
    <t>4334Z</t>
  </si>
  <si>
    <t>4339Z</t>
  </si>
  <si>
    <t>4391Z</t>
  </si>
  <si>
    <t>4399Z</t>
  </si>
  <si>
    <t>4511Z</t>
  </si>
  <si>
    <t>4519Z</t>
  </si>
  <si>
    <t>4520Z</t>
  </si>
  <si>
    <t>4531Z</t>
  </si>
  <si>
    <t>4532Z</t>
  </si>
  <si>
    <t>4540Z</t>
  </si>
  <si>
    <t>4611Z</t>
  </si>
  <si>
    <t>4612Z</t>
  </si>
  <si>
    <t>4613Z</t>
  </si>
  <si>
    <t>4614Z</t>
  </si>
  <si>
    <t>4615Z</t>
  </si>
  <si>
    <t>4616Z</t>
  </si>
  <si>
    <t>4617Z</t>
  </si>
  <si>
    <t>4618Z</t>
  </si>
  <si>
    <t>4619Z</t>
  </si>
  <si>
    <t>4621Z</t>
  </si>
  <si>
    <t>4622Z</t>
  </si>
  <si>
    <t>4623Z</t>
  </si>
  <si>
    <t>4624Z</t>
  </si>
  <si>
    <t>4631Z</t>
  </si>
  <si>
    <t>4632Z</t>
  </si>
  <si>
    <t>4633Z</t>
  </si>
  <si>
    <t>4634A</t>
  </si>
  <si>
    <t>4634B</t>
  </si>
  <si>
    <t>4635Z</t>
  </si>
  <si>
    <t>4636Z</t>
  </si>
  <si>
    <t>4637Z</t>
  </si>
  <si>
    <t>4638Z</t>
  </si>
  <si>
    <t>4639Z</t>
  </si>
  <si>
    <t>4641Z</t>
  </si>
  <si>
    <t>4642Z</t>
  </si>
  <si>
    <t>4643Z</t>
  </si>
  <si>
    <t>4644Z</t>
  </si>
  <si>
    <t>4645Z</t>
  </si>
  <si>
    <t>4646Z</t>
  </si>
  <si>
    <t>4647Z</t>
  </si>
  <si>
    <t>4648Z</t>
  </si>
  <si>
    <t>4649Z</t>
  </si>
  <si>
    <t>4651Z</t>
  </si>
  <si>
    <t>4652Z</t>
  </si>
  <si>
    <t>4661Z</t>
  </si>
  <si>
    <t>4662Z</t>
  </si>
  <si>
    <t>4663Z</t>
  </si>
  <si>
    <t>4664Z</t>
  </si>
  <si>
    <t>4665Z</t>
  </si>
  <si>
    <t>4666Z</t>
  </si>
  <si>
    <t>4669Z</t>
  </si>
  <si>
    <t>4671Z</t>
  </si>
  <si>
    <t>4672Z</t>
  </si>
  <si>
    <t>4673Z</t>
  </si>
  <si>
    <t>4674Z</t>
  </si>
  <si>
    <t>4675Z</t>
  </si>
  <si>
    <t>4676Z</t>
  </si>
  <si>
    <t>4677Z</t>
  </si>
  <si>
    <t>4690Z</t>
  </si>
  <si>
    <t>4711Z</t>
  </si>
  <si>
    <t>4719Z</t>
  </si>
  <si>
    <t>4721Z</t>
  </si>
  <si>
    <t>4722Z</t>
  </si>
  <si>
    <t>4723Z</t>
  </si>
  <si>
    <t>4724Z</t>
  </si>
  <si>
    <t>4725Z</t>
  </si>
  <si>
    <t>4726Z</t>
  </si>
  <si>
    <t>4729Z</t>
  </si>
  <si>
    <t>4730Z</t>
  </si>
  <si>
    <t>4741Z</t>
  </si>
  <si>
    <t>4742Z</t>
  </si>
  <si>
    <t>4743Z</t>
  </si>
  <si>
    <t>4751Z</t>
  </si>
  <si>
    <t>4752Z</t>
  </si>
  <si>
    <t>4753Z</t>
  </si>
  <si>
    <t>4754Z</t>
  </si>
  <si>
    <t>4759Z</t>
  </si>
  <si>
    <t>4761Z</t>
  </si>
  <si>
    <t>4762Z</t>
  </si>
  <si>
    <t>4763Z</t>
  </si>
  <si>
    <t>4764Z</t>
  </si>
  <si>
    <t>4765Z</t>
  </si>
  <si>
    <t>4771Z</t>
  </si>
  <si>
    <t>4772Z</t>
  </si>
  <si>
    <t>4773Z</t>
  </si>
  <si>
    <t>4774Z</t>
  </si>
  <si>
    <t>4775Z</t>
  </si>
  <si>
    <t>4776Z</t>
  </si>
  <si>
    <t>4777Z</t>
  </si>
  <si>
    <t>4778Z</t>
  </si>
  <si>
    <t>4779Z</t>
  </si>
  <si>
    <t>4781Z</t>
  </si>
  <si>
    <t>4782Z</t>
  </si>
  <si>
    <t>4789Z</t>
  </si>
  <si>
    <t>4791Z</t>
  </si>
  <si>
    <t>4799Z</t>
  </si>
  <si>
    <t>4910Z</t>
  </si>
  <si>
    <t>4920Z</t>
  </si>
  <si>
    <t>4931Z</t>
  </si>
  <si>
    <t>4932Z</t>
  </si>
  <si>
    <t>4939Z</t>
  </si>
  <si>
    <t>4941Z</t>
  </si>
  <si>
    <t>4942Z</t>
  </si>
  <si>
    <t>4950A</t>
  </si>
  <si>
    <t>4950B</t>
  </si>
  <si>
    <t>5010Z</t>
  </si>
  <si>
    <t>5020Z</t>
  </si>
  <si>
    <t>5030Z</t>
  </si>
  <si>
    <t>5040Z</t>
  </si>
  <si>
    <t>5110Z</t>
  </si>
  <si>
    <t>5121Z</t>
  </si>
  <si>
    <t>5122Z</t>
  </si>
  <si>
    <t>5210A</t>
  </si>
  <si>
    <t>5210B</t>
  </si>
  <si>
    <t>5221Z</t>
  </si>
  <si>
    <t>5222A</t>
  </si>
  <si>
    <t>5222B</t>
  </si>
  <si>
    <t>5223Z</t>
  </si>
  <si>
    <t>5224A</t>
  </si>
  <si>
    <t>5224B</t>
  </si>
  <si>
    <t>5224C</t>
  </si>
  <si>
    <t>5229A</t>
  </si>
  <si>
    <t>5229B</t>
  </si>
  <si>
    <t>5229C</t>
  </si>
  <si>
    <t>5310Z</t>
  </si>
  <si>
    <t>5320Z</t>
  </si>
  <si>
    <t>5510Z</t>
  </si>
  <si>
    <t>5520Z</t>
  </si>
  <si>
    <t>5530Z</t>
  </si>
  <si>
    <t>5590Z</t>
  </si>
  <si>
    <t>5610A</t>
  </si>
  <si>
    <t>5610B</t>
  </si>
  <si>
    <t>5621Z</t>
  </si>
  <si>
    <t>5629Z</t>
  </si>
  <si>
    <t>5630Z</t>
  </si>
  <si>
    <t>5811Z</t>
  </si>
  <si>
    <t>5812Z</t>
  </si>
  <si>
    <t>5813Z</t>
  </si>
  <si>
    <t>5814Z</t>
  </si>
  <si>
    <t>5819Z</t>
  </si>
  <si>
    <t>5821Z</t>
  </si>
  <si>
    <t>5829Z</t>
  </si>
  <si>
    <t>5911Z</t>
  </si>
  <si>
    <t>5912Z</t>
  </si>
  <si>
    <t>5913Z</t>
  </si>
  <si>
    <t>5914Z</t>
  </si>
  <si>
    <t>5920Z</t>
  </si>
  <si>
    <t>6010Z</t>
  </si>
  <si>
    <t>6020Z</t>
  </si>
  <si>
    <t>6110Z</t>
  </si>
  <si>
    <t>6120Z</t>
  </si>
  <si>
    <t>6130Z</t>
  </si>
  <si>
    <t>6190Z</t>
  </si>
  <si>
    <t>6201Z</t>
  </si>
  <si>
    <t>6202Z</t>
  </si>
  <si>
    <t>6203Z</t>
  </si>
  <si>
    <t>6209Z</t>
  </si>
  <si>
    <t>6311Z</t>
  </si>
  <si>
    <t>6312Z</t>
  </si>
  <si>
    <t>6391Z</t>
  </si>
  <si>
    <t>6399Z</t>
  </si>
  <si>
    <t>6411Z</t>
  </si>
  <si>
    <t>6419Z</t>
  </si>
  <si>
    <t>6420Z</t>
  </si>
  <si>
    <t>6430Z</t>
  </si>
  <si>
    <t>6491Z</t>
  </si>
  <si>
    <t>6492Z</t>
  </si>
  <si>
    <t>6499Z</t>
  </si>
  <si>
    <t>6511Z</t>
  </si>
  <si>
    <t>6512Z</t>
  </si>
  <si>
    <t>6520Z</t>
  </si>
  <si>
    <t>6530Z</t>
  </si>
  <si>
    <t>6611Z</t>
  </si>
  <si>
    <t>6612Z</t>
  </si>
  <si>
    <t>6619Z</t>
  </si>
  <si>
    <t>6621Z</t>
  </si>
  <si>
    <t>6622Z</t>
  </si>
  <si>
    <t>6629Z</t>
  </si>
  <si>
    <t>6630Z</t>
  </si>
  <si>
    <t>6810Z</t>
  </si>
  <si>
    <t>6820Z</t>
  </si>
  <si>
    <t>6831Z</t>
  </si>
  <si>
    <t>6832Z</t>
  </si>
  <si>
    <t>6910Z</t>
  </si>
  <si>
    <t>6920Z</t>
  </si>
  <si>
    <t>7010Z</t>
  </si>
  <si>
    <t>7021Z</t>
  </si>
  <si>
    <t>7022Z</t>
  </si>
  <si>
    <t>7111Z</t>
  </si>
  <si>
    <t>7112Z</t>
  </si>
  <si>
    <t>7120A</t>
  </si>
  <si>
    <t>7120B</t>
  </si>
  <si>
    <t>7211Z</t>
  </si>
  <si>
    <t>7219Z</t>
  </si>
  <si>
    <t>7220Z</t>
  </si>
  <si>
    <t>7311Z</t>
  </si>
  <si>
    <t>7312A</t>
  </si>
  <si>
    <t>7312B</t>
  </si>
  <si>
    <t>7312C</t>
  </si>
  <si>
    <t>7312D</t>
  </si>
  <si>
    <t>7320Z</t>
  </si>
  <si>
    <t>7410Z</t>
  </si>
  <si>
    <t>7420Z</t>
  </si>
  <si>
    <t>7430Z</t>
  </si>
  <si>
    <t>7490Z</t>
  </si>
  <si>
    <t>7500Z</t>
  </si>
  <si>
    <t>7711Z</t>
  </si>
  <si>
    <t>7712Z</t>
  </si>
  <si>
    <t>7721Z</t>
  </si>
  <si>
    <t>7722Z</t>
  </si>
  <si>
    <t>7729Z</t>
  </si>
  <si>
    <t>7731Z</t>
  </si>
  <si>
    <t>7732Z</t>
  </si>
  <si>
    <t>7733Z</t>
  </si>
  <si>
    <t>7734Z</t>
  </si>
  <si>
    <t>7735Z</t>
  </si>
  <si>
    <t>7739Z</t>
  </si>
  <si>
    <t>7740Z</t>
  </si>
  <si>
    <t>7810Z</t>
  </si>
  <si>
    <t>7820Z</t>
  </si>
  <si>
    <t>7830Z</t>
  </si>
  <si>
    <t>7911A</t>
  </si>
  <si>
    <t>7911B</t>
  </si>
  <si>
    <t>7912Z</t>
  </si>
  <si>
    <t>7990A</t>
  </si>
  <si>
    <t>7990B</t>
  </si>
  <si>
    <t>7990C</t>
  </si>
  <si>
    <t>8010Z</t>
  </si>
  <si>
    <t>8020Z</t>
  </si>
  <si>
    <t>8030Z</t>
  </si>
  <si>
    <t>8110Z</t>
  </si>
  <si>
    <t>8121Z</t>
  </si>
  <si>
    <t>8122Z</t>
  </si>
  <si>
    <t>8129Z</t>
  </si>
  <si>
    <t>8130Z</t>
  </si>
  <si>
    <t>8211Z</t>
  </si>
  <si>
    <t>8219Z</t>
  </si>
  <si>
    <t>8220Z</t>
  </si>
  <si>
    <t>8230Z</t>
  </si>
  <si>
    <t>8291Z</t>
  </si>
  <si>
    <t>8292Z</t>
  </si>
  <si>
    <t>8299Z</t>
  </si>
  <si>
    <t>8411Z</t>
  </si>
  <si>
    <t>8412Z</t>
  </si>
  <si>
    <t>8413Z</t>
  </si>
  <si>
    <t>8421Z</t>
  </si>
  <si>
    <t>8422Z</t>
  </si>
  <si>
    <t>8423Z</t>
  </si>
  <si>
    <t>8424Z</t>
  </si>
  <si>
    <t>8425Z</t>
  </si>
  <si>
    <t>8430Z</t>
  </si>
  <si>
    <t>8510Z</t>
  </si>
  <si>
    <t>8520Z</t>
  </si>
  <si>
    <t>8531A</t>
  </si>
  <si>
    <t>8531B</t>
  </si>
  <si>
    <t>8532A</t>
  </si>
  <si>
    <t>8532B</t>
  </si>
  <si>
    <t>8532C</t>
  </si>
  <si>
    <t>8532D</t>
  </si>
  <si>
    <t>8541A</t>
  </si>
  <si>
    <t>8541B</t>
  </si>
  <si>
    <t>8541C</t>
  </si>
  <si>
    <t>8542Z</t>
  </si>
  <si>
    <t>8551Z</t>
  </si>
  <si>
    <t>8552Z</t>
  </si>
  <si>
    <t>8553Z</t>
  </si>
  <si>
    <t>8559A</t>
  </si>
  <si>
    <t>8559B</t>
  </si>
  <si>
    <t>8560Z</t>
  </si>
  <si>
    <t>8610Z</t>
  </si>
  <si>
    <t>8621Z</t>
  </si>
  <si>
    <t>8622Z</t>
  </si>
  <si>
    <t>8623Z</t>
  </si>
  <si>
    <t>8690A</t>
  </si>
  <si>
    <t>8690B</t>
  </si>
  <si>
    <t>8690C</t>
  </si>
  <si>
    <t>8690D</t>
  </si>
  <si>
    <t>8690E</t>
  </si>
  <si>
    <t>8710Z</t>
  </si>
  <si>
    <t>8720Z</t>
  </si>
  <si>
    <t>8730Z</t>
  </si>
  <si>
    <t>8790Z</t>
  </si>
  <si>
    <t>8810Z</t>
  </si>
  <si>
    <t>8891Z</t>
  </si>
  <si>
    <t>8899Z</t>
  </si>
  <si>
    <t>9001Z</t>
  </si>
  <si>
    <t>9002Z</t>
  </si>
  <si>
    <t>9003Z</t>
  </si>
  <si>
    <t>9004Z</t>
  </si>
  <si>
    <t>9101A</t>
  </si>
  <si>
    <t>9101B</t>
  </si>
  <si>
    <t>9102Z</t>
  </si>
  <si>
    <t>9103Z</t>
  </si>
  <si>
    <t>9104Z</t>
  </si>
  <si>
    <t>9200Z</t>
  </si>
  <si>
    <t>9311Z</t>
  </si>
  <si>
    <t>9312Z</t>
  </si>
  <si>
    <t>9313Z</t>
  </si>
  <si>
    <t>9319Z</t>
  </si>
  <si>
    <t>9321Z</t>
  </si>
  <si>
    <t>9329Z</t>
  </si>
  <si>
    <t>9411Z</t>
  </si>
  <si>
    <t>9412Z</t>
  </si>
  <si>
    <t>9420Z</t>
  </si>
  <si>
    <t>9491Z</t>
  </si>
  <si>
    <t>9492Z</t>
  </si>
  <si>
    <t>9499Z</t>
  </si>
  <si>
    <t>9511Z</t>
  </si>
  <si>
    <t>9512Z</t>
  </si>
  <si>
    <t>9521Z</t>
  </si>
  <si>
    <t>9522Z</t>
  </si>
  <si>
    <t>9523Z</t>
  </si>
  <si>
    <t>9524Z</t>
  </si>
  <si>
    <t>9525Z</t>
  </si>
  <si>
    <t>9529Z</t>
  </si>
  <si>
    <t>9601Z</t>
  </si>
  <si>
    <t>9602Z</t>
  </si>
  <si>
    <t>9603Z</t>
  </si>
  <si>
    <t>9604Z</t>
  </si>
  <si>
    <t>9609Z</t>
  </si>
  <si>
    <t>9700Z</t>
  </si>
  <si>
    <t>9810Z</t>
  </si>
  <si>
    <t>9820Z</t>
  </si>
  <si>
    <t>9900Z</t>
  </si>
  <si>
    <t>Zakupione towary handlowe ujmowane są w księgach pomocniczych w postaci ewidencji ilościowo-wartościowej.</t>
  </si>
  <si>
    <t>Zakupione towary handlowe ujmowane są w księgach pomocniczych w postaci ewidencji ilościowej.</t>
  </si>
  <si>
    <t>Zakupione towary handlowe ujmowane są w księgach pomocniczych w postaci ewidencji wartościowej.</t>
  </si>
  <si>
    <t>Zakupione towary handlowe odpisywane są w koszty zużycia towarów w dacie ich zakupu.</t>
  </si>
  <si>
    <t>Die erworbenen Handelswaren werden mengen- und wertmäßig in den Hilfsbüchern erfasst.</t>
  </si>
  <si>
    <t>Die erworbenen Handelswaren werden mengenmäßig in den Hilfsbüchern erfasst.</t>
  </si>
  <si>
    <t>Die erworbenen Handelswaren werden wertmäßig in den Hilfsbüchern erfasst.</t>
  </si>
  <si>
    <t>Die erworbenen Handelswaren werden unter dem Einkaufsdatum direkt als Aufwand abgeschrieben.</t>
  </si>
  <si>
    <t>Purchased merchandise is recognised in the subsidiary ledgers in the form of records by quantity and value.</t>
  </si>
  <si>
    <t>Purchased merchandise is recognised in the subsidiary ledgers in the form of records by quantity.</t>
  </si>
  <si>
    <t>Purchased merchandise is recognised in the subsidiary ledgers in the form of records by value.</t>
  </si>
  <si>
    <t>Purchased merchandise is depreciated as costs of merchandise used at the merchandise purchase date.</t>
  </si>
  <si>
    <t>zmodyfikuj, gdy inny dzień bilansowy albo więcej walut</t>
  </si>
  <si>
    <t>Ukryj zbędne wiersze, gdy nie dotyczą</t>
  </si>
  <si>
    <t>Zysk netto za rok obrotowy</t>
  </si>
  <si>
    <t>Nierozliczony zysk/strata z lat ubiegłych</t>
  </si>
  <si>
    <t>Zysk netto z zysku lat ubiegłych, w tym objęty kapitałem rezerwowym, przeznaczony do podziału</t>
  </si>
  <si>
    <t>Razem do podziału</t>
  </si>
  <si>
    <t>Proponowany podział:</t>
  </si>
  <si>
    <t>- pokrycie straty z lat ubiegłych</t>
  </si>
  <si>
    <t>- zwiększenia kapitału zapasowego</t>
  </si>
  <si>
    <t>- zwiększenia kapitału rezerwowego</t>
  </si>
  <si>
    <t>- zwiększenia kapitału zakładowego</t>
  </si>
  <si>
    <t>- nagrody, premie, tantiemy</t>
  </si>
  <si>
    <t>- inne</t>
  </si>
  <si>
    <t>Zysk niepodzielony</t>
  </si>
  <si>
    <t>Strata netto za rok obrotowy</t>
  </si>
  <si>
    <t>Nierozliczony zysk / strata z lat ubiegłych</t>
  </si>
  <si>
    <t>Razem do pokrycia</t>
  </si>
  <si>
    <t>Proponowane źródła pokrycia:</t>
  </si>
  <si>
    <t>- kapitał (fundusz) zapasowy</t>
  </si>
  <si>
    <t>- kapitał (fundusz) rezerwowy</t>
  </si>
  <si>
    <t>- obniżenie kapitału (funduszu) podstawowego</t>
  </si>
  <si>
    <t>- dodatkowa emisja akcji lub udziałów po cenach wyższych od nominalnych</t>
  </si>
  <si>
    <t>Niepokryta strata</t>
  </si>
  <si>
    <t>Proszę ukryć zbędne wiersze</t>
  </si>
  <si>
    <t>Jahresüberschuss des Geschäftsjahres</t>
  </si>
  <si>
    <t>Net profit of the financial year</t>
  </si>
  <si>
    <t>Non-deducted profit (loss) carried forward</t>
  </si>
  <si>
    <t>Zu verteilender, unter den sonstigen Rücklagen erfasster Gewinnvortrag</t>
  </si>
  <si>
    <t>Net profit of previous years, including profit recognised under capital reserves, earmarked for distribution</t>
  </si>
  <si>
    <t>Insgesamt zur Verteilung</t>
  </si>
  <si>
    <t>Total for distribution</t>
  </si>
  <si>
    <t>Vorschläge zur Gewinnverwendung:</t>
  </si>
  <si>
    <t>Proposed distribution:</t>
  </si>
  <si>
    <t>- Deckung des Verlustvortrags</t>
  </si>
  <si>
    <t>- coverage of loss brought forward</t>
  </si>
  <si>
    <t>- Einstellung in die Kapitalrücklage</t>
  </si>
  <si>
    <t>- increase in capital reserves</t>
  </si>
  <si>
    <t>- Einstellung in sonstige Rücklagen</t>
  </si>
  <si>
    <t>- increase in other capital reserves</t>
  </si>
  <si>
    <t>- Erhöhung des Stammkapitals</t>
  </si>
  <si>
    <t>- increase in share capital</t>
  </si>
  <si>
    <t>- Belohnungen, Prämien, Tantiemen</t>
  </si>
  <si>
    <t>- rewards, bonuses, royalties</t>
  </si>
  <si>
    <t>- Zuführung zu Sonderfonds</t>
  </si>
  <si>
    <t>- additions to special-purpose funds</t>
  </si>
  <si>
    <t>- Erstattung von Nachschüssen an Gesellschafter der Gesellschaft mit beschränkter Haftung</t>
  </si>
  <si>
    <t>- refund of additional contributions to shareholders of the limited liability company</t>
  </si>
  <si>
    <t>- sonstige</t>
  </si>
  <si>
    <t>Thesaurierter Gewinn</t>
  </si>
  <si>
    <t>Retained profit</t>
  </si>
  <si>
    <t>Jahresfehlbetrag des Geschäftsjahres</t>
  </si>
  <si>
    <t>Net loss of the financial year</t>
  </si>
  <si>
    <t>Insgesamt zur Deckung</t>
  </si>
  <si>
    <t>Total to be covered</t>
  </si>
  <si>
    <t>Vorschläge zur Verlustdeckung:</t>
  </si>
  <si>
    <t>Proposed source of loss coverage:</t>
  </si>
  <si>
    <t>- Kapitalrücklage</t>
  </si>
  <si>
    <t>- capital reserves</t>
  </si>
  <si>
    <t>- Sonstige Rücklagen</t>
  </si>
  <si>
    <t>- other capital reserves</t>
  </si>
  <si>
    <t>- Herabsetzung des gezeichneten Kapitals</t>
  </si>
  <si>
    <t>- reduction of share capital</t>
  </si>
  <si>
    <t>- Nachschüsse der Gesellschafter in der Gesellschaft mit beschränkter Haftung</t>
  </si>
  <si>
    <t>- additional capital contributions by shareholders of the limited liability company</t>
  </si>
  <si>
    <t xml:space="preserve">- zusätzliche Emission von Aktien oder Anteilen zu höheren Preisen als Nennwert </t>
  </si>
  <si>
    <t>- additional share issue at prices higher than nominal value</t>
  </si>
  <si>
    <t>Nicht gedeckter Verlust</t>
  </si>
  <si>
    <t>Unabsorbed loss</t>
  </si>
  <si>
    <t>nota do podziału zysku</t>
  </si>
  <si>
    <t>- wypłata dywidendy</t>
  </si>
  <si>
    <t>- Dividendenausschüttung</t>
  </si>
  <si>
    <t>- dividend payment</t>
  </si>
  <si>
    <t>Proszę ukryć, gdy strata</t>
  </si>
  <si>
    <t>Proszę ukryć, gdy zysk</t>
  </si>
  <si>
    <t>Sporządzenie sprawozdania finansowego</t>
  </si>
  <si>
    <t>Provision for bonuses and wages and salaries</t>
  </si>
  <si>
    <t xml:space="preserve">Provision for unused holiday leave </t>
  </si>
  <si>
    <t>Provision for guarantees</t>
  </si>
  <si>
    <t>Rückstellung für Prämien sowie Löhne und Gehälter</t>
  </si>
  <si>
    <t xml:space="preserve">Urlaubsrückstellung </t>
  </si>
  <si>
    <t>Rückstellung für Garantien</t>
  </si>
  <si>
    <t>Rezerwa na podatek odroczony</t>
  </si>
  <si>
    <t>Rückstellung für die Prüfung des Jahresabschlusses</t>
  </si>
  <si>
    <t>Provision for audit of the financial statements</t>
  </si>
  <si>
    <t>Rückstellung für die Erstellung des Jahresabschlusses</t>
  </si>
  <si>
    <t>Provision for preparation of the financial statements</t>
  </si>
  <si>
    <t>sonstige Rückstellungen</t>
  </si>
  <si>
    <t>Rezerwa na naprawy gwarancyjne</t>
  </si>
  <si>
    <t>odpis indywidualny</t>
  </si>
  <si>
    <t>odpis ryczałtowy</t>
  </si>
  <si>
    <t>Kraje UE</t>
  </si>
  <si>
    <t>EU countries</t>
  </si>
  <si>
    <r>
      <t>EU-L</t>
    </r>
    <r>
      <rPr>
        <sz val="10"/>
        <rFont val="Arial"/>
        <family val="2"/>
        <charset val="238"/>
      </rPr>
      <t>ä</t>
    </r>
    <r>
      <rPr>
        <sz val="10"/>
        <rFont val="Arial"/>
        <family val="2"/>
        <charset val="238"/>
      </rPr>
      <t>nder</t>
    </r>
  </si>
  <si>
    <t>C. Przychody niepodlegające opodatkowaniu w roku bieżącym, w tym:</t>
  </si>
  <si>
    <t>W przypadku dodania nowych pozycji, nie występujących we wzorze (wynikających z uszczegółowienia pozycji powyżej 20 TPLN), należy je również ręcznie dodać eDek</t>
  </si>
  <si>
    <t>wartość początkowa</t>
  </si>
  <si>
    <t>wypełnij wartości graniczne</t>
  </si>
  <si>
    <t>WNIP</t>
  </si>
  <si>
    <t>ST</t>
  </si>
  <si>
    <t>Zakupy</t>
  </si>
  <si>
    <t>Odsetki - koszty finansowe</t>
  </si>
  <si>
    <t>Odsetki - przychody finansowe</t>
  </si>
  <si>
    <t>Otrzymane dywidendy i udziały w zyskach</t>
  </si>
  <si>
    <t>Nota dotyczy obrotów z jednostkami powiązanymi, nie jest wymagane podawanie sald należności/zobowiązań</t>
  </si>
  <si>
    <t>Otrzymane pożyczki</t>
  </si>
  <si>
    <t>Udzielone pożyczki</t>
  </si>
  <si>
    <t>Zakup środków trwałych</t>
  </si>
  <si>
    <t>Purchases</t>
  </si>
  <si>
    <t>Interest – financial expenses</t>
  </si>
  <si>
    <t>Interest – financial revenues</t>
  </si>
  <si>
    <t>Dividends and profit sharing, received</t>
  </si>
  <si>
    <t>Loans granted</t>
  </si>
  <si>
    <t>Loans received</t>
  </si>
  <si>
    <t>Purchases of tangible assets</t>
  </si>
  <si>
    <t>Einkäufe</t>
  </si>
  <si>
    <t>Verkäufe</t>
  </si>
  <si>
    <t>Zinsen - Finanzaufwendungen</t>
  </si>
  <si>
    <t>Zinsen - Finanzerträge</t>
  </si>
  <si>
    <t>Gewährte Darlehen</t>
  </si>
  <si>
    <t>Erhaltene Darlehen</t>
  </si>
  <si>
    <t>Einkauf von Sachanlagen</t>
  </si>
  <si>
    <t>Going concern assumption</t>
  </si>
  <si>
    <t>Annahme der Unternehmensfortführung</t>
  </si>
  <si>
    <t>Informacja, czy sprawozdanie finansowe jest sporządzone po połączeniu spółek</t>
  </si>
  <si>
    <t>Information whether the financial statements were compiled after a company merger</t>
  </si>
  <si>
    <t xml:space="preserve">Information, ob der Jahresabschluss nach erfolgter Verschmelzung der Gesellschaften erstellt wird </t>
  </si>
  <si>
    <t>Information about the costs of research and development which have not been classified as intangible assets by virtue of Article 33(2)</t>
  </si>
  <si>
    <t>definicja grupy zawodowej do dowolnej modyfikacji, wystarczy np.. Pracownicy fizyczni, pracownicy umysłowi</t>
  </si>
  <si>
    <t xml:space="preserve">Write-downs of long-term non-financial assets  </t>
  </si>
  <si>
    <t xml:space="preserve">Write-downs of long-term financial assets  </t>
  </si>
  <si>
    <t>Individual value adjustments</t>
  </si>
  <si>
    <t>Flat-rate value adjustments</t>
  </si>
  <si>
    <t>Koszty remontów</t>
  </si>
  <si>
    <t>Opłacone z góry prenumeraty, czynsze</t>
  </si>
  <si>
    <t>Koszty ubezpieczeń majątkowych i osobowych</t>
  </si>
  <si>
    <t>Odsetki naliczone od lokat</t>
  </si>
  <si>
    <t>Podatek VAT do rozliczenia w następnych okresach</t>
  </si>
  <si>
    <t>Różnica między poniesionymi a zarachowanymi na wynik finansowy kosztami umów długoterminowych, w tym budowlanych</t>
  </si>
  <si>
    <t>Różnice między niższymi przychodami zafakturowanymi a przychodami faktycznie ustalonymi z umów długoterminowych, w tym budowlanych</t>
  </si>
  <si>
    <t>Różnica między wartością otrzymanych finansowych składników aktywów a zobowiązaniem zapłaty za nie</t>
  </si>
  <si>
    <t>Costs of repairs</t>
  </si>
  <si>
    <t>Subscriptions and rents, paid in advance</t>
  </si>
  <si>
    <t>Property and personal insurance costs</t>
  </si>
  <si>
    <t>Interest accrued on deposits</t>
  </si>
  <si>
    <t>VAT to be settled in next periods</t>
  </si>
  <si>
    <t>Difference between long-term contracts’ costs incurred and those recognised in the profit (loss), including construction contracts</t>
  </si>
  <si>
    <t>Differences between revenues invoiced (lower value) and those actually determined in long-term contracts, including construction contracts</t>
  </si>
  <si>
    <t>Difference between the value of received financial assets and the amount payable for them</t>
  </si>
  <si>
    <t>Instandsetzung</t>
  </si>
  <si>
    <t>Im Voraus bezahltes Abonnement, Miete</t>
  </si>
  <si>
    <t>Vermögens- und Personenversicherungen</t>
  </si>
  <si>
    <t>Berechnete Zinsen auf Festgelder</t>
  </si>
  <si>
    <t>Umsatzsteuer – zu erklären in den nächsten Perioden</t>
  </si>
  <si>
    <t>Differenz zwischen den getragenen und den ergebniswirksamen Kosten der langfristigen Verträge, darunter Bauverträge</t>
  </si>
  <si>
    <t>Differenz zwischen den niedrigeren fakturierten Erlösen und den tatsächlichen Erlösen aus langfristigen Verträgen, darunter Bauverträgen</t>
  </si>
  <si>
    <t>Differenz zwischen dem Wert der erhaltenen finanziellen Vermögenswerte und den Zahlungsverbindlichkeiten für diese Vermögenswerte</t>
  </si>
  <si>
    <t>Bierne rozliczenia kosztów</t>
  </si>
  <si>
    <t>Accrued expenses</t>
  </si>
  <si>
    <t>Passive Aufwandsabgrenzung</t>
  </si>
  <si>
    <t xml:space="preserve">Accrued liabilities </t>
  </si>
  <si>
    <t>Specification of accrued liabilities</t>
  </si>
  <si>
    <t>rozliczenia międzyokresowe bierne ujęte w pozycji zobowiązań handlowych zgodnie z art.. 39 ust 2 UoR</t>
  </si>
  <si>
    <t>Passive Aufwandsabgrenzungsposten</t>
  </si>
  <si>
    <t>Einzelaufstellung passiver Aufwandssabgrenzungsposten</t>
  </si>
  <si>
    <t>Rozliczenia poz B. IV. Pasywa</t>
  </si>
  <si>
    <t>Dotacja na budowę środków trwałych i prac rozwojowych</t>
  </si>
  <si>
    <t>Nieodpłatnie otrzymane środki trwałe, środki trwałe w budowie oraz wartości niematerialne i prawne</t>
  </si>
  <si>
    <t xml:space="preserve">Pozostałe </t>
  </si>
  <si>
    <t xml:space="preserve">Rozliczenia międzyokresowe </t>
  </si>
  <si>
    <t xml:space="preserve">Tytuł rozliczeń międzyokresowych </t>
  </si>
  <si>
    <t>Subsidy for construction of tangible assets and development work</t>
  </si>
  <si>
    <t>Tangible assets, assets under construction and intangible assets received free of charge</t>
  </si>
  <si>
    <t>Zuschüsse für den Bau von Sachanlagen und Entwicklungsarbeiten</t>
  </si>
  <si>
    <t>Unentgeltlich erhaltene Sachanlagen, Anlagen im Bau und immaterielle Vermögensgegenstände und Rechte</t>
  </si>
  <si>
    <t xml:space="preserve">Sonstige </t>
  </si>
  <si>
    <t>Costs of completed research and development work</t>
  </si>
  <si>
    <t>Grunty (w tym prawo użytkowania wieczystego gruntu)</t>
  </si>
  <si>
    <t>Land (incl. perpetual usufruct right)</t>
  </si>
  <si>
    <t>Buildings, premises, rights to premises, and civil engineering structures</t>
  </si>
  <si>
    <t>Advance payments for assets under construction</t>
  </si>
  <si>
    <t>Real properties</t>
  </si>
  <si>
    <t>Tangible assets used under contracts of lease and other similar agreements, not depreciated by the entity</t>
  </si>
  <si>
    <t>Nicht abgeschriebene Sachanlagen, die aufgrund eines Leasing-, Miet-, Pachtvertrags oder anderer Verträge genutzt worden sind</t>
  </si>
  <si>
    <t>Liczba oraz wartość posiadanych papierów wartościowych lub praw, w tym świadectw udziałowych, zamiennych dłużnych papierów wartościowych, warrantów i opcji ze wskazaniem praw, jakie przyznają</t>
  </si>
  <si>
    <t>Anzahl und Wert der im Besitz der Gesellschaft befindlichen Wertpapiere und Rechte, darunter der Anteilsscheine, Wandelschuldverschreibungen, Optionsscheine und Optionen unter Angabe der Rechte, die sie gewähren</t>
  </si>
  <si>
    <t>Number and value of the securities or rights, including share certificates, convertible debt securities, warrants and options, with specification of the rights they confer</t>
  </si>
  <si>
    <t>Total liabilities secured against the Company's assets (by nature and form of each security)</t>
  </si>
  <si>
    <t>kurzfristiger Teil</t>
  </si>
  <si>
    <t>langfristiger Teil</t>
  </si>
  <si>
    <t>Net revenue from the sale of merchandise and goods, by item (type of activity) and by area (geographical market), in so far as the types of activity and the geographical markets significantly differ from each other in terms of the rules on the sale of goods and the supply of services;</t>
  </si>
  <si>
    <t>Domestic</t>
  </si>
  <si>
    <t>Koszt wytworzenia produktów na własne potrzeby oraz koszty rodzajowe (tylko w przypadku, gdy jednostka sporządza rachunek zysków i strat w wariancie kalkulacyjnym)</t>
  </si>
  <si>
    <t xml:space="preserve">Production cost of finished goods for own purposes and expenses by type (only if the entity prepares the income statement using the function of expense method)
</t>
  </si>
  <si>
    <t>Eigenleistungen und Aufwendungen der betrieblichen Tätigkeit (sofern die Gesellschaft die Gewinn- und Verlustrechnung nach dem Umsatzkostenverfahren erstellt)</t>
  </si>
  <si>
    <t xml:space="preserve">Value adjustment write-downs of tangible assets and clarification of the reasons </t>
  </si>
  <si>
    <t>Cost of production of assets under construction, including interest and foreign exchange gains (losses) which have increased the cost of production of the assets in the financial year</t>
  </si>
  <si>
    <t>Interest and foreign exchange gains (losses) which have increased the acquisition cost of merchandise or the cost of production of goods in the financial year</t>
  </si>
  <si>
    <t xml:space="preserve">Informacje o charakterze i celu gospodarczym zawartych przez jednostkę umów nieuwzględnionych w bilansie w zakresie niezbędnym do oceny ich wpływu na sytuację majątkową, finansową i wynik finansowy </t>
  </si>
  <si>
    <t xml:space="preserve">Nature and economic objective of agreements made by the Company and not included in the balance sheet in the scope necessary for assessing their impact on the net worth and financial standing as well as the profit (loss) </t>
  </si>
  <si>
    <t>Istotne transakcje zawarte przez spółkę na innych warunkach niż rynkowe ze stronami powiązanymi</t>
  </si>
  <si>
    <t>Wesentliche Geschäfte, die durch die Gesellschaft mit verbundenen Parteien zu anderen als den marktüblichen Konditionen abgeschlossen wurden</t>
  </si>
  <si>
    <t>Significant transactions made by the Company with related parties on non-market terms</t>
  </si>
  <si>
    <t>Przychody i koszty z tytułu błędów popełnionych w latach ubiegłych odnoszonych w roku obrotowym na kapitał (fundusz) własny</t>
  </si>
  <si>
    <t>Erträge und Aufwendungen aufgrund der Fehler aus den Vorjahren, die im Geschäftsjahr unter dem Eigenkapital erfasst werden</t>
  </si>
  <si>
    <t>Revenues and expenses resulting from errors committed in previous years, appropriated to owners' equity</t>
  </si>
  <si>
    <t>Information on significant events after balance sheet date, not disclosed in the financial statements</t>
  </si>
  <si>
    <t>Informacje liczbowe, wraz z wyjaśnieniem, zapewniające porównywalność danych sprawozdania finansowego za rok poprzedzający ze sprawozdaniem za rok obrotowy</t>
  </si>
  <si>
    <t>Numerical information, with clarification, guaranteeing the comparability of data from prior year financial statements with this year financial statements</t>
  </si>
  <si>
    <t>Joint ventures applying the consolidation exception</t>
  </si>
  <si>
    <t>Gemeinsame Unternehmungen, die nicht in den Konzernabschluss einbezogen werden</t>
  </si>
  <si>
    <t>Wspólne przedsięwzięcia, które nie podlegają konsolidacji</t>
  </si>
  <si>
    <t>Name, address of the management or registered office of the entity and the legal form of each entity in which the Company is a shareholder or partner liable with all its assets</t>
  </si>
  <si>
    <t>wybierz prawidłowe</t>
  </si>
  <si>
    <t>akcje</t>
  </si>
  <si>
    <t>udziały</t>
  </si>
  <si>
    <t>Na dzień bilansowy udziały w Spółce posiadają:</t>
  </si>
  <si>
    <t>Die Anteile der Gesellschaft werden zum Bilanzstichtag gehalten von:</t>
  </si>
  <si>
    <t>Nazwa udziałowca</t>
  </si>
  <si>
    <t>Wartość udziałów</t>
  </si>
  <si>
    <t xml:space="preserve">Ilość udziałów </t>
  </si>
  <si>
    <t xml:space="preserve">Wert der Anteile </t>
  </si>
  <si>
    <t xml:space="preserve">Anzahl der Anteile </t>
  </si>
  <si>
    <t>Die Aktien der Gesellschaft werden zum Bilanzstichtag gehalten von:</t>
  </si>
  <si>
    <t>Wert der Aktien</t>
  </si>
  <si>
    <t>Anzahl der Aktien</t>
  </si>
  <si>
    <t>Wert einer Aktie</t>
  </si>
  <si>
    <t xml:space="preserve">Wert eines Anteils </t>
  </si>
  <si>
    <t>Ilość  akcji</t>
  </si>
  <si>
    <t>Wartość  akcji</t>
  </si>
  <si>
    <t>Nazwa akcjonariusza</t>
  </si>
  <si>
    <t>Na dzień bilansowy akcje w Spółce posiadają:</t>
  </si>
  <si>
    <t>Jednostka sporządza zestawienie zmian w kapitale własnym.</t>
  </si>
  <si>
    <t xml:space="preserve">Die Gesellschaft erstellt den Eigenkapitalspiegel. </t>
  </si>
  <si>
    <t>The Company prepares the statement of changes in equity.</t>
  </si>
  <si>
    <t>Zakupione materiały ujmowane są w księgach pomocniczych w postaci ewidencji ilościowo - wartościowej.</t>
  </si>
  <si>
    <t>Die erworbenen RHB-Stoffe werden mengen- und wertmäßig in den Hilfsbüchern erfasst.</t>
  </si>
  <si>
    <t>Purchased raw materials are recognised in subsidiary ledgers in the form of records by quantity and value.</t>
  </si>
  <si>
    <t>Zakupione materiały ujmowane są w księgach pomocniczych w postaci ewidencji wartościowej.</t>
  </si>
  <si>
    <t>Die erworbenen RHB-Stoffe werden wertmäßig in den Hilfsbüchern erfasst.</t>
  </si>
  <si>
    <t>Purchased raw materials are recognised in subsidiary ledgers in the form of records by value.</t>
  </si>
  <si>
    <t>Zakupione materiały odpisywane są w koszty zużycia materiałów w dacie ich zakupu.</t>
  </si>
  <si>
    <t>Die erworbenen RHB-Stoffe werden unter dem Einkaufsdatum direkt als Aufwand abgeschrieben.</t>
  </si>
  <si>
    <t>Purchased raw materials are depreciated as costs of raw materials used at the raw materials’ purchase date.</t>
  </si>
  <si>
    <t>- z zysków lat przyszłych</t>
  </si>
  <si>
    <t>- aus Gewinnen der Folgejahre</t>
  </si>
  <si>
    <t xml:space="preserve">- from next year's profits </t>
  </si>
  <si>
    <t>- sposób sporządzenia rachunku zysków i strat.</t>
  </si>
  <si>
    <t>- Art und Weise der Erstellung der Gewinn- und Verlustrechnung.</t>
  </si>
  <si>
    <t>- method of preparing the income statement.</t>
  </si>
  <si>
    <t>Czy spółka sporządza rachunek przepływów?</t>
  </si>
  <si>
    <t>tak</t>
  </si>
  <si>
    <t>nie</t>
  </si>
  <si>
    <t>Ukryj gdy jednostka nie sporządza rachunku przepływów pieniężnych</t>
  </si>
  <si>
    <t>1.12</t>
  </si>
  <si>
    <t>Środki pieniężne zgromadzone na rachunku VAT, o którym mowa w art. 62a ust.1 ustawy z dn. 29.08.1997 - Prawo bankowe</t>
  </si>
  <si>
    <t>Proszę ukryć wiersze, w przypadku uzupełniania noty!</t>
  </si>
  <si>
    <t>Członek Zarządu</t>
  </si>
  <si>
    <t>Prezes Zarządu</t>
  </si>
  <si>
    <t>¾</t>
  </si>
  <si>
    <t>Poczta:</t>
  </si>
  <si>
    <t>Getreide (ohne Reis), Hülsenfrüchte und Ölsaaten</t>
  </si>
  <si>
    <t>Rohreis</t>
  </si>
  <si>
    <t>Gemüse und Melonen sowie Wurzeln und Knollen</t>
  </si>
  <si>
    <t>Zuckerrohr</t>
  </si>
  <si>
    <t>Tabak</t>
  </si>
  <si>
    <t>Faserpflanzen</t>
  </si>
  <si>
    <t>Sonstige einjährige Pflanzen</t>
  </si>
  <si>
    <t xml:space="preserve">Wein- und Tafeltrauben </t>
  </si>
  <si>
    <t xml:space="preserve">Tropische und subtropische Früchte </t>
  </si>
  <si>
    <t>Zitrusfrüchte</t>
  </si>
  <si>
    <t>Kern- und Steinobst</t>
  </si>
  <si>
    <t>Sonstiges Baum- und Strauchobst und Nüsse</t>
  </si>
  <si>
    <t>Ölhaltige Früchte</t>
  </si>
  <si>
    <t>Pflanzen zur Herstellung von Getränken</t>
  </si>
  <si>
    <t>Gewürzpflanzen, Pflanzen für aromatische, narkotische und pharmazeutische Zwecke</t>
  </si>
  <si>
    <t xml:space="preserve">Sonstige mehrjährige Pflanzen </t>
  </si>
  <si>
    <t>Baumschulerzeugnisse, Pflanzen zu Vermehrungszwecken; Pilzmycel</t>
  </si>
  <si>
    <t>Milchkühe, lebend, sowie Rohmilch von Milchkühen</t>
  </si>
  <si>
    <t xml:space="preserve">Sonstige Rinder und Büffel, lebend, sowie deren Sperma </t>
  </si>
  <si>
    <t xml:space="preserve">Pferde und Esel, lebend </t>
  </si>
  <si>
    <t>Kamele und Kamelartige, lebend</t>
  </si>
  <si>
    <t>Schafe und Ziegen, lebend; Rohmilch und Schurwolle von Schafen und Ziegen</t>
  </si>
  <si>
    <t>Schweine, lebend</t>
  </si>
  <si>
    <t xml:space="preserve">Geflügel, lebend, sowie Eier </t>
  </si>
  <si>
    <t>Sonstige Nutztiere und tierische Erzeugnisse</t>
  </si>
  <si>
    <t>Landwirtschaftlicher Anbau mit Tierhaltung und -zucht (gemischte Tätigkeit)</t>
  </si>
  <si>
    <t>Landwirtschaftliche Dienstleistungen für den Pflanzenbau</t>
  </si>
  <si>
    <t xml:space="preserve">Landwirtschaftliche Dienstleistungen für die Tierhaltung </t>
  </si>
  <si>
    <t xml:space="preserve">Nach der Ernte anfallende Dienstleistungen in der pflanzlichen Erzeugung </t>
  </si>
  <si>
    <t xml:space="preserve">Dienstleistungen der Saatgutaufbereitung </t>
  </si>
  <si>
    <t xml:space="preserve">Jagd, Fallenstellerei und damit verbundene Dienstleistungen </t>
  </si>
  <si>
    <t xml:space="preserve">Waldbestand sowie Erzeugnisse und Dienstleistungen von Forstbaumschulen </t>
  </si>
  <si>
    <t>Rohholz</t>
  </si>
  <si>
    <t xml:space="preserve">Wildwachsende Produkte (ohne Holz) </t>
  </si>
  <si>
    <t xml:space="preserve">Dienstleistungen für Forstwirtschaft und Holzgewinnung </t>
  </si>
  <si>
    <t>Steinkohle</t>
  </si>
  <si>
    <t>Braunkohle</t>
  </si>
  <si>
    <t xml:space="preserve">Erdöl </t>
  </si>
  <si>
    <t xml:space="preserve">Erdgas, verflüssigt oder gasförmig </t>
  </si>
  <si>
    <t xml:space="preserve">Eisenerze </t>
  </si>
  <si>
    <t xml:space="preserve">Uran- und Thoriumerze </t>
  </si>
  <si>
    <t>Sonstige NE-Metallerze und ihre Konzentrate</t>
  </si>
  <si>
    <t xml:space="preserve">Naturwerksteine und Natursteine, Kalk- und Gipsstein, Kreide und Schiefer </t>
  </si>
  <si>
    <t xml:space="preserve">Kies, Sand, Ton und Kaolin </t>
  </si>
  <si>
    <t xml:space="preserve">Chemische und Düngemittelminerale </t>
  </si>
  <si>
    <t>Torf</t>
  </si>
  <si>
    <t xml:space="preserve">Salz und reines Natriumchlorid; Meerwasser </t>
  </si>
  <si>
    <t xml:space="preserve">Sonstige Steine, Erden und Bergbauerzeugnisse, a.n.g </t>
  </si>
  <si>
    <t>Dienstleistungen für die Gewinnung von Erdöl und Erdgas</t>
  </si>
  <si>
    <t xml:space="preserve">Dienstleistungen für den sonstigen Bergbau und die Gewinnung von Steinen und Erden </t>
  </si>
  <si>
    <t>Schlachten (ohne Schlachten von Geflügel)</t>
  </si>
  <si>
    <t>Schlachten von Geflügel</t>
  </si>
  <si>
    <t>Fleischverarbeitung</t>
  </si>
  <si>
    <t>Fischverarbeitung;</t>
  </si>
  <si>
    <t xml:space="preserve">Verarbeitete Kartoffeln und Kartoffelerzeugnisse </t>
  </si>
  <si>
    <t>Frucht- und Gemüsesäfte</t>
  </si>
  <si>
    <t>Sonstige Verarbeitung von Obst und Gemüse</t>
  </si>
  <si>
    <t>Öle und Fette</t>
  </si>
  <si>
    <t xml:space="preserve">Margarine und ähnliche Nahrungsfette </t>
  </si>
  <si>
    <t>Milchverarbeitung und Käseherstellung (ohne Speiseeis)</t>
  </si>
  <si>
    <t xml:space="preserve">Speiseeis </t>
  </si>
  <si>
    <t xml:space="preserve">Mahl- und Schälmühlenerzeugnisse </t>
  </si>
  <si>
    <t>Stärke und Stärkeerzeugnisse</t>
  </si>
  <si>
    <t>Backwaren (ohne Dauerbackwaren)</t>
  </si>
  <si>
    <t>Dauerbackwaren</t>
  </si>
  <si>
    <t>Teigwaren</t>
  </si>
  <si>
    <t>Süßwaren (ohne Dauerbackwaren)</t>
  </si>
  <si>
    <t>Würzen und Soßen</t>
  </si>
  <si>
    <t>Fertiggerichte</t>
  </si>
  <si>
    <t>Homogenisierte und diätetische Nahrungsmittel</t>
  </si>
  <si>
    <t>Sonstige Nahrungsmittel, a.n.g.</t>
  </si>
  <si>
    <t>Futtermittel für Nutztiere</t>
  </si>
  <si>
    <t>Futtermittel für sonstige Tiere</t>
  </si>
  <si>
    <t>Kunstfasern, bearbeitet zum Spinnen</t>
  </si>
  <si>
    <t>Baumwollweberei</t>
  </si>
  <si>
    <t>Wollweberei</t>
  </si>
  <si>
    <t>Gewebe aus Kunstfasern</t>
  </si>
  <si>
    <t>Sonstige Weberei</t>
  </si>
  <si>
    <t xml:space="preserve">Textilveredlungsleistungen </t>
  </si>
  <si>
    <t>Strumpfwaren</t>
  </si>
  <si>
    <t xml:space="preserve">Sonstige Bekleidung aus gewirktem und gestricktem Stoff </t>
  </si>
  <si>
    <t>Schuhe</t>
  </si>
  <si>
    <t xml:space="preserve">Holz, gesägt und gehobelt </t>
  </si>
  <si>
    <t xml:space="preserve">Furnier-, Sperrholz-, Holzfaser- und Holzspanplatten </t>
  </si>
  <si>
    <t>Parkettböden</t>
  </si>
  <si>
    <t xml:space="preserve">Verpackungsmittel, Lagerbehälter und Ladungsträger, aus Holz </t>
  </si>
  <si>
    <t xml:space="preserve">Andere Holzwaren; Kork-, Flecht- und Korbwaren </t>
  </si>
  <si>
    <t xml:space="preserve">Holz- und Zellstoff </t>
  </si>
  <si>
    <t xml:space="preserve">Papier, Karton und Pappe </t>
  </si>
  <si>
    <t xml:space="preserve">Wellpapier und -pappe; Verpackungsmittel aus Papier, Karton und Pappe </t>
  </si>
  <si>
    <t>Haushalts-, Hygiene- und Toilettenartikeln aus Zellstoff, Papier und Pappe</t>
  </si>
  <si>
    <t xml:space="preserve">Schreibwaren und Bürobedarf aus Papier, Karton und Pappe </t>
  </si>
  <si>
    <t>Tapeten</t>
  </si>
  <si>
    <t xml:space="preserve">Sonstige Waren aus Papier, Karton und Pappe </t>
  </si>
  <si>
    <t>Andere Dienstleistungen des Druckens</t>
  </si>
  <si>
    <t>Druck- und medienvorbereitende Dienstleistungen</t>
  </si>
  <si>
    <t xml:space="preserve">Dienstleistungen der Buchbinderei </t>
  </si>
  <si>
    <t>Dienstleistungen der Vervielfältigung von bespielten Ton-, Bild- und Datenträgern</t>
  </si>
  <si>
    <t xml:space="preserve">Kokereierzeugnisse </t>
  </si>
  <si>
    <t>Mineralölerzeugnisse</t>
  </si>
  <si>
    <t xml:space="preserve">Industriegase </t>
  </si>
  <si>
    <t>Sonstige anorganische Grundstoffe und Chemikalien</t>
  </si>
  <si>
    <t>Sonstige organische Grundstoffe und Chemikalien</t>
  </si>
  <si>
    <t xml:space="preserve">Düngemittel und Stickstoffverbindungen </t>
  </si>
  <si>
    <t>Kunststoffe, in Primärformen</t>
  </si>
  <si>
    <t>Synthetischer Kautschuk, in Primärformen</t>
  </si>
  <si>
    <t xml:space="preserve">Schädlingsbekämpfungs-, Pflanzenschutz- und Desinfektionsmittel </t>
  </si>
  <si>
    <t>Anstrichmittel, Druckfarben und Kitte</t>
  </si>
  <si>
    <t>Seifen, Wasch-, Reinigungs- und Poliermittel</t>
  </si>
  <si>
    <t>Körperpflegemittel und Duftstoffe</t>
  </si>
  <si>
    <t>Etherische Öle</t>
  </si>
  <si>
    <t>Sonstige chemische Erzeugnisse, a.n.g.</t>
  </si>
  <si>
    <t>Chemiefasern</t>
  </si>
  <si>
    <t>Pharmazeutische Grundstoffe</t>
  </si>
  <si>
    <t>Pharmazeutische Spezialitäten und sonstige pharmazeutische Erzeugnisse</t>
  </si>
  <si>
    <t>Bereifungen aus Kautschuk; Runderneuerung von Bereifungen aus Kautschuk</t>
  </si>
  <si>
    <t>Platten, Folien, Schläuche und Profile, aus Kunststoffen</t>
  </si>
  <si>
    <t>Verpackungsmittel aus Kunststoffen</t>
  </si>
  <si>
    <t>Baubedarfsartikel aus Kunststoffen</t>
  </si>
  <si>
    <t>Sonstige Kunststoffwaren</t>
  </si>
  <si>
    <t>Flachglas</t>
  </si>
  <si>
    <t>Veredlung und Bearbeitung von Flachglas</t>
  </si>
  <si>
    <t>Hohlglas</t>
  </si>
  <si>
    <t>Glasfasern und Waren daraus</t>
  </si>
  <si>
    <t>Herstellung, Veredlung und Bearbeitung von sonstigem Glas einschließlich technischen Glaswaren</t>
  </si>
  <si>
    <t>Feuerfeste keramische Werkstoffe und Ware</t>
  </si>
  <si>
    <t xml:space="preserve">Keramische Wand- und Bodenfliesen und -platten </t>
  </si>
  <si>
    <t>Ziegel und sonstige Baukeramik</t>
  </si>
  <si>
    <t xml:space="preserve">Sanitärkeramik </t>
  </si>
  <si>
    <t>Keramische Isolatoren und Isolationsverschalungen</t>
  </si>
  <si>
    <t>Keramische Erzeugnisse für sonstige technische Zwecke</t>
  </si>
  <si>
    <t>Sonstige keramische Erzeugnisse</t>
  </si>
  <si>
    <t>Zement</t>
  </si>
  <si>
    <t>Kalk und gebrannter Gips</t>
  </si>
  <si>
    <t>Erzeugnisse aus Beton, Zement und Kalksandstein für den Bau</t>
  </si>
  <si>
    <t xml:space="preserve">Gipserzeugnisse für den Bau </t>
  </si>
  <si>
    <t>Frischbeton</t>
  </si>
  <si>
    <t>Mörtel und anderer Beton (Trockenbeton)</t>
  </si>
  <si>
    <t>Faserzementwaren</t>
  </si>
  <si>
    <t>Sonstige Erzeugnissen aus Beton, Zement und Gips a.n.g.</t>
  </si>
  <si>
    <t>Be- und Verarbeitung von Naturwerksteinen und Natursteinen</t>
  </si>
  <si>
    <t>Schleifkörper und Schleifmittel auf Unterlage</t>
  </si>
  <si>
    <t>Sonstige Erzeugnisse aus nichtmetallischen Mineralien a. n. g.</t>
  </si>
  <si>
    <t>Roheisen, Stahl und Ferrolegierungen</t>
  </si>
  <si>
    <t>Stahlrohre, Rohrform-, Rohrverschluss- und Rohrverbindungsstücke aus Stahl</t>
  </si>
  <si>
    <t>Blankstahl</t>
  </si>
  <si>
    <t>Kaltband mit einer Breite von weniger als 600 mm</t>
  </si>
  <si>
    <t>Kaltprofilen</t>
  </si>
  <si>
    <t>Kaltgezogener Draht</t>
  </si>
  <si>
    <t xml:space="preserve">Edelmetalle und Halbzeug daraus </t>
  </si>
  <si>
    <t xml:space="preserve">Aluminium in Rohform, Aluminiumlegierungen; Aluminiumoxid </t>
  </si>
  <si>
    <t xml:space="preserve">Halbzeug aus Aluminium </t>
  </si>
  <si>
    <t xml:space="preserve">Blei, Zink und Zinn und Halbzeug daraus </t>
  </si>
  <si>
    <t xml:space="preserve">Kupfer und Halbzeug daraus </t>
  </si>
  <si>
    <t xml:space="preserve">Sonstige NE-Metalle und Halbzeug daraus </t>
  </si>
  <si>
    <t>Kernbrennstoffe</t>
  </si>
  <si>
    <t>Eisengießereierzeugnisse</t>
  </si>
  <si>
    <t xml:space="preserve">Teile aus Stahlguss </t>
  </si>
  <si>
    <t xml:space="preserve">Teile aus Leichtmetallguss </t>
  </si>
  <si>
    <t xml:space="preserve">Teile aus Buntmetall-/Schwermetallguss </t>
  </si>
  <si>
    <t>Buntmetallgießereierzeugnisse, a.n.g.</t>
  </si>
  <si>
    <t>Metallkonstruktionen und deren Teile</t>
  </si>
  <si>
    <t>Ausbauelemente aus Metall</t>
  </si>
  <si>
    <t>Heizkörper und -kessel für Zentralheizungen</t>
  </si>
  <si>
    <t>Sammelbehälter, Tanks u. ä. Behälter aus Metall</t>
  </si>
  <si>
    <t>Dampfkessel ohne Zentralheizungskessel</t>
  </si>
  <si>
    <t>Schmiede-, Press-, Zieh- und Stanzteile, gewalzte Ringe und pulvermetallurgische Erzeugnisse</t>
  </si>
  <si>
    <t>Oberflächenveredlung und Wärmebehandlung</t>
  </si>
  <si>
    <t>Mechanische Verarbeitung von Metallelementen</t>
  </si>
  <si>
    <t>Schneidwaren und Besteck</t>
  </si>
  <si>
    <t>Schlösser und Beschläge</t>
  </si>
  <si>
    <t>Werkzeug</t>
  </si>
  <si>
    <t>Fässer, Trommeln, Dosen, Eimer u. ä. Behälter aus Metall</t>
  </si>
  <si>
    <t xml:space="preserve">Verpackungen und Verschlüsse aus Eisen, Stahl und NE-Metall </t>
  </si>
  <si>
    <t xml:space="preserve">Drahtwaren, Ketten und Federn </t>
  </si>
  <si>
    <t>Schrauben und Nieten</t>
  </si>
  <si>
    <t>Sonstige Metallwaren a.n.g.</t>
  </si>
  <si>
    <t>Elektronische Bauelemente</t>
  </si>
  <si>
    <t>Bestückte Leiterplatten</t>
  </si>
  <si>
    <t>Datenverarbeitungsgeräte und periphere Geräte</t>
  </si>
  <si>
    <t>Geräte und Einrichtungen der Telekommunikationstechnik</t>
  </si>
  <si>
    <t>Geräte der Unterhaltungselektronik</t>
  </si>
  <si>
    <t>Mess-, Kontroll-, Navigations- u. ä. Instrumente und Vorrichtungen</t>
  </si>
  <si>
    <t>Uhren</t>
  </si>
  <si>
    <t>Bestrahlungs- und Elektrotherapiegeräte und elektromedizinische Geräte</t>
  </si>
  <si>
    <t>Optische und fotografische Instrumente und Geräte</t>
  </si>
  <si>
    <t>Magnetische und optische Datenträger</t>
  </si>
  <si>
    <t>Elektromotoren, Generatoren und Transformatoren</t>
  </si>
  <si>
    <t>Elektrizitätsverteilungs- und -schalteinrichtungen</t>
  </si>
  <si>
    <t>Batterien und Akkumulatoren</t>
  </si>
  <si>
    <t>Glasfaserkabel</t>
  </si>
  <si>
    <t xml:space="preserve">Sonstige elektronische und elektrische Drähte und Kabel </t>
  </si>
  <si>
    <t xml:space="preserve">Elektrisches Installationsmaterial </t>
  </si>
  <si>
    <t xml:space="preserve">Elektrische Haushaltsgeräte </t>
  </si>
  <si>
    <t xml:space="preserve">Nichtelektrische Haushaltsgeräte </t>
  </si>
  <si>
    <t xml:space="preserve">Sonstige elektrische Ausrüstungen und Geräte, a.n.g. </t>
  </si>
  <si>
    <t>Verbrennungsmotoren und Turbinen, ohne Motoren für Luft- und Straßenfahrzeuge</t>
  </si>
  <si>
    <t xml:space="preserve">Hydraulische und pneumatische Maschinen </t>
  </si>
  <si>
    <t xml:space="preserve">Sonstige Pumpen und Kompressoren </t>
  </si>
  <si>
    <t>Sonstige Armaturen</t>
  </si>
  <si>
    <t>Lager, Getriebe, Zahnräder und Antriebselemente</t>
  </si>
  <si>
    <t>Öfen und Brenner</t>
  </si>
  <si>
    <t>Hebezeuge und Fördermittel</t>
  </si>
  <si>
    <t xml:space="preserve">Büromaschinen (ohne Datenverarbeitungsgeräte und periphere Geräte) </t>
  </si>
  <si>
    <t xml:space="preserve">Handgeführte Werkzeuge mit Motorantrieb </t>
  </si>
  <si>
    <t xml:space="preserve">Kälte- und lufttechnische Erzeugnisse (ohne solche für den Haushalt) </t>
  </si>
  <si>
    <t xml:space="preserve">Sonstige nicht wirtschaftszweigspezifische Maschinen, a.n.g. </t>
  </si>
  <si>
    <t>Land- und forstwirtschaftliche Maschinen</t>
  </si>
  <si>
    <t xml:space="preserve">Werkzeugmaschinen für die Metallbearbeitung </t>
  </si>
  <si>
    <t xml:space="preserve">Sonstige Werkzeugmaschinen </t>
  </si>
  <si>
    <t>Maschinen für die Metallerzeugung, Walzwerkseinrichtungen und Gießmaschinen</t>
  </si>
  <si>
    <t>Bergwerks-, Bau- und Baustoffmaschinen</t>
  </si>
  <si>
    <t xml:space="preserve">Maschinen für die Nahrungs- und Genussmittelerzeugung und die Tabakverarbeitung </t>
  </si>
  <si>
    <t xml:space="preserve">Maschinen für die Textil- und Bekleidungsherstellung und die Lederverarbeitung </t>
  </si>
  <si>
    <t xml:space="preserve">Maschinen für die Papiererzeugung und -verarbeitung </t>
  </si>
  <si>
    <t>Wirtschaftszweigspezifische Maschinen, a. n. g.</t>
  </si>
  <si>
    <t>Kraftfahrzeugen für die Warenbeförderung</t>
  </si>
  <si>
    <t>Sonstige Pkw mit Ausnahme von Motorrädern</t>
  </si>
  <si>
    <t xml:space="preserve">Karosserien, Aufbauten und Anhänger </t>
  </si>
  <si>
    <t>Elektrische und elektronische Ausrüstungsgegenstände für Kraftwagen</t>
  </si>
  <si>
    <t>Sonstige Teile und sonstiges Zubehör für Kraftwagen, ohne Motorräder</t>
  </si>
  <si>
    <t>Schiffe (ohne Boote und Yachten)</t>
  </si>
  <si>
    <t>Boote und Yachten</t>
  </si>
  <si>
    <t>Schienenfahrzeuge</t>
  </si>
  <si>
    <t xml:space="preserve">Luft- und Raumfahrzeuge </t>
  </si>
  <si>
    <t>Krafträder</t>
  </si>
  <si>
    <t xml:space="preserve">Sonstige Fahrzeuge, a.n.g. </t>
  </si>
  <si>
    <t>Büro- und Ladenmöbel</t>
  </si>
  <si>
    <t>Küchenmöbel</t>
  </si>
  <si>
    <t>Matratzen</t>
  </si>
  <si>
    <t>Sonstige Möbel</t>
  </si>
  <si>
    <t>Musikinstrumente</t>
  </si>
  <si>
    <t>Sportgeräte</t>
  </si>
  <si>
    <t>Spielwaren</t>
  </si>
  <si>
    <t>Medizinische und zahnmedizinische Apparate und Materialien</t>
  </si>
  <si>
    <t>Sonstige Erzeugnisse, a. n. g.</t>
  </si>
  <si>
    <t xml:space="preserve">Reparaturarbeiten an Metallerzeugnissen </t>
  </si>
  <si>
    <t>Reparaturarbeiten an Maschinen</t>
  </si>
  <si>
    <t>Reparaturarbeiten an elektronischen und optischen Geräten</t>
  </si>
  <si>
    <t>Reparaturarbeiten an elektrischen Ausrüstungen</t>
  </si>
  <si>
    <t>Reparatur- und Instandhaltungsarbeiten an Schiffen und Booten</t>
  </si>
  <si>
    <t>Reparatur- und Instandhaltungsarbeiten an Luft- und Raumfahrzeugen</t>
  </si>
  <si>
    <t>Reparatur- und Instandhaltungsarbeiten an Fahrzeugen, a. n. g.;</t>
  </si>
  <si>
    <t>Reparaturarbeiten an sonstigen Ausrüstungen</t>
  </si>
  <si>
    <t xml:space="preserve">Installationsarbeiten an industriell-gewerblichen Maschinen und Ausrüstungen </t>
  </si>
  <si>
    <t xml:space="preserve">Elektrischer Strom </t>
  </si>
  <si>
    <t xml:space="preserve">Dienstleistungen der Elektrizitätsübertragung </t>
  </si>
  <si>
    <t xml:space="preserve">Dienstleistungen der Elektrizitätsverteilung </t>
  </si>
  <si>
    <t xml:space="preserve">Dienstleistungen des Elektrizitätshandels </t>
  </si>
  <si>
    <t xml:space="preserve">Industriell erzeugte Gase </t>
  </si>
  <si>
    <t xml:space="preserve">Dienstleistungen der Gasversorgung durch Rohrleitungen </t>
  </si>
  <si>
    <t xml:space="preserve">Dienstleistungen des Gashandels durch Rohrleitungen </t>
  </si>
  <si>
    <t xml:space="preserve">Dienstleistungen der Wärme- und Kälteversorgung </t>
  </si>
  <si>
    <t xml:space="preserve">Wasser; Dienstleistungen der Wasserversorgung sowie des Wasserhandels durch Rohrleitungen </t>
  </si>
  <si>
    <t xml:space="preserve">Abwasserentsorgungsdienstleistungen </t>
  </si>
  <si>
    <t>Ungefährliche Abfälle; Dienstleistungen der Sammlung ungefährlicher Abfälle</t>
  </si>
  <si>
    <t xml:space="preserve">Gefährliche Abfälle; Dienstleistungen der Sammlung gefährlicher Abfälle </t>
  </si>
  <si>
    <t xml:space="preserve">Dienstleistungen der Behandlung und Beseitigung ungefährlicher Abfälle </t>
  </si>
  <si>
    <t xml:space="preserve">Dienstleistungen der Behandlung und Beseitigung gefährlicher Abfälle </t>
  </si>
  <si>
    <t xml:space="preserve">Dienstleistungen des Zerlegens von Schiffs- und Fahrzeugwracks und anderen Altwaren </t>
  </si>
  <si>
    <t xml:space="preserve">Dienstleistungen der Rückgewinnung sortierter Werkstoffe; Sekundärrohstoffe </t>
  </si>
  <si>
    <t xml:space="preserve">Dienstleistungen der Beseitigung von Umweltverschmutzungen und sonstigen Entsorgung </t>
  </si>
  <si>
    <t>Bauprojekte i.Z.m. der Errichtung von Gebäuden</t>
  </si>
  <si>
    <t>Bauarbeiten i.Z.m. der Errichtung von Wohn- und Nichtwohngebäuden</t>
  </si>
  <si>
    <t xml:space="preserve">Straßen und Autobahnen; Bauarbeiten an Straßen und Autobahnen </t>
  </si>
  <si>
    <t>Bahnverkehrsstrecken und Untergrund-Bahnverkehrsstrecken; Bauarbeiten an Bahnverkehrsstrecken und Untergrund-Bahnverkehrsstrecken</t>
  </si>
  <si>
    <t xml:space="preserve">Brücken und Tunnel; Bauarbeiten an Brücken und Tunneln </t>
  </si>
  <si>
    <t xml:space="preserve">Tiefbau-Rohrleitungen, Brunnen und Kläranlagen; Bauarbeiten an Tiefbau-Rohrleitungen, Brunnen und Kläranlagen </t>
  </si>
  <si>
    <t xml:space="preserve">Bauwerke für und Bauarbeiten an Versorgungseinrichtungen für elektrischen Strom und Telekommunikation </t>
  </si>
  <si>
    <t xml:space="preserve">Bauten des Wasserbaus; Wasserbauarbeiten </t>
  </si>
  <si>
    <t xml:space="preserve">Sonstige Tiefbauten und Tiefbauarbeiten, a.n.g. </t>
  </si>
  <si>
    <t xml:space="preserve">Abbrucharbeiten </t>
  </si>
  <si>
    <t xml:space="preserve">Vorbereitende Baustellenarbeiten </t>
  </si>
  <si>
    <t xml:space="preserve">Test- und Suchbohrungsarbeiten </t>
  </si>
  <si>
    <t>Elektroinstallationsarbeiten</t>
  </si>
  <si>
    <t xml:space="preserve">Gas-, Wasser-, Heizungs- und Lüftungs- und Klimaanlageninstallationsarbeiten </t>
  </si>
  <si>
    <t>Sonstige Bauinstallationsarbeiten</t>
  </si>
  <si>
    <t xml:space="preserve">Stuck-, Gips- und Verputzarbeiten </t>
  </si>
  <si>
    <t xml:space="preserve">Bautischler- und Bauschlosserarbeiten </t>
  </si>
  <si>
    <t>Fußboden-, Fliesen- und Parkettlegearbeiten, Wandverkleidearbeiten</t>
  </si>
  <si>
    <t xml:space="preserve">Maler- und Glasereiarbeiten </t>
  </si>
  <si>
    <t xml:space="preserve">Sonstige Ausbauarbeiten </t>
  </si>
  <si>
    <t xml:space="preserve">Errichtungsarbeiten an Dächern </t>
  </si>
  <si>
    <t>Sonstige spezialisierte Bautätigkeiten, a.n.g.</t>
  </si>
  <si>
    <t xml:space="preserve">Handelsleistungen mit Kraftwagen mit einem Gesamtgewicht von 3,5 t oder weniger </t>
  </si>
  <si>
    <t xml:space="preserve">Handelsleistungen mit sonstigen Kraftwagen </t>
  </si>
  <si>
    <t xml:space="preserve">Instandhaltungs- und Reparaturarbeiten an Kraftwagen </t>
  </si>
  <si>
    <t>Großhandelsleistungen mit Kraftwagenteilen und -zubehör</t>
  </si>
  <si>
    <t>Einzelhandelsleistungen mit Kraftwagenteilen und -zubehör</t>
  </si>
  <si>
    <t xml:space="preserve">Handelsleistungen mit Krafträdern, Kraftradteilen und -zubehör; Instandhaltungs- und Reparaturarbeiten an Krafträdern </t>
  </si>
  <si>
    <t xml:space="preserve">Handelsvermittlungsleistungen mit landwirtschaftlichen Grundstoffen, lebenden Tieren, textilen Rohstoffen und Halbwaren </t>
  </si>
  <si>
    <t>Handelsvermittlungsleistungen von Brennstoffen, Erzen, Metallen und technischen Chemikalien</t>
  </si>
  <si>
    <t>Handelsvermittlungsleistungen von Holz, Baustoffen und Anstrichmitteln</t>
  </si>
  <si>
    <t>Handelsvermittlungsleistungen von Maschinen, technischem Bedarf, Wasser- und Luftfahrzeugen</t>
  </si>
  <si>
    <t>Handelsvermittlungsleistungen von Möbeln, Einrichtungs- und Haushaltsgegenständen, Eisen- und Metallwaren</t>
  </si>
  <si>
    <t>Handelsvermittlungsleistungen von Nahrungsmitteln, Getränken und Tabakwaren</t>
  </si>
  <si>
    <t>Handelsvermittlungsleistungen von sonstigen Waren</t>
  </si>
  <si>
    <t>Handelsvermittlungsleistungen von Waren, ohne ausgeprägten Schwerpunkt</t>
  </si>
  <si>
    <t xml:space="preserve">Großhandelsleistungen mit Getreide, Rohtabak, Saatgut und Futtermitteln </t>
  </si>
  <si>
    <t>Großhandelsleistungen mit Blumen und Pflanzen</t>
  </si>
  <si>
    <t>Großhandelsleistungen mit lebenden Tieren</t>
  </si>
  <si>
    <t>Großhandelsleistungen mit Obst, Gemüse und Kartoffeln</t>
  </si>
  <si>
    <t>Großhandelsleistungen mit Fleisch und Fleischprodukten</t>
  </si>
  <si>
    <t>Großhandelsleistungen mit Milch, Milcherzeugnissen, Eiern, Speiseölen und Nahrungsfetten</t>
  </si>
  <si>
    <t>Großhandelsleistungen mit alkoholischen Getränken</t>
  </si>
  <si>
    <t>Großhandelsleistungen mit alkoholfreien Getränken</t>
  </si>
  <si>
    <t>Großhandelsleistungen mit Tabakwaren</t>
  </si>
  <si>
    <t>Großhandelsleistungen mit Zucker, Süßwaren und Backwaren</t>
  </si>
  <si>
    <t>Großhandelsleistungen mit Kaffee, Tee, Kakao und Gewürzen</t>
  </si>
  <si>
    <t>Großhandelsleistungen mit sonstigen Nahrungsmitteln, einschließlich Fisch, Fischerzeugnissen, Krusten- und Weichtieren</t>
  </si>
  <si>
    <t>Großhandelsleistungen mit Nahrungsmitteln, Getränken und Tabakwaren, ohne ausgeprägten Schwerpunkt</t>
  </si>
  <si>
    <t xml:space="preserve">Großhandelsleistungen mit Textilien </t>
  </si>
  <si>
    <t>Großhandelsleistungen mit Bekleidung und Schuhen</t>
  </si>
  <si>
    <t>Großhandelsleistungen mit Foto- und optischen Erzeugnissen, elektrischen Haushaltsgeräten und Geräten der Unterhaltungselektronik</t>
  </si>
  <si>
    <t>Großhandelsleistungen mit Porzellan-, keramischen Erzeugnissen, Glaswaren und Reinigungsmitteln</t>
  </si>
  <si>
    <t>Großhandelsleistungen mit Parfümeriewaren und Körperpflegemitteln</t>
  </si>
  <si>
    <t xml:space="preserve">Großhandelsleistungen mit pharmazeutischen, medizinischen und orthopädischen Erzeugnissen </t>
  </si>
  <si>
    <t>Großhandelsleistungen mit Möbeln, Teppichen, Lampen und Leuchten</t>
  </si>
  <si>
    <t>Großhandelsleistungen mit sonstigen Gebrauchs- und Verbrauchsgütern</t>
  </si>
  <si>
    <t>Großhandelsleistungen mit Datenverarbeitungsgeräten, peripheren Geräten und Software</t>
  </si>
  <si>
    <t>Großhandelsleistungen mit elektronischen Bauteilen und Telekommunikationsgeräten</t>
  </si>
  <si>
    <t>Großhandelsleistungen mit landwirtschaftlichen Maschinen und Geräten</t>
  </si>
  <si>
    <t>Großhandelsleistungen mit Werkzeugmaschinen</t>
  </si>
  <si>
    <t>Großhandelsleistungen mit Bergwerks-, Bau- und Baustoffmaschinen</t>
  </si>
  <si>
    <t>Großhandelsleistungen mit Textil-, Näh- und Strickmaschinen</t>
  </si>
  <si>
    <t>Großhandelsleistungen mit Büromöbeln</t>
  </si>
  <si>
    <t>Großhandelsleistungen mit sonstigen Büromaschinen und -einrichtungen</t>
  </si>
  <si>
    <t>Großhandelsleistungen mit sonstigen Maschinen und Ausrüstungen</t>
  </si>
  <si>
    <t>Großhandelsleistungen mit festen Brennstoffen und Mineralölerzeugnissen</t>
  </si>
  <si>
    <t>Großhandelsleistungen mit Erzen, Metallen und Metallhalbzeug</t>
  </si>
  <si>
    <t>Großhandelsleistungen mit Holz, Baustoffen, Anstrichmitteln und Sanitärkeramik</t>
  </si>
  <si>
    <t>Großhandelsleistungen mit Metall- und Kunststoffwaren für Bauzwecke sowie Installationsbedarf für Gas, Wasser und Heizung</t>
  </si>
  <si>
    <t>Großhandelsleistungen mit chemischen Erzeugnissen</t>
  </si>
  <si>
    <t>Großhandelsleistungen mit sonstigen Halbwaren</t>
  </si>
  <si>
    <t>Großhandelsleistungen mit Altmaterialien und Reststoffen</t>
  </si>
  <si>
    <t>Großhandelsleistungen ohne ausgeprägten Schwerpunkt</t>
  </si>
  <si>
    <t>Einzelhandelsleistungen mit Waren verschiedener Art, Hauptrichtung Nahrungs- und Genussmittel, Getränke und Tabakwaren</t>
  </si>
  <si>
    <t>Sonstige Einzelhandelsleistungen mit Waren verschiedener Art</t>
  </si>
  <si>
    <t>Einzelhandelsleistungen mit Fleisch und Fleischwaren in Fachgeschäften</t>
  </si>
  <si>
    <t>Einzelhandelsleistungen mit Back- und Süßwaren</t>
  </si>
  <si>
    <t>Einzelhandelsleistungen mit Nahrungs- und Genussmitteln, Getränken und Tabakwaren (in Verkaufsräumen)</t>
  </si>
  <si>
    <t>Einzelhandelsleistungen mit sonstigen Gütern (in Verkaufsräumen);</t>
  </si>
  <si>
    <t>Einzelhandelsleistungen mit Motorenkraftstoffen (Tankstellen)</t>
  </si>
  <si>
    <t>Einzelhandelsleistungen mit Datenverarbeitungsgeräten, peripheren Geräten und Software</t>
  </si>
  <si>
    <t>Einzelhandelsleistungen mit Telekommunikationsgeräten</t>
  </si>
  <si>
    <t>Einzelhandelsleistungen mit Geräten der Unterhaltungselektronik</t>
  </si>
  <si>
    <t>Einzelhandelsleistungen mit Textilien in Fachgeschäften</t>
  </si>
  <si>
    <t>Einzelhandelsleistungen mit Metallwaren, Anstrichmitteln, Bau- und Heimwerkerbedarf</t>
  </si>
  <si>
    <t>Einzelhandelsleistungen mit Vorhängen, Teppichen, Fußbodenbelägen und Tapeten in Fachgeschäften</t>
  </si>
  <si>
    <t>Einzelhandelsleistungen mit elektrischen Haushaltsgeräten in Fachgeschäften</t>
  </si>
  <si>
    <t>Einzelhandelsleistungen mit Büchern in Fachgeschäften</t>
  </si>
  <si>
    <t>Einzelhandelsleistungen mit bespielten Ton- und Bildträgern in Fachgeschäften</t>
  </si>
  <si>
    <t>Einzelhandelsleistungen mit Fahrrädern, Sport- und Campingartikeln</t>
  </si>
  <si>
    <t>Einzelhandelsleistungen mit Spielwaren in Fachgeschäften</t>
  </si>
  <si>
    <t>Einzelhandelsleistungen mit Bekleidung in Fachgeschäften</t>
  </si>
  <si>
    <t>Einzelhandelsleistungen mit Schuhen und Lederwaren in Fachgeschäften</t>
  </si>
  <si>
    <t>Einzelhandelsleistungen mit pharmazeutischen Artikeln in Fachgeschäften</t>
  </si>
  <si>
    <t>Einzelhandelsleistungen mit medizinischen und orthopädischen Artikeln in Fachgeschäften</t>
  </si>
  <si>
    <t>Einzelhandelsleistungen mit kosmetischen Erzeugnissen und Körperpflegemitteln in Fachgeschäften</t>
  </si>
  <si>
    <t>Einzelhandelsleistungen mit Blumen, Pflanzen, Sämereien, Düngemitteln, zoologischem Bedarf und lebenden Tieren in Fachgeschäften</t>
  </si>
  <si>
    <t>Einzelhandelsleistungen mit Uhren und Schmuck</t>
  </si>
  <si>
    <t>Sonstige Einzelhandelsleistungen in Verkaufsräumen (ohne Antiquitäten und Gebrauchtwaren)</t>
  </si>
  <si>
    <t>Einzelhandelsleistungen mit Gebrauchtwaren in Fachgeschäften</t>
  </si>
  <si>
    <t>Einzelhandelsleistungen mit Nahrungsmitteln, Getränken und Tabakwaren an Verkaufsständen und auf Märkten</t>
  </si>
  <si>
    <t>Einzelhandelsleistungen mit Textilien, Bekleidung und Schuhen an Verkaufsständen und auf Märkten</t>
  </si>
  <si>
    <t>Einzelhandelsleistungen mit sonstigen Gütern an Verkaufsständen und auf Märkten</t>
  </si>
  <si>
    <t>Einzelhandelsleistungen von Versandhausgeschäften oder im Internet</t>
  </si>
  <si>
    <t>Sonstige Einzelhandelsleistungen, nicht in Verkaufsräumen, an Verkaufsständen oder auf Märkten</t>
  </si>
  <si>
    <t xml:space="preserve">Güterbeförderungsleistungen im Eisenbahnverkehr </t>
  </si>
  <si>
    <t>Personenbeförderungsleistungen im Orts- und Nahverkehr zu Lande</t>
  </si>
  <si>
    <t>Sonstige Personenbeförderungsleistungen im Landverkehr a. n. g.</t>
  </si>
  <si>
    <t xml:space="preserve">Güterbeförderungsleistungen im Straßenverkehr </t>
  </si>
  <si>
    <t xml:space="preserve">Umzugstransportleistungen </t>
  </si>
  <si>
    <t>Transportleistungen in Rohrfernleitungen</t>
  </si>
  <si>
    <t>Transportleistungen für sonstige Güter in Rohrfernleitungen</t>
  </si>
  <si>
    <t>Personenbeförderungsleistungen der See- und Küstenschifffahrt</t>
  </si>
  <si>
    <t>Güterbeförderungsleistungen der See- und Küstenschifffahrt</t>
  </si>
  <si>
    <t>Personenbeförderungsleistungen mit Binnenschiffen  </t>
  </si>
  <si>
    <t xml:space="preserve">Güterbeförderungsleistungen mit Binnenschiffen </t>
  </si>
  <si>
    <t>Lagerung und Aufbewahrung von Gastreibstoffen</t>
  </si>
  <si>
    <t>Lagerung und Aufbewahrung von sonstigen Waren</t>
  </si>
  <si>
    <t xml:space="preserve">Dienstleistungen für den Landverkehr 
</t>
  </si>
  <si>
    <t xml:space="preserve">Dienstleistungen für die Schifffahrt 
</t>
  </si>
  <si>
    <t>Dienstleistungen für die Binnenschifffahrt</t>
  </si>
  <si>
    <t>Dienstleistungen für die Luftfahrt</t>
  </si>
  <si>
    <t xml:space="preserve">Frachtumschlagleistungen </t>
  </si>
  <si>
    <t>Frachtumschlagleistungen in Binnenhäfen</t>
  </si>
  <si>
    <t>Sonstige Frachtumschlagleistungen</t>
  </si>
  <si>
    <t>Dienstleistungen von Transportagenturen (Seeschifffahrt)</t>
  </si>
  <si>
    <t>Dienstleistungen von Transportagenturen (Binnenschifffahrt)</t>
  </si>
  <si>
    <t>Dienstleistungen von sonstigen Transportagenturen</t>
  </si>
  <si>
    <t>Sonstige Post-, Kurier- und Expressdienstleistungen</t>
  </si>
  <si>
    <t>Beherbergungsdienstleistungen in Hotels, Gasthöfen und Pensionen</t>
  </si>
  <si>
    <t>Beherbergungsdienstleistungen in Ferienunterkünften und ähnlichen Beherbergungsstätten</t>
  </si>
  <si>
    <t>Sonstige Beherbergungsdienstleistungen</t>
  </si>
  <si>
    <t>Dienstleistungen von Restaurants, Gaststätten, Imbissstuben, Cafés, Eissalons u. Ä.</t>
  </si>
  <si>
    <t>Event-Cateringleistungen</t>
  </si>
  <si>
    <t>Sonstige Verpflegungsdienstleistungen</t>
  </si>
  <si>
    <t>Getränkeausschankleistungen</t>
  </si>
  <si>
    <t>Dienstleistungen betreffend das Verlegen von Büchern</t>
  </si>
  <si>
    <t>Dienstleistungen betreffend das Verlegen von Adressbüchern und Verzeichnissen</t>
  </si>
  <si>
    <t>Dienstleistungen betreffend das Verlegen von Zeitungen</t>
  </si>
  <si>
    <t>Dienstleistungen betreffend das Verlegen von Zeitungen und Zeitschriften</t>
  </si>
  <si>
    <t>Dienstleistungen des sonstigen Verlagswesens</t>
  </si>
  <si>
    <t>Dienstleistungen betreffend das Verlegen von Computerspielen</t>
  </si>
  <si>
    <t>Dienstleistungen betreffend das Verlegen von sonstiger Software</t>
  </si>
  <si>
    <t>Dienstleistungen der Herstellung von Filmen, Videofilmen und Fernsehprogrammen</t>
  </si>
  <si>
    <t>Der Herstellung von Filmen, Videofilmen und Fernsehprogrammen nachgelagerte Dienstleistungen</t>
  </si>
  <si>
    <t>Dienstleistungen des Verleihs und Vertriebs von Filmen, Videofilmen und Fernsehprogrammen</t>
  </si>
  <si>
    <t xml:space="preserve">Kinoleistungen </t>
  </si>
  <si>
    <t>Dienstleistungen von Tonstudios, der Herstellung von Hörfunkbeiträgen sowie des Verlegens von bespielten Tonträgern und Musikalien</t>
  </si>
  <si>
    <t>Hörfunkveranstaltungsleistungen</t>
  </si>
  <si>
    <t>Fernsehveranstaltungsleistungen; Originale von Fernsehsendungen</t>
  </si>
  <si>
    <t>Leitungsgebundene Telekommunikationsdienstleistungen</t>
  </si>
  <si>
    <t>Drahtlose Kommunikationsdienste</t>
  </si>
  <si>
    <t>Satellitentelekommunikationsdienste</t>
  </si>
  <si>
    <t>Sonstige Telekommunikationsleistungen</t>
  </si>
  <si>
    <t>Programmierungsleistungen</t>
  </si>
  <si>
    <t>Dienstleistungen der EDV-Beratung</t>
  </si>
  <si>
    <t>Dienstleistungen des Betriebes von Datenverarbeitungseinrichtungen</t>
  </si>
  <si>
    <t>Sonstige Dienstleistungen der Informationstechnologie und der EDV</t>
  </si>
  <si>
    <t>Datenverarbeitungsdienstleistungen, Hosting-Dienstleistungen und damit verbundene Dienstleistungen</t>
  </si>
  <si>
    <t>Webportal-Dienstleistungen</t>
  </si>
  <si>
    <t>Dienstleistungen von Korrespondenz- und Nachrichtenbüros</t>
  </si>
  <si>
    <t>Sonstige Informationsdienstleistungen, a.n.g.</t>
  </si>
  <si>
    <t>Dienstleistungen von Zentralbanken</t>
  </si>
  <si>
    <t>Dienstleistungen von Kreditinstituten (ohne Spezialkreditinstitute)</t>
  </si>
  <si>
    <t>Dienstleistungen von Beteiligungsgesellschaften</t>
  </si>
  <si>
    <t>Dienstleistungen von Treuhand- und sonstigen Fonds und ähnlichen Finanzinstitutionen</t>
  </si>
  <si>
    <t>Dienstleistungen von Institutionen für Finanzierungsleasing</t>
  </si>
  <si>
    <t>Dienstleistungen von Spezialkreditinstituten</t>
  </si>
  <si>
    <t>Sonstige Finanzdienstleistungen, außer Versicherungen und Pensionen, von Finanzierungsinstitutionen, a.n.g.</t>
  </si>
  <si>
    <t xml:space="preserve">Dienstleistungen von Lebensversicherungsgesellschaften 
</t>
  </si>
  <si>
    <t>Dienstleistungen der Nichtlebensversicherungen</t>
  </si>
  <si>
    <t>Rückversicherungsdienstleistungen</t>
  </si>
  <si>
    <t>Dienstleistungen des Effekten- und Warenhandels</t>
  </si>
  <si>
    <t>Sonstige mit den Finanzdienstleistungen verbundene Dienstleistungen, außer Versicherungen und Pensionen</t>
  </si>
  <si>
    <t>Dienstleistungen der Risiko- und Schadensbewertung</t>
  </si>
  <si>
    <t>Dienstleistungen von Versicherungsmaklern und -agenturen</t>
  </si>
  <si>
    <t xml:space="preserve">Sonstige mit den Tätigkeiten der Versicherungen und Pensionskassen verbundene Dienstleistungen </t>
  </si>
  <si>
    <t xml:space="preserve">Dienstleistungen des Fondsmanagements </t>
  </si>
  <si>
    <t xml:space="preserve">Dienstleistungen des Kaufs und Verkaufs von eigenen Grundstücken, Gebäuden und Wohnungen </t>
  </si>
  <si>
    <t xml:space="preserve">Dienstleistungen der Vermietung und Verpachtung von eigenen oder geleasten Grundstücken, Gebäuden und Wohnungen </t>
  </si>
  <si>
    <t>Dienstleistungen der Vermittlung von Grundstücken, Gebäuden und Wohnungen</t>
  </si>
  <si>
    <t>Dienstleistungen der Verwaltung von Grundstücken, Gebäuden und Wohnungen</t>
  </si>
  <si>
    <t xml:space="preserve">Rechtsberatungsleistungen </t>
  </si>
  <si>
    <t>Wirtschaftsprüfungs- und Steuerberatungsleistungen; Buchführungsleistungen</t>
  </si>
  <si>
    <t xml:space="preserve">Dienstleistungen der Verwaltung und Führung von Unternehmen und Betrieben </t>
  </si>
  <si>
    <t xml:space="preserve">Public-Relations-Beratungsleistungen </t>
  </si>
  <si>
    <t xml:space="preserve">Unternehmensberatungsleistungen </t>
  </si>
  <si>
    <t xml:space="preserve">Architekturbüroleistungen </t>
  </si>
  <si>
    <t>Ingenieurbüroleistungen und damit verbundene technische Beratungsleistungen</t>
  </si>
  <si>
    <t>Sonstige technische Untersuchungsleistungen bezüglich Lebensmittelqualität</t>
  </si>
  <si>
    <t xml:space="preserve">Sonstige technische Untersuchungsleistungen </t>
  </si>
  <si>
    <t>Forschungs- und Entwicklungsleistungen im Bereich Biotechnologie</t>
  </si>
  <si>
    <t xml:space="preserve">Sonstige Forschungs- und Entwicklungsleistungen in den Bereichen Natur-, Ingenieur-, Agrarwissenschaften und Medizin </t>
  </si>
  <si>
    <t xml:space="preserve">Forschungs- und Entwicklungsleistungen in den Bereichen Rechts-, Wirtschafts- und Sozialwissenschaften sowie Sprach-, Kultur- und Kunstwissenschaften </t>
  </si>
  <si>
    <t xml:space="preserve">Dienstleistungen von Werbeagenturen </t>
  </si>
  <si>
    <t>Vermarktungs- und Vermittlungsleistungen für Werbezeiten und Werbeflächen für Funk und Fernsehen</t>
  </si>
  <si>
    <t>Vermarktungs- und Vermittlungsleistungen für Werbezeiten und Werbeflächen in gedruckten Medien</t>
  </si>
  <si>
    <t>Vermarktungs- und Vermittlungsleistungen für Werbezeiten und Werbeflächen in digitalen Medien (Internet)</t>
  </si>
  <si>
    <t>Vermarktungs- und Vermittlungsleistungen für Werbezeiten und Werbeflächen in sonstigen Medien</t>
  </si>
  <si>
    <t xml:space="preserve">Markt- und Meinungsforschungsleistungen </t>
  </si>
  <si>
    <t xml:space="preserve">Spezielle Dienstleistungen im Bereich Design </t>
  </si>
  <si>
    <t xml:space="preserve">Fotografische Dienstleistungen und Fotolaborleistungen </t>
  </si>
  <si>
    <t xml:space="preserve">Übersetzungs- und Dolmetschdienstleistungen </t>
  </si>
  <si>
    <t xml:space="preserve">Sonstige freiberufliche, wissenschaftliche und technische Dienstleistungen, a.n.g. </t>
  </si>
  <si>
    <t xml:space="preserve">Dienstleistungen des Veterinärwesens </t>
  </si>
  <si>
    <t xml:space="preserve">Dienstleistungen der Vermietung von Kraftwagen mit einem Gesamtgewicht von 3,5 t oder weniger </t>
  </si>
  <si>
    <t xml:space="preserve">Dienstleistungen der Vermietung von Lastkraftwagen </t>
  </si>
  <si>
    <t>Dienstleistungen der Vermietung und des Leasings von Sport- und Freizeitgeräten</t>
  </si>
  <si>
    <t xml:space="preserve">Dienstleistungen der Vermietung und des Leasings von sonstigen Gebrauchsgütern </t>
  </si>
  <si>
    <t>Dienstleistungen der Vermietung und des Leasings von landwirtschaftlichen Maschinen und Geräten</t>
  </si>
  <si>
    <t xml:space="preserve">Dienstleistungen der Vermietung und des Leasings von Baumaschinen und -geräten </t>
  </si>
  <si>
    <t>Dienstleistungen der Vermietung und des Leasings von Büromaschinen, Datenverarbeitungsgeräten und -einrichtungen</t>
  </si>
  <si>
    <t xml:space="preserve">Dienstleistungen der Vermietung und des Leasings von sonstigen Maschinen, Geräten und Sachanlagen, a.n.g. </t>
  </si>
  <si>
    <t>Dienstleistungen des Leasings von nichtfinanziellen immateriellen Vermögensgegenständen (ohne urheberrechtlich geschützte Werke)</t>
  </si>
  <si>
    <t xml:space="preserve">Dienstleistungen der Vermittlung von Arbeitskräften </t>
  </si>
  <si>
    <t xml:space="preserve">Dienstleistungen der befristeten Überlassung von Arbeitskräften </t>
  </si>
  <si>
    <t xml:space="preserve">Dienstleistungen der sonstigen Überlassung von Arbeitskräften </t>
  </si>
  <si>
    <t xml:space="preserve">Dienstleistungen von Reisebüros </t>
  </si>
  <si>
    <t xml:space="preserve">Sicherheitsdienstleistungen mithilfe von Überwachungs- und Alarmsystemen </t>
  </si>
  <si>
    <t>Hausmeisterdienstleistungen</t>
  </si>
  <si>
    <t>Allgemeine Gebäudereinigungsleistungen</t>
  </si>
  <si>
    <t>Spezielle Reinigungsleistungen an Gebäuden und Reinigungsleistungen an Maschinen</t>
  </si>
  <si>
    <t>Reinigungsleistungen, a.n.g.</t>
  </si>
  <si>
    <t>Dienstleistungen des Garten- und Landschaftsbaus</t>
  </si>
  <si>
    <t xml:space="preserve">Allgemeine Sekretariats- und Schreibarbeiten </t>
  </si>
  <si>
    <t>Dienstleistungen von Copyshops; Dienstleistungen der Dokumentenvorbereitung und sonstige spezielle Sekretariatsdienstleistungen</t>
  </si>
  <si>
    <t xml:space="preserve">Dienstleistungen von Callcentern </t>
  </si>
  <si>
    <t>Dienstleistungen von Messe-, Ausstellungs- und Kongressveranstaltern</t>
  </si>
  <si>
    <t xml:space="preserve">Dienstleistungen von Inkassobüros und Auskunfteien </t>
  </si>
  <si>
    <t xml:space="preserve">Abfüll- und Verpackungsleistungen </t>
  </si>
  <si>
    <t>Sonstige wirtschaftliche Unterstützungsdienstleistungen für Unternehmen und Privatpersonen, a.n.g.</t>
  </si>
  <si>
    <t xml:space="preserve">Dienstleistungen im Bereich Sport- und Freizeitunterricht </t>
  </si>
  <si>
    <t xml:space="preserve">Dienstleistungen im Bereich Kulturunterricht </t>
  </si>
  <si>
    <t xml:space="preserve">Dienstleistungen von Fahr- und Flugschulen </t>
  </si>
  <si>
    <t xml:space="preserve">Dienstleistungen von Sprachschulen </t>
  </si>
  <si>
    <t xml:space="preserve">Dienstleistungen im Bereich Unterricht, a.n.g. </t>
  </si>
  <si>
    <t xml:space="preserve">Unterstützungsdienstleistungen für den Unterricht </t>
  </si>
  <si>
    <t xml:space="preserve">Dienstleistungen von Krankenhäusern </t>
  </si>
  <si>
    <t xml:space="preserve">Ärztliche Dienstleistungen in Arztpraxen für Allgemeinmedizin </t>
  </si>
  <si>
    <t xml:space="preserve">Ärztliche Dienstleistungen in Facharztpraxen </t>
  </si>
  <si>
    <t xml:space="preserve">Ärztliche Dienstleistungen in Zahnarztpraxen </t>
  </si>
  <si>
    <t>Physiotherapieleistungen</t>
  </si>
  <si>
    <t>Rettungsdienst- und Krankentransportdienstleistungen</t>
  </si>
  <si>
    <t xml:space="preserve">Sonstige Dienstleistungen des Gesundheitswesens, a.n.g. </t>
  </si>
  <si>
    <t xml:space="preserve">Dienstleistungen von Pflegeheimen </t>
  </si>
  <si>
    <t xml:space="preserve">Dienstleistungen von stationären Einrichtungen zur psychosozialen Betreuung, Suchtbekämpfung u. Ä. </t>
  </si>
  <si>
    <t>Dienstleistungen von Altenheimen sowie Alten- und Behindertenwohnheimen</t>
  </si>
  <si>
    <t xml:space="preserve">Dienstleistungen von sonstigen Heimen (ohne Erholungs- und Ferienheime) </t>
  </si>
  <si>
    <t xml:space="preserve">Dienstleistungen der sozialen Betreuung älterer Menschen und Behinderter </t>
  </si>
  <si>
    <t xml:space="preserve">Sonstige Dienstleistungen des Sozialwesens, a.n.g. </t>
  </si>
  <si>
    <t>Dienstleistungen von Bibliotheken</t>
  </si>
  <si>
    <t xml:space="preserve">Dienstleistungen von Archiven </t>
  </si>
  <si>
    <t>Dienstleistungen von Museen</t>
  </si>
  <si>
    <t xml:space="preserve">Dienstleistungen von Wirtschafts- und Arbeitgeberverbänden </t>
  </si>
  <si>
    <t xml:space="preserve">Reparaturarbeiten an Datenverarbeitungsgeräten und peripheren Geräten </t>
  </si>
  <si>
    <t>Reparaturarbeiten an Telekommunikationsgeräten</t>
  </si>
  <si>
    <t xml:space="preserve">Reparaturarbeiten an Geräten der Unterhaltungselektronik </t>
  </si>
  <si>
    <t xml:space="preserve">Reparaturarbeiten an elektrischen Haushaltsgeräten und Gartengeräten </t>
  </si>
  <si>
    <t xml:space="preserve">Reparaturarbeiten an Möbeln und Einrichtungsgegenständen </t>
  </si>
  <si>
    <t xml:space="preserve">Reparaturarbeiten an sonstigen Gebrauchsgütern </t>
  </si>
  <si>
    <t xml:space="preserve">Sonstige überwiegend persönliche Dienstleistungen, a.n.g. </t>
  </si>
  <si>
    <t>Growing of rice</t>
  </si>
  <si>
    <t>Growing of vegetables, including melons, and of roots and tubers</t>
  </si>
  <si>
    <t>Growing of sugar cane</t>
  </si>
  <si>
    <t>Growing of tobacco</t>
  </si>
  <si>
    <t>Growing of grapes</t>
  </si>
  <si>
    <t>Service activity related to forestry</t>
  </si>
  <si>
    <t>Processing and preserving of fish, crustaceans and molluscs</t>
  </si>
  <si>
    <t>Processing and preserving of potatoes</t>
  </si>
  <si>
    <t>Other processing and preserving of fruit and vegetables</t>
  </si>
  <si>
    <t>Manufacture of oils and other liquid fats</t>
  </si>
  <si>
    <t>Manufacture of grain mill products</t>
  </si>
  <si>
    <t>Production of sugar</t>
  </si>
  <si>
    <t>Manufacture of prepared feeds for farm animals</t>
  </si>
  <si>
    <t>Manufacture of prepared pet food</t>
  </si>
  <si>
    <t>Manufacture of workwear</t>
  </si>
  <si>
    <t>Sawmilling and planing of wood</t>
  </si>
  <si>
    <t>Manufacture of veneer sheets and wood-based panels</t>
  </si>
  <si>
    <t>Manufacture of assembled parquet floors</t>
  </si>
  <si>
    <t>Manufacture of other builders’ carpentry and joinery</t>
  </si>
  <si>
    <t>Manufacture of wooden containers</t>
  </si>
  <si>
    <t>Manufacture of other products of wood; manufacture of articles of cork, straw and plaiting materials</t>
  </si>
  <si>
    <t>Manufacture of paper and paperboard</t>
  </si>
  <si>
    <t>Manufacture of corrugated paper and paperboard and of containers of paper and paperboard</t>
  </si>
  <si>
    <t>Manufacture of paper stationery</t>
  </si>
  <si>
    <t>Manufacture of other articles of paper and paperboard</t>
  </si>
  <si>
    <t>Printing of newspapers</t>
  </si>
  <si>
    <t>Other printing</t>
  </si>
  <si>
    <t>Pre-press and pre-media services</t>
  </si>
  <si>
    <t>Binding and related services</t>
  </si>
  <si>
    <t>Manufacture of dyes and pigments</t>
  </si>
  <si>
    <t>Manufacture of plastics in primary forms</t>
  </si>
  <si>
    <t>Manufacture of other chemical products n.e.c.</t>
  </si>
  <si>
    <t>Manufacture of glass fibres</t>
  </si>
  <si>
    <t>Manufacture of rubber tyres and tubes; retreading and rebuilding of rubber tyres</t>
  </si>
  <si>
    <t>Manufacture of plastic plates, sheets, tubes and profiles</t>
  </si>
  <si>
    <t>Manufacture of plastic packing goods</t>
  </si>
  <si>
    <t>Manufacture of builders’ ware of plastic</t>
  </si>
  <si>
    <t>Manufacture of other plastic products</t>
  </si>
  <si>
    <t>Manufacture of bricks, tiles and construction products, in baked clay</t>
  </si>
  <si>
    <t>Manufacture of tubes, pipes, hollow profiles and related fittings, of steel</t>
  </si>
  <si>
    <t>Manufacture of cold drawn bars</t>
  </si>
  <si>
    <t>Manufacture of cold forming products</t>
  </si>
  <si>
    <t>Manufacture of wire products</t>
  </si>
  <si>
    <t xml:space="preserve">  </t>
  </si>
  <si>
    <t>Manufacture of metal structures and parts of structures</t>
  </si>
  <si>
    <t>Manufacture of builders’ joinery components of metal</t>
  </si>
  <si>
    <t>Manufacture of other tanks, reservoirs and containers of metal</t>
  </si>
  <si>
    <t>Forging, pressing, stamping and roll-forming of metal; powder metallurgy</t>
  </si>
  <si>
    <t>Treatment and coating of metals</t>
  </si>
  <si>
    <t>Mechanical treatment of metal components</t>
  </si>
  <si>
    <t>Manufacture of knives and cutlery</t>
  </si>
  <si>
    <t>Manufacture of locks and hinges</t>
  </si>
  <si>
    <t>Manufacture of tools</t>
  </si>
  <si>
    <t>Manufacture of metal containers</t>
  </si>
  <si>
    <t xml:space="preserve">Manufacture of metal packaging </t>
  </si>
  <si>
    <t>Manufacture of wire products, chain and springs</t>
  </si>
  <si>
    <t>Manufacture of fasteners and screws</t>
  </si>
  <si>
    <t>Manufacture of other fabricated metal products n.e.c.</t>
  </si>
  <si>
    <t>Manufacture of electronic components</t>
  </si>
  <si>
    <t>Manufacture of computers and peripheral equipment</t>
  </si>
  <si>
    <t>Manufacture of electric motors, generators and transformers</t>
  </si>
  <si>
    <t>Manufacture of other electronic and electric wires and cables</t>
  </si>
  <si>
    <t>Manufacture of metal forming machinery</t>
  </si>
  <si>
    <t>Manufacture of other machine tools</t>
  </si>
  <si>
    <t>Manufacture of machinery for mining, quarrying and construction</t>
  </si>
  <si>
    <t>Manufacture of other special-purpose machinery n.e.c.</t>
  </si>
  <si>
    <t>Manufacture of other motor vehicles, except motorcycles</t>
  </si>
  <si>
    <t>Manufacture of office and shop furniture</t>
  </si>
  <si>
    <t>Manufacture of kitchen furniture</t>
  </si>
  <si>
    <t>Manufacture of other furniture</t>
  </si>
  <si>
    <t>Repair and maintenance of fabricated metal products</t>
  </si>
  <si>
    <t>Repair and maintenance of machinery</t>
  </si>
  <si>
    <t>Repair and maintenance of electronic and optical equipment</t>
  </si>
  <si>
    <t>Repair and maintenance of electrical equipment</t>
  </si>
  <si>
    <t>Repair and maintenance of ships and boats</t>
  </si>
  <si>
    <t>Installation of industrial machinery and equipment</t>
  </si>
  <si>
    <t>Production of electricity</t>
  </si>
  <si>
    <t>Transmission of electricity</t>
  </si>
  <si>
    <t>Distribution of electricity</t>
  </si>
  <si>
    <t>Trade of electricity</t>
  </si>
  <si>
    <t>Manufacture of gaseous fuels</t>
  </si>
  <si>
    <t>Distribution of gaseous fuels through mains</t>
  </si>
  <si>
    <t>Trade of gaseous fuels through mains</t>
  </si>
  <si>
    <t>Steam, hot water and air conditioning generation and supply</t>
  </si>
  <si>
    <t>SEWAGE DISPOSAL AND TREATMENT</t>
  </si>
  <si>
    <t>Collection of non-hazardous waste</t>
  </si>
  <si>
    <t>Collection of hazardous waste</t>
  </si>
  <si>
    <t>Treatment and disposal of non-hazardous waste</t>
  </si>
  <si>
    <t>Hazardous waste processing and neutralizing</t>
  </si>
  <si>
    <t>Dismantling of wrecks</t>
  </si>
  <si>
    <t>Recovery of sorted materials</t>
  </si>
  <si>
    <t>Remediation activities and other waste management services</t>
  </si>
  <si>
    <t>Development of building projects</t>
  </si>
  <si>
    <t>Construction of residential and non-residential buildings</t>
  </si>
  <si>
    <t>Construction of roads and motorways</t>
  </si>
  <si>
    <t>Construction of railways and subways</t>
  </si>
  <si>
    <t>Construction of bridges and tunnels</t>
  </si>
  <si>
    <t>Construction of transmission pipelines and distribution networks</t>
  </si>
  <si>
    <t>Construction of telecommunication and power supply lines</t>
  </si>
  <si>
    <t>Construction of water projects</t>
  </si>
  <si>
    <t>Construction of other civil engineering projects n.e.c.</t>
  </si>
  <si>
    <t>Demolition and pulling down of building structures</t>
  </si>
  <si>
    <t>Construction site preparation</t>
  </si>
  <si>
    <t>Test drilling and boring</t>
  </si>
  <si>
    <t>Electrical wiring</t>
  </si>
  <si>
    <t>Plumbing, heat, gas and air-conditioning installation</t>
  </si>
  <si>
    <t>Other construction installation</t>
  </si>
  <si>
    <t>Plastering</t>
  </si>
  <si>
    <t>Building joinery installation</t>
  </si>
  <si>
    <t>Floor covering, wallpapering and wall facing</t>
  </si>
  <si>
    <t>Painting and glazing</t>
  </si>
  <si>
    <t>Other building completion work</t>
  </si>
  <si>
    <t>Roofing activities</t>
  </si>
  <si>
    <t>Other specialised construction activities n.e.c.</t>
  </si>
  <si>
    <t>Wholesale and retail trade of passenger cars and delivery vans</t>
  </si>
  <si>
    <t>Wholesale and retail trade of other motor vehicles, except motorcycles</t>
  </si>
  <si>
    <t>Maintenance and repair of motor vehicles, except motorcycles</t>
  </si>
  <si>
    <t>Trade services of motor vehicle parts and accessories, excluding motorcycles</t>
  </si>
  <si>
    <t>Retail sale of motor vehicle parts and accessories, excluding motorcycles</t>
  </si>
  <si>
    <t>Agents involved in the sale of agricultural produce, live animals, textile raw materials and semi-finished goods</t>
  </si>
  <si>
    <t>Agents involved in the sale of fuels, ores, metals and industrial chemicals</t>
  </si>
  <si>
    <t>Agents involved in the sale of wood and building materials</t>
  </si>
  <si>
    <t>Agents involved in the sale of machinery, industrial equipment, ships and aircraft</t>
  </si>
  <si>
    <t>Agents involved in the sale of furniture, household goods, hardware and ironmongery</t>
  </si>
  <si>
    <t>Agents specialised in the sale of other particular products</t>
  </si>
  <si>
    <t>Agents involved in the sale of a variety of goods</t>
  </si>
  <si>
    <t>Wholesale of grain, unprocessed tobacco, seeds and animal feeds</t>
  </si>
  <si>
    <t>Wholesale of fruit and vegetables</t>
  </si>
  <si>
    <t>Wholesale of sugar, chocolate, sugar confectionery and bread products</t>
  </si>
  <si>
    <t>Wholesale of other food, including fish, crustaceans and molluscs</t>
  </si>
  <si>
    <t>Wholesale of electrical household appliances</t>
  </si>
  <si>
    <t>Wholesale of china, ceramics and glassware as well as cleansers</t>
  </si>
  <si>
    <t>Wholesale of pharmaceutical and medical goods;</t>
  </si>
  <si>
    <t>Wholesale of furniture, carpets and lighting equipment</t>
  </si>
  <si>
    <t>Wholesale of other household goods</t>
  </si>
  <si>
    <t>Wholesale of computers, computer peripheral equipment and software</t>
  </si>
  <si>
    <t>Wholesale of electronic and telecommunications equipment and parts</t>
  </si>
  <si>
    <t>Wholesale of mining, construction and civil engineering machinery</t>
  </si>
  <si>
    <t>Wholesale of office furniture;</t>
  </si>
  <si>
    <t>Wholesale of other machinery and office equipment</t>
  </si>
  <si>
    <t>Wholesale of other machinery and equipment</t>
  </si>
  <si>
    <t>Wholesale of fuels and related products</t>
  </si>
  <si>
    <t>Wholesale of wood, construction materials and sanitary equipment</t>
  </si>
  <si>
    <t>Wholesale of hardware, plumbing and heating equipment and supplies</t>
  </si>
  <si>
    <t>Wholesale of chemical products</t>
  </si>
  <si>
    <t>Wholesale of other intermediate products</t>
  </si>
  <si>
    <t>Wholesale of waste and scrap</t>
  </si>
  <si>
    <t>Non-specialised wholesale trade</t>
  </si>
  <si>
    <t>Retail sale in non-specialised stores with food, beverages or tobacco predominating</t>
  </si>
  <si>
    <t>Other retail sale in non-specialised stores</t>
  </si>
  <si>
    <t>Retail sale of fruit and vegetables in specialised stores</t>
  </si>
  <si>
    <t>Retail sale of automotive fuel at petrol stations</t>
  </si>
  <si>
    <t>Retail sale of computers, peripheral units and software in specialised stores</t>
  </si>
  <si>
    <t>Retail sale of telecommunications equipment in specialised stores;</t>
  </si>
  <si>
    <t>Retail sale of audio and video equipment in specialised stores</t>
  </si>
  <si>
    <t>Retail sale of hardware, paints and glass in specialised stores</t>
  </si>
  <si>
    <t>Retail sale of carpets, rugs, wall and floor coverings in specialised stores</t>
  </si>
  <si>
    <t>Retail sale of electrical household appliances in specialised stores</t>
  </si>
  <si>
    <t>Retail sale of furniture, lighting equipment and other household articles in specialised stores</t>
  </si>
  <si>
    <t>Retail sale of pharmaceutical products in specialised stores</t>
  </si>
  <si>
    <t>Retail sale of flowers, plants, seeds, fertilisers, pet animals and pet food in specialised stores</t>
  </si>
  <si>
    <t>Other retail sale of new goods in specialised stores</t>
  </si>
  <si>
    <t>Retail sale of second-hand goods in specialised stores</t>
  </si>
  <si>
    <t>Retail sale via stalls and markets of food, beverages and tobacco products</t>
  </si>
  <si>
    <t>Retail sale via mail order houses or via Internet</t>
  </si>
  <si>
    <t>Other retail sale not via stores, stalls or markets</t>
  </si>
  <si>
    <t>Passenger rail transport, interurban</t>
  </si>
  <si>
    <t>Urban and suburban passenger land transport</t>
  </si>
  <si>
    <t>Taxi operation</t>
  </si>
  <si>
    <t>Freight transport by road</t>
  </si>
  <si>
    <t>Removal services</t>
  </si>
  <si>
    <t>Fuel gas transport via pipeline</t>
  </si>
  <si>
    <t>Inland passenger water transport </t>
  </si>
  <si>
    <t>Inland freight water transport</t>
  </si>
  <si>
    <t>Passenger transport by air</t>
  </si>
  <si>
    <t>Freight transport by air</t>
  </si>
  <si>
    <t>Fuel gas warehousing and storage</t>
  </si>
  <si>
    <t>Warehousing and storage of other goods</t>
  </si>
  <si>
    <t>Service activities incidental to land transportation</t>
  </si>
  <si>
    <t>Service activities incidental to sea transportation</t>
  </si>
  <si>
    <t>Service activities incidental to inland transportation</t>
  </si>
  <si>
    <t>Service activities incidental to air transportation</t>
  </si>
  <si>
    <t>Transhipment of goods in sea ports</t>
  </si>
  <si>
    <t>Transhipment of goods in inland ports</t>
  </si>
  <si>
    <t>Transhipment of goods in other transhipment points</t>
  </si>
  <si>
    <t>Activities of sea transport agencies</t>
  </si>
  <si>
    <t>Activities of inland transport agencies</t>
  </si>
  <si>
    <t>Activities of other transport agencies</t>
  </si>
  <si>
    <t>Hotels and similar accommodation</t>
  </si>
  <si>
    <t>Holiday and other short-stay accommodation</t>
  </si>
  <si>
    <t>Camping grounds (including grounds for camping vehicles), and campsites</t>
  </si>
  <si>
    <t>Other accommodation</t>
  </si>
  <si>
    <t>Restaurants and other eating places</t>
  </si>
  <si>
    <t>Mobile eating places</t>
  </si>
  <si>
    <t>Event catering activities</t>
  </si>
  <si>
    <t>Other food service activities</t>
  </si>
  <si>
    <t>Beverage serving activities</t>
  </si>
  <si>
    <t>Book publishing</t>
  </si>
  <si>
    <t>Publishing of directories and lists (e.g. mailing or phone lists)</t>
  </si>
  <si>
    <t>Publishing of newspapers</t>
  </si>
  <si>
    <t>Publishing of journals and other periodicals</t>
  </si>
  <si>
    <t>Other publishing activities</t>
  </si>
  <si>
    <t>Publishing of computer games</t>
  </si>
  <si>
    <t>Other software publishing</t>
  </si>
  <si>
    <t>Motion picture, video and television programme production activities</t>
  </si>
  <si>
    <t>Motion picture, video and television programme post-production activities</t>
  </si>
  <si>
    <t>Sound recording and music publishing activities</t>
  </si>
  <si>
    <t>Radio broadcasting</t>
  </si>
  <si>
    <t>General access and subscription television broadcasting</t>
  </si>
  <si>
    <t>Wired telecommunications activities</t>
  </si>
  <si>
    <t>Wireless telecommunications activities, except satellite telecommunications</t>
  </si>
  <si>
    <t>Satellite telecommunications activities</t>
  </si>
  <si>
    <t>Computer programming activities</t>
  </si>
  <si>
    <t>Computer consultancy activities</t>
  </si>
  <si>
    <t>Computer facilities management activities</t>
  </si>
  <si>
    <t>Other information technology and computer service activities</t>
  </si>
  <si>
    <t>Data processing, hosting and related activities</t>
  </si>
  <si>
    <t>Web portals</t>
  </si>
  <si>
    <t>News agency activities</t>
  </si>
  <si>
    <t>Other information service activities n.e.c.</t>
  </si>
  <si>
    <t>Activities of financial holding companies</t>
  </si>
  <si>
    <t>Trusts, funds and similar financial entities</t>
  </si>
  <si>
    <t>Finance lease</t>
  </si>
  <si>
    <t>Other credit granting</t>
  </si>
  <si>
    <t>Other financial service activities, except insurance and pension funding, n.e.c</t>
  </si>
  <si>
    <t>Life insurance</t>
  </si>
  <si>
    <t>Other personal and property insurance</t>
  </si>
  <si>
    <t>Reinsurance</t>
  </si>
  <si>
    <t>Security and commodity contracts brokerage</t>
  </si>
  <si>
    <t>Other activities auxiliary to financial services, except insurance and pension funding</t>
  </si>
  <si>
    <t>Risk and damage evaluation</t>
  </si>
  <si>
    <t>Insurance agents and brokers</t>
  </si>
  <si>
    <t>Other activities auxiliary to insurance and pension funding</t>
  </si>
  <si>
    <t>Buying and selling of own real properties</t>
  </si>
  <si>
    <t>Renting and operating of own or leased real properties</t>
  </si>
  <si>
    <t>Real estate agencies</t>
  </si>
  <si>
    <t>Management of real properties on a fee or contract basis</t>
  </si>
  <si>
    <t>Legal activities</t>
  </si>
  <si>
    <t>Accounting, bookkeeping and auditing activities; tax consultancy</t>
  </si>
  <si>
    <t>Activities of head offices and holding companies, except financial holding companies</t>
  </si>
  <si>
    <t>Public relations and communication activities</t>
  </si>
  <si>
    <t>Business and other management consultancy activities</t>
  </si>
  <si>
    <t>Architectural activities</t>
  </si>
  <si>
    <t>Engineering activities and related technical consultancy</t>
  </si>
  <si>
    <t>Food quality testing and analysis</t>
  </si>
  <si>
    <t>Other technical testing and analysis</t>
  </si>
  <si>
    <t>Research and experimental development work on biotechnology</t>
  </si>
  <si>
    <t>Other research and experimental development work on other natural sciences and engineering</t>
  </si>
  <si>
    <t>Research and experimental development work on social sciences and humanities</t>
  </si>
  <si>
    <t>Advertising agencies</t>
  </si>
  <si>
    <t>Intermediation in the sale of time and place on advertising aims in the radio and television</t>
  </si>
  <si>
    <t>Intermediation in the sale of place on advertising aims in printed media</t>
  </si>
  <si>
    <t>Intermediation in the sale of the place on advertising aims in electronic media (Internet)</t>
  </si>
  <si>
    <t>Intermediation in the sale of time and place on advertising aims in other media</t>
  </si>
  <si>
    <t>Market research and public opinion polling</t>
  </si>
  <si>
    <t>Specialised design activities</t>
  </si>
  <si>
    <t>Photographic activities</t>
  </si>
  <si>
    <t>Translation and interpretation activities</t>
  </si>
  <si>
    <t>Other professional, scientific and technical activities n.e.c.</t>
  </si>
  <si>
    <t>Renting and leasing of passenger cars and delivery vans</t>
  </si>
  <si>
    <t>Renting and leasing of other motor vehicles, except motorcycles</t>
  </si>
  <si>
    <t>Renting and leasing of agricultural machinery and equipment</t>
  </si>
  <si>
    <t>Renting and leasing of construction machinery and equipment</t>
  </si>
  <si>
    <t>Renting and leasing of office machines and equipment (including computers)</t>
  </si>
  <si>
    <t>Renting and leasing of other machinery, equipment and tangible goods n.e.c.</t>
  </si>
  <si>
    <t>Leasing of intellectual property and similar products, except copyrighted works</t>
  </si>
  <si>
    <t>Activities of employment placement agencies;</t>
  </si>
  <si>
    <t>Temporary employment agency activities</t>
  </si>
  <si>
    <t>Other human resources provision</t>
  </si>
  <si>
    <t>Private security activities, excluding security systems service activities</t>
  </si>
  <si>
    <t>Security systems service activities</t>
  </si>
  <si>
    <t>Building cleaning support activities</t>
  </si>
  <si>
    <t>Non-specialised cleaning of buildings and industrial facilities</t>
  </si>
  <si>
    <t>Specialised cleaning of buildings and industrial facilities</t>
  </si>
  <si>
    <t>Other cleaning activities</t>
  </si>
  <si>
    <t>Landscape management related services</t>
  </si>
  <si>
    <t>Office administrative service activities</t>
  </si>
  <si>
    <t>Photocopying, document preparation and other specialised office support activities</t>
  </si>
  <si>
    <t>Activities of call centres</t>
  </si>
  <si>
    <t>Organisation of conventions and trade shows</t>
  </si>
  <si>
    <t>Activities of collection agencies and credit bureaus</t>
  </si>
  <si>
    <t>Other business support service activities n.e.c.</t>
  </si>
  <si>
    <t>Fire fighting systems</t>
  </si>
  <si>
    <t>Schools of higher education</t>
  </si>
  <si>
    <t>Out-of-school forms of sports and leisure education</t>
  </si>
  <si>
    <t>Out-of-school forms of cultural education</t>
  </si>
  <si>
    <t>Other out-of-school forms of education n.e.c.</t>
  </si>
  <si>
    <t>Educational support activities</t>
  </si>
  <si>
    <t>Other human health activities n.e.c.</t>
  </si>
  <si>
    <t>Other entertainment and recreation activities</t>
  </si>
  <si>
    <t>Trade union activities</t>
  </si>
  <si>
    <t>Activities of other membership organisations n.e.c.</t>
  </si>
  <si>
    <t>Repair and maintenance of computers and peripheral equipment</t>
  </si>
  <si>
    <t>Repair and maintenance of (tele)communications equipment</t>
  </si>
  <si>
    <t>Repair and maintenance of household appliances and home and garden equipment</t>
  </si>
  <si>
    <t>Other service activities, n.e.c.</t>
  </si>
  <si>
    <t>Zdarzenia po dniu bilansowym</t>
  </si>
  <si>
    <t>Nagłówek arkuszy</t>
  </si>
  <si>
    <t>Jeżęli wystąpiły zmiany zmienić odpowiednio</t>
  </si>
  <si>
    <t>1.19</t>
  </si>
  <si>
    <t>nota 1.12 - 1.19</t>
  </si>
  <si>
    <t>Liczba akcji obejmowanych przez akcjonariuszy w prostej spółce akcyjnej w zamian za wkłady niepieniężne, których przedmiotem jest prawo niezbywalne lub swiadczenie pracy, lub usług.</t>
  </si>
  <si>
    <t>2.12.</t>
  </si>
  <si>
    <t>Wartość żywności przekazanej organizacjom pozarządowym</t>
  </si>
  <si>
    <t>Kwota opłaty za marnowanie żywności</t>
  </si>
  <si>
    <t>Informacja o wynagrodzeniu firmy audytorskiej, wypłaconym lub należnym za rok obrotowy</t>
  </si>
  <si>
    <t>Inne usługi atestacyjne</t>
  </si>
  <si>
    <t>Badanie ustawowe w rozumieniu art. 2 pkt 1 ustawy o biegłych rewidentach</t>
  </si>
  <si>
    <t>tu wpisz wynagrodzenie, w przypadku obowiązku badania</t>
  </si>
  <si>
    <t>Sprawozdanie finansowe spółki nie podlega konsolidacji.</t>
  </si>
  <si>
    <t>Informacje dodatkowe w zakresie instrumentów finansowych, zgodnie z §40.1  Rozporządzenia Ministra Finansów z dnia 12.12.2001 w sprawie szczegółowych zasad uznawania, metod wyceny, zakresu ujawniania i sposobu prezentacji instrumentów finansowych</t>
  </si>
  <si>
    <t>Spółka zastosowała uproszczenia wynikające z art. 28b ust. 1 Ustawy o rachunkowości i nie stosuje przepisów w/w Rozporządzenia.</t>
  </si>
  <si>
    <t>10.1.</t>
  </si>
  <si>
    <t>Podstawowa charakterystyka, ilość i wartość instrumentów finansowych, w tym opis istotnych warunków i terminów, które mogą wpływać na wielkość, rozkład w czasie oraz pewność przyszłych przepływów pieniężnych</t>
  </si>
  <si>
    <t>Spółka nie wyceniała aktywów i zobowiązań w wartości godziwej.</t>
  </si>
  <si>
    <t>Pożyczki udzielone i należności własne</t>
  </si>
  <si>
    <t>Nie wystąpiły</t>
  </si>
  <si>
    <t xml:space="preserve">Aktywa finansowe utrzymywane do terminu wymagalności </t>
  </si>
  <si>
    <t>Aktywa finansowe dostępne do sprzedaży</t>
  </si>
  <si>
    <t>Aktywa finansowe przeznaczone do obrotu</t>
  </si>
  <si>
    <t>Informacje dotyczące odpisów aktualizujących z tytułu trwałej utraty wartości aktywów finansowych</t>
  </si>
  <si>
    <t xml:space="preserve">Informacje o odsetkach naliczonych od dłużnych instrumentów finansowych, pożyczek udzielonych i należności własnych </t>
  </si>
  <si>
    <t>Informacje o niezrealizowanych odsetkach od udzielonych pożyczek i należności własnych, które objęto odpisem aktualizującym w roku obrotowym</t>
  </si>
  <si>
    <t xml:space="preserve">Informacje o aktywach finansowych wycenianych w wartości godziwej </t>
  </si>
  <si>
    <t>Zobowiązania finansowe - charakterystyka instrumentów finansowych</t>
  </si>
  <si>
    <t>Zobowiązania finansowe przeznaczone do obrotu</t>
  </si>
  <si>
    <t>Instrumenty zabezpieczające</t>
  </si>
  <si>
    <t>Pozostałe zobowiązania finansowe</t>
  </si>
  <si>
    <t>Koszty z tytułu odsetek od zobowiązań finansowych</t>
  </si>
  <si>
    <t>Cele i zasady zarządzania ryzykiem finansowym, w tym dotyczące zabezpieczenia podstawowych rodzajów planowanych transakcji oraz uprawdopodobnionych przyszłych zobowiązań</t>
  </si>
  <si>
    <t>Spółka nie stosuje rachunkowości zabezpieczeń.</t>
  </si>
  <si>
    <t>Nie wypełniamy noty tylko w przypadku:</t>
  </si>
  <si>
    <t>ukryj w przypadku uzupełniania noty</t>
  </si>
  <si>
    <t>10.2.</t>
  </si>
  <si>
    <t>10.3.</t>
  </si>
  <si>
    <t>10.4.</t>
  </si>
  <si>
    <t>10.5.</t>
  </si>
  <si>
    <t>10.6.</t>
  </si>
  <si>
    <t>10.7.</t>
  </si>
  <si>
    <t>10.8.</t>
  </si>
  <si>
    <t>10.9.</t>
  </si>
  <si>
    <t>10.10.</t>
  </si>
  <si>
    <t>10.11.</t>
  </si>
  <si>
    <t>Aktywa finansowe - charakterystyka instrumentów finansowych</t>
  </si>
  <si>
    <t>Ukryj gdy wypełniasz tabelę</t>
  </si>
  <si>
    <t>Kwota umowna</t>
  </si>
  <si>
    <t>Część krótkoterminowa</t>
  </si>
  <si>
    <t>Część długoterminowa</t>
  </si>
  <si>
    <t>Warunki oprocentowania</t>
  </si>
  <si>
    <t>Zabezpieczenia</t>
  </si>
  <si>
    <t>Rodzaj zobowiązania</t>
  </si>
  <si>
    <t>Kredyt inwestycyjny</t>
  </si>
  <si>
    <t>Pożyczka grupowa</t>
  </si>
  <si>
    <t>Opisz rodzaje zabezpieczeń</t>
  </si>
  <si>
    <t>Ukryj, gdy nie wystąpiły</t>
  </si>
  <si>
    <t>Odsetki naliczone i zapłacone</t>
  </si>
  <si>
    <t>Odsetki naliczone lecz nie zapłacone</t>
  </si>
  <si>
    <t>do 3 m-cy</t>
  </si>
  <si>
    <t>3 - 12 m-cy</t>
  </si>
  <si>
    <t>powyżej 12 m-cy</t>
  </si>
  <si>
    <t>Pozostałe zobowiązania krótkoterminowe, w tym:</t>
  </si>
  <si>
    <t>dłużne papiery wartościowe</t>
  </si>
  <si>
    <t>zobowiązania finansowe inne</t>
  </si>
  <si>
    <t>Długoterminowe zobowiązania finansowe</t>
  </si>
  <si>
    <t>Zarządzanie ryzykiem związanym z instrumentami finansowymi polega przede wszystkim na planowaniu przepływów pieniężnych oraz monitorowaniu zaangażowania własnych środków finansowych.</t>
  </si>
  <si>
    <t>Ryzyko walutowe</t>
  </si>
  <si>
    <t>Ryzyko stopy procentowej</t>
  </si>
  <si>
    <t>Ryzyko kredytowe</t>
  </si>
  <si>
    <t>Opisz metody zarządzania ryzykiem</t>
  </si>
  <si>
    <t>Zostaw, gdy spółka korzysta z uproszczeń</t>
  </si>
  <si>
    <t>Ukryj, gdy spółka korzysta z uproszczeń</t>
  </si>
  <si>
    <t>Ujmowanie leasingu</t>
  </si>
  <si>
    <t>Ujmowanie i wycena instrumentów finansowych</t>
  </si>
  <si>
    <t>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t>
  </si>
  <si>
    <t>Spółka stosuje przepisy Rozporządzenia Ministra Finansów z dnia 12 grudnia 2001 r. w sprawie szczegółowych zasad uznawania, metod wyceny, zakresu ujawniania i sposobu prezentacji instrumentów finansowych.</t>
  </si>
  <si>
    <t>Ukryj gdy spółka stosuje uproszczenia</t>
  </si>
  <si>
    <t>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t>
  </si>
  <si>
    <t>Zwiększenia, z tytułu nabycia</t>
  </si>
  <si>
    <t>Zmniejszenia z tytułu rozchodu</t>
  </si>
  <si>
    <t>Zwiększenia z tytułu umorzenia</t>
  </si>
  <si>
    <t>Spółka nie użytkuje wieczyście gruntów.</t>
  </si>
  <si>
    <t xml:space="preserve">Spółka nie posiada nieamortyzowanych środków trwałych, używanych na podstawie umów najmu, dzierżawy  lub umów o podobnym charakterze. </t>
  </si>
  <si>
    <t>Grunt użytkowany wieczyście</t>
  </si>
  <si>
    <t>Powierzchnia</t>
  </si>
  <si>
    <t>Rodzaj środka trwałego</t>
  </si>
  <si>
    <t>Stan na koniec 
roku obrotowego</t>
  </si>
  <si>
    <t>Stand am Ende 
des Geschäftsjahres</t>
  </si>
  <si>
    <t>Spółka nie posiada zobowiązań zabezpieczonych na majątku.</t>
  </si>
  <si>
    <t>Wartość na dzień bilansowy</t>
  </si>
  <si>
    <t>Rodzaj zabezpieczenia</t>
  </si>
  <si>
    <t>Wykaz istotnych czynnych i biernych rozliczeń międzyokresowych</t>
  </si>
  <si>
    <t>1.14</t>
  </si>
  <si>
    <t>1.15</t>
  </si>
  <si>
    <t>Spółka na dzień bilansowy nie posiada zobowiązań warunkowych.</t>
  </si>
  <si>
    <t>Spółka nie posiada na dzień bilansowy środków pieniężnych zgromadzonych na rachunku VAT.</t>
  </si>
  <si>
    <t>Spółka nie dokonywała odpisów aktualizujących środki trwałe zarówno w bieżącym roku obrotowym, jak i w roku poprzednim.</t>
  </si>
  <si>
    <t>pracownicy umysłowi</t>
  </si>
  <si>
    <t>pracownicy fizyczni</t>
  </si>
  <si>
    <t>pozostali</t>
  </si>
  <si>
    <t>Spółka nie zatrudnia pracowników.</t>
  </si>
  <si>
    <t>Spółka nie ma obowiązku sporządzania rachunku przepływów pieniężnych.</t>
  </si>
  <si>
    <t>Spółka nie dokonywała odpisów aktualizujących zapasy zarówno w bieżącym roku obrotowym, jak i w roku poprzednim.</t>
  </si>
  <si>
    <t>Wynagrodzenie Członków Zarządu</t>
  </si>
  <si>
    <t>Spółka nie korzystała z usług firmy audytorskiej, zarówno w bieżącym roku obrotowym jak i w roku poprzednim.</t>
  </si>
  <si>
    <t>W roku obrotowym nie dokonywano korekty błędów lat ubiegłych.</t>
  </si>
  <si>
    <t>Nie planuje się również istotnych nakładów na niefinansowe aktywa trwałe w kolejnym roku obrotowym.</t>
  </si>
  <si>
    <t>Informacje o nabyciu udziałów (akcji) własnych</t>
  </si>
  <si>
    <t>Information on purchase of treasury shares</t>
  </si>
  <si>
    <t>1. Czy spółka jest jednostką małą / mikro?</t>
  </si>
  <si>
    <t>2. Czy klient chce, by sporządzać sprawozdanie z działalności?</t>
  </si>
  <si>
    <t>ilościowo-wartościowa</t>
  </si>
  <si>
    <t>wybierz sposób ewidencji materiałów</t>
  </si>
  <si>
    <t>wybierz sposób ewidencji towarów</t>
  </si>
  <si>
    <t>wartość graniczna</t>
  </si>
  <si>
    <t>ukryj wiersz, gdy nie uzupełniasz</t>
  </si>
  <si>
    <t>metoda rozchodu zapasów</t>
  </si>
  <si>
    <t>Metoda wyceny rozchodu zapasów</t>
  </si>
  <si>
    <t>Dla potrzeb wyceny rozchodu zapasów wykorzystywana jest metoda FIFO.</t>
  </si>
  <si>
    <t>Dla potrzeb wyceny rozchodu zapasów wykorzystywana jest metoda średniej ważonej.</t>
  </si>
  <si>
    <t>Nie dotyczy, nie istnieją niepewności co do możliwości kontynuowania działalności przez Spółkę.</t>
  </si>
  <si>
    <t>Post office in:</t>
  </si>
  <si>
    <t>Tangible and intangible assets are depreciated and amortised, respectively, on the basis of a depreciation (amortisation) schedule which defines the amounts of annual depreciation (amortisation) charges and depreciation (amortisation) rates. Tangible assets and intangible assets are depreciated and amortised, respectively, on the basis of the valid depreciation (amortisation) schedule. The amortisation/depreciation period and the amortisation/depreciation rate are determined taking into account the economic useful life of a given tangible asset or intangible asset, as well as the estimated net selling price of significant residue of the tangible asset upon liquidation.</t>
  </si>
  <si>
    <t>Recognition of lease</t>
  </si>
  <si>
    <t>Recognition and valuation of financial instruments</t>
  </si>
  <si>
    <t>The Company applies simplifications under Article 28b(1) of the Accounting Act and therefore does not follow the Regulation of the Minister of Finance of 12 December 2001 on the detailed rules for the recognition, the methods of valuation, the scope of disclosure and the manner of presentation of financial instruments.</t>
  </si>
  <si>
    <t>The Company follows the Regulation of the Minister of Finance of 12 December 2001 on the detailed rules for the recognition, the methods of valuation, the scope of disclosure and the manner of presentation of financial instruments.</t>
  </si>
  <si>
    <t>Post-balance sheet events</t>
  </si>
  <si>
    <t>President of the Management Board</t>
  </si>
  <si>
    <t>Additions on account of acquisition</t>
  </si>
  <si>
    <r>
      <t xml:space="preserve">Disposals </t>
    </r>
    <r>
      <rPr>
        <sz val="10"/>
        <color rgb="FF00B050"/>
        <rFont val="Arial"/>
        <family val="2"/>
        <charset val="238"/>
      </rPr>
      <t/>
    </r>
  </si>
  <si>
    <t xml:space="preserve">Disposals </t>
  </si>
  <si>
    <t>The Company does not use any land under usufruct right.</t>
  </si>
  <si>
    <t>Area</t>
  </si>
  <si>
    <t>The Company does not own non-depreciated tangible assets used under rental, leasehold, lease or other similar agreements.</t>
  </si>
  <si>
    <t>Tangible asset</t>
  </si>
  <si>
    <t>List of significant items of prepayments and accruals</t>
  </si>
  <si>
    <t>The Company has no liabilities secured against its assets.</t>
  </si>
  <si>
    <t>Type of liability</t>
  </si>
  <si>
    <t>Value as of the balance sheet date</t>
  </si>
  <si>
    <t>Type of security</t>
  </si>
  <si>
    <r>
      <t>The number of shares taken up by the shareholders in a simple joint stock company (</t>
    </r>
    <r>
      <rPr>
        <i/>
        <sz val="10"/>
        <color theme="1"/>
        <rFont val="Arial"/>
        <family val="2"/>
      </rPr>
      <t>PSA</t>
    </r>
    <r>
      <rPr>
        <sz val="10"/>
        <color theme="1"/>
        <rFont val="Arial"/>
        <family val="2"/>
      </rPr>
      <t>) in exchange for in-kind contributions in the form of a non-transferable right or performance of work or services.</t>
    </r>
  </si>
  <si>
    <t>The Company made no value adjustment write-downs of tangible assets either in the current financial year or in the preceding year.</t>
  </si>
  <si>
    <t>The Company made no value adjustment write-downs of inventories either in the current financial year or in the preceding year.</t>
  </si>
  <si>
    <t>The value of food transferred to non-governmental organisations so that they perform their tasks in the scope specified in Article 2(2) of the Food Waste Prevention Act of 19 July 2019, or the food waste fee referred to in Article 5 of that Act.</t>
  </si>
  <si>
    <t>The value of food transferred to non-governmental organisations</t>
  </si>
  <si>
    <t>Food waste fee</t>
  </si>
  <si>
    <t>The Company does not have to prepare the cash flow statement.</t>
  </si>
  <si>
    <t>administration employees</t>
  </si>
  <si>
    <t>white-collar employees</t>
  </si>
  <si>
    <t>blue-collar employees</t>
  </si>
  <si>
    <t>other employees</t>
  </si>
  <si>
    <t>The Company does not hire employees.</t>
  </si>
  <si>
    <t>Remuneration of an audit firm paid or due for the financial year</t>
  </si>
  <si>
    <t>The Company did not use the services of an audit firm either in the current or in the preceding financial year.</t>
  </si>
  <si>
    <t>Statutory audit in the meaning of Article 2(1) of the Statutory Auditors Act</t>
  </si>
  <si>
    <t>Other assurance services</t>
  </si>
  <si>
    <t>No prior period adjustments were made in the financial year.</t>
  </si>
  <si>
    <t>The financial statements are not consolidated.</t>
  </si>
  <si>
    <t>Additional information on financial instruments in accordance with §40.1of the Regulation of the Minister of Finance dated 12/12/2001 on the detailed rules for the recognition, the methods of valuation, the scope of disclosure and the manner of presentation of financial instruments</t>
  </si>
  <si>
    <t>The Company applied simplifications under Article 28b(1) of the Accounting Act and does not apply the provisions of the abovementioned Regulation.</t>
  </si>
  <si>
    <t>Basic characteristics, number and value of the financial instruments, including a description of significant terms and dates which may affect the amount, timing and probability of future cash flows</t>
  </si>
  <si>
    <t xml:space="preserve">Financial assets - characteristics of financial instruments </t>
  </si>
  <si>
    <t>Loans advanced and receivables</t>
  </si>
  <si>
    <t>Financial assets held until maturity</t>
  </si>
  <si>
    <t>Financial assets avalable for sale</t>
  </si>
  <si>
    <t>Financial asset held for trading</t>
  </si>
  <si>
    <t>Information on impairment write-downs of financial assets</t>
  </si>
  <si>
    <t>Information on interest on debt financial instruments, loans advanced and receivables</t>
  </si>
  <si>
    <t>Information on unrealised interest on loans advanced and receivables, covered by a value adjustment write-down in the financial year</t>
  </si>
  <si>
    <t xml:space="preserve">Information on financial assets measured at fair value  </t>
  </si>
  <si>
    <t xml:space="preserve">Financial liabilities – characteristics of financial instruments </t>
  </si>
  <si>
    <t>Financial liabilities held for trading</t>
  </si>
  <si>
    <t>Hedging instruments</t>
  </si>
  <si>
    <t>Cost of interest on financial liabilities</t>
  </si>
  <si>
    <t>Purposes and rules of financial risk management including those related to hedging the basic types of forecast transactions and firm commitments</t>
  </si>
  <si>
    <t>The Company does not use hedge accounting.</t>
  </si>
  <si>
    <t>The Company did not measure any assets and liabilities at fair value.</t>
  </si>
  <si>
    <t>None</t>
  </si>
  <si>
    <t>Contractual amount</t>
  </si>
  <si>
    <t>Short-term portion</t>
  </si>
  <si>
    <t>Long-term portion</t>
  </si>
  <si>
    <t>Interest terms</t>
  </si>
  <si>
    <t>Security</t>
  </si>
  <si>
    <t>Investment loan</t>
  </si>
  <si>
    <t>Group loan</t>
  </si>
  <si>
    <t>Interest accrued and paid</t>
  </si>
  <si>
    <t>Interest accrued but unpaid</t>
  </si>
  <si>
    <t>Other current liabilities, incl.:</t>
  </si>
  <si>
    <t>loans and borrowings</t>
  </si>
  <si>
    <t>debt securities</t>
  </si>
  <si>
    <t>Non-current financial liabilities</t>
  </si>
  <si>
    <t>The management of risk connected with financial instruments consists in particular in cash flow planning and monitoring the engagement of own funds.</t>
  </si>
  <si>
    <t>Currency risk</t>
  </si>
  <si>
    <t>Interest rate risk</t>
  </si>
  <si>
    <t>Credit risk</t>
  </si>
  <si>
    <t>Post:</t>
  </si>
  <si>
    <t>Abschreibungen auf Sachanlagen und immaterielle Vermögensgegenstände und Rechte erfolgen aufgrund eines Abschreibungsplans, der Jahresabschreibungsbeträge und Abschreibungssätze beinhaltet. Kumulierte Abschreibungen auf Sachanlagen und immaterielle Vermögensgegenstände und Rechte erfolgen gemäß dem aktuellen Abschreibungsplan. Bei Festlegung des Abschreibungszeitraums und Abschreibungssatzes sind die wirtschaftliche Nutzungsdauer der Sachanlagen und immateriellen Vermögensgegenstände und Rechte sowie der bei einer Liquidierung der betreffenden Sachanlage für ihre wesentlichen Restbestandteile voraussichtlich erzielbare Nettoverkaufspreis zu berücksichtigen.</t>
  </si>
  <si>
    <t>Erfassung von Leasing</t>
  </si>
  <si>
    <t>Erfassung und Bewertung von Finanzinstrumenten</t>
  </si>
  <si>
    <t>Die Gesellschaft nimmt die Vereinfachungen aus Art. 28b Abs. 1 RLG-PL in Anspruch, weswegen sie die Vorschriften der Verordnung des Finanzministers vom 12. Dezember 2001 über die detaillierten Grundsätze für Einstufung, Bewertungsmethoden, Umfang der Offenlegung und Darstellungsart der Finanzinstrumente nicht anwendet.</t>
  </si>
  <si>
    <t>Die Gesellschaft wendet die Vorschriften der Verordnung des Finanzministers vom 12. Dezember 2001 über die detaillierten Grundsätze für Einstufung, Bewertungsmethoden, Umfang der Offenlegung und Darstellungsart der Finanzinstrumente an.</t>
  </si>
  <si>
    <t>Ereignisse nach dem Bilanzstichtag</t>
  </si>
  <si>
    <t>Vorsitzender der Geschäftsführung</t>
  </si>
  <si>
    <t>Zugänge aus dem Erwerb</t>
  </si>
  <si>
    <t>Abgänge</t>
  </si>
  <si>
    <t>Zugänge aus kumulierter Abschreibung</t>
  </si>
  <si>
    <t>Die Gesellschaft hat keine Grundstücke im Erbnießbrauch.</t>
  </si>
  <si>
    <t>Grundstücke im Erbnießbrauch</t>
  </si>
  <si>
    <t>Fläche</t>
  </si>
  <si>
    <t>Die Gesellschaft hat keine nicht abgeschriebenen Sachanlagen, die auf der Grundlage von Miet-, Pacht- oder ähnlichen Verträgen genutzt würden.</t>
  </si>
  <si>
    <t>Art der Sachanlage</t>
  </si>
  <si>
    <t>Aufstellung wesentlicher aktiver und passiver Rechnungsabgrenzungsposten</t>
  </si>
  <si>
    <t>Die Gesellschaft weist keine Verbindlichkeiten aus, die mit dem Vermögen besichert wären.</t>
  </si>
  <si>
    <t>Art der Verbindlichkeit</t>
  </si>
  <si>
    <t>Wert zum Bilanzstichtag</t>
  </si>
  <si>
    <t>Art der Sicherheit</t>
  </si>
  <si>
    <t>Anzahl der Aktien, die von Aktionären in einer einfachen Aktiengesellschaft im Gegenzug für Sacheinlagen übernommen werden, deren Gegenstand ein nicht veräußerbares Recht oder die Arbeitsleistung oder die Dienstleistungserbringung sind.</t>
  </si>
  <si>
    <t>Die Gesellschaft nahm weder in diesem noch im vorherigen Geschäftsjahr Wertberichtigungen auf Sachanlagen vor.</t>
  </si>
  <si>
    <t>Die Gesellschaft nahm weder in diesem noch im vorherigen Geschäftsjahr Wertberichtigungen auf Vorräte vor.</t>
  </si>
  <si>
    <t>Wert der Lebensmittel, die an Nicht-Regierungsorganisationen übergeben wurden, damit diese Aufgaben gemäß Art. 2 Pkt. 2 des Gesetzes vom 19. Juli 2019 über die Vermeidung der Lebensmittelverschwendung erfüllen können, oder für die Lebensmittelverschwendung fällige Gebühr gemäß Art. 5 dieses Gesetzes.</t>
  </si>
  <si>
    <t>Wert der an Nicht-Regierungsorganisationen übergebenen Lebensittel</t>
  </si>
  <si>
    <t>Gebühr für Lebensmittelverschwendung</t>
  </si>
  <si>
    <t>Die Gesellschaft ist nicht verpflichtet, die Kapitalflussrechnung zu erstellen.</t>
  </si>
  <si>
    <t>Verwaltungsangestellte</t>
  </si>
  <si>
    <t>Angestellte</t>
  </si>
  <si>
    <t>Arbeiter</t>
  </si>
  <si>
    <t>Die Gesellschaft beschäftigt keine Arbeitnehmer.</t>
  </si>
  <si>
    <t>Information über die Vergütung für die Wirtschaftsprüfungsgesellschaft, die für das Geschäftsjahr ausgezahlt wurde oder zusteht</t>
  </si>
  <si>
    <t>Die Gesellschaft hat die Dienstleistungen einer Wirtschaftsprüfungsgesellschaft weder im laufenden Geschäftsjahr noch im Vorjahr in Anspruch genommen.</t>
  </si>
  <si>
    <t>Obligatorische Jahresabschlussprüfung gemäß Art. 2 Pkt. 1 des polnischen Gesetzes über die Wirtschaftsprüfer</t>
  </si>
  <si>
    <t>Sonstige Bestätigungsleistungen</t>
  </si>
  <si>
    <t>Im Geschäftsjahr wurden die Fehler aus den Vorjahren nicht korrigiert.</t>
  </si>
  <si>
    <t>Der Jahresabschluss der Gesellschaft unterliegt nicht der Konsolidierung.</t>
  </si>
  <si>
    <t>Zusätzliche Informationen zu Finanzinstrumenten gemäß § 40.1 der Verordnung des Finanzministers vom 12. Dezember 2001 über die detaillierten Grundsätze für Einstufung, Bewertungsmethoden, Umfang der Offenlegung und Darstellungsart der Finanzinstrumente</t>
  </si>
  <si>
    <t>Die Gesellschaft hat die Vereinfachungen aus Art. 28b Abs. 1 RLG-PL in Anspruch genommen und wendet die Vorschriften der o.g. Verordnung nicht an.</t>
  </si>
  <si>
    <t>Grundlegende Charakteristik, Menge und Wert der Finanzinstrumente, darunter Beschreibung wesentlicher Bedingungen und Fristen, die sich auf die Größe, periodische Abgrenzung und Sicherheit der künftigen Geldflüsse auswirken können</t>
  </si>
  <si>
    <t>Finanzielle Vermögenswerte – Charakteristik der Finanzinstrumente</t>
  </si>
  <si>
    <t>Ausleihungen und eigene Forderungen</t>
  </si>
  <si>
    <t>Bis zum Fälligkeitstermin gehaltene finanzielle Vermögenswerte</t>
  </si>
  <si>
    <t>Zum Verkauf verfügbare finanzielle Vermögenswerte</t>
  </si>
  <si>
    <t>Zur Veräußerung bestimmte finanzielle Vermögenswerte</t>
  </si>
  <si>
    <t>Informationen über Wertberichtigungen aufgrund dauerhafter Wertminderung der finanziellen Vermögenswerte</t>
  </si>
  <si>
    <t>Informationen über Zinsen auf schuldrechtliche Finanzinstrumente, Ausleihungen und eigene Forderungen</t>
  </si>
  <si>
    <t>Informationen über nicht realisierte Zinsen auf Ausleihungen und eigene Forderungen, die in dem betreffenden Geschäftsjahr wertberichtigt wurden</t>
  </si>
  <si>
    <t>Informationen über finanzielle Vermögenswerte, die zum beizulegenden Zeitwert bewertet wurden</t>
  </si>
  <si>
    <t xml:space="preserve">Finanzielle Verbindlichkeiten – Charakteristik der Finanzinstrumente </t>
  </si>
  <si>
    <t>Zur Veräußerung bestimmte finanzielle Verbindlichkeiten</t>
  </si>
  <si>
    <t xml:space="preserve">Sicherungsinstrumente </t>
  </si>
  <si>
    <t>Sonstige finanzielle Verbindlichkeiten</t>
  </si>
  <si>
    <t>Kosten der Zinsen auf finanzielle Verbindlichkeiten</t>
  </si>
  <si>
    <t>Ziele und Grundsätze des Finanzrisikomanagements, darunter betreffend die Besicherung der wichtigsten Arten der geplanten Geschäfte und der glaubhaft gemachten zukünftigen Verbindlichkeiten</t>
  </si>
  <si>
    <t>Die Gesellschaft hat die Aktiva und Passiva nicht nach dem beizulegenden Zeitwert bewertet.</t>
  </si>
  <si>
    <t>Vertragswert</t>
  </si>
  <si>
    <t>Kurzfristiger Teil</t>
  </si>
  <si>
    <t>Langfristiger Teil</t>
  </si>
  <si>
    <t>Bedingungen der Verzinsung</t>
  </si>
  <si>
    <t>Sicherheiten</t>
  </si>
  <si>
    <t>Investitionskredit</t>
  </si>
  <si>
    <t>Gruppendarlehen</t>
  </si>
  <si>
    <t>Berechnete und gezahlte Zinsen</t>
  </si>
  <si>
    <t>Berechnete, jedoch nicht gezahlte Zinsen</t>
  </si>
  <si>
    <t>bis zu 3 Monaten</t>
  </si>
  <si>
    <t>3 bis 12 Monate</t>
  </si>
  <si>
    <t>Sonstige kurzfristige Verbindlichkeiten, darunter:</t>
  </si>
  <si>
    <t>Schuldrechtliche Wertpapiere</t>
  </si>
  <si>
    <t>Langfristige finanziele Verbindlichkeiten</t>
  </si>
  <si>
    <t>Das Risikomanagement im Zusammenhang mit Finanzinstrumenten besteht vor allem in der Planung der Geldflüsse und in der Überwachung der eigenen eingesetzten Finanzmittel.</t>
  </si>
  <si>
    <t>Währungsrisiko</t>
  </si>
  <si>
    <t>Zinssatzrisiko</t>
  </si>
  <si>
    <t>Kreditrisiko</t>
  </si>
  <si>
    <t>Despite the economic recession there are no signs indicating any threats to the Company's ability to continue as a going concern or to limitation of the size of its operations, and all changes suggest that it would continue its development.</t>
  </si>
  <si>
    <t>The financial statements were prepared assuming that the Company will continue as a going concern.</t>
  </si>
  <si>
    <t>There are no circumstances indicating any threat to the Company's ability to continue as a going concern.</t>
  </si>
  <si>
    <t>If there are any uncertainties as to the Company's ability to continue as a going concern, a description of those uncertainties and a statement that such an uncertainty exists, as well as an indication as to whether the financial statements contain relevant corrections and a description of actions taken or planned by the entity, aiming at eliminating the uncertainty</t>
  </si>
  <si>
    <t xml:space="preserve">The Company uses the following annual amortisation (depreciation) rates: </t>
  </si>
  <si>
    <t>- services which are to be completed within less than 6 months;</t>
  </si>
  <si>
    <t>- services which are to be completed within more than 6 months, but their value as of the balance sheet date does not materially affect the situation of the contractor.</t>
  </si>
  <si>
    <t>Inventory disposal measurement method</t>
  </si>
  <si>
    <t>Inventory disposals are measured using the first-in first-out (FIFO) method.</t>
  </si>
  <si>
    <t>Inventory disposals are measured using the weighted average method.</t>
  </si>
  <si>
    <t xml:space="preserve">Receivables are valued at the amount due. In addition to the the face value of receivables the amount includes also late payment interest. The interest is posted to financial revenues only if the Company decides to claim the interest on the balance sheet day. </t>
  </si>
  <si>
    <t>Liabilities are recognised at the amount due.  In addition to the the face value of liabilities the amount includes also late payment interest. The interest is posted during the year to financial expenses on the basis of debit notes from the supplier. At the end of the financial year the interest is posted in the cumulative value based on the analysis of balances in individual supplier accounts as of the end of the financial year and the payment due dates agreed with the suppliers.</t>
  </si>
  <si>
    <t>Disposals of equal investments, the acquisition costs of which are different, are measured according to FIFO. This method also applies to investments that are deemed equal due to similarity in kind and intended purpose.</t>
  </si>
  <si>
    <t>Current investments as of the balance sheet date are measured at the lower of acquisition cost or market value.</t>
  </si>
  <si>
    <t>Investments in the form of financial assets are classified as current financial assets if they are payable and mature or are held for sale within 12 months of the balance sheet date or if they are payable and mature or are held for sale within 12 months of the date of their establishment, issuance or acquisition.</t>
  </si>
  <si>
    <t>Current investments, recognised in the books upon their acquisition or occurrence, are measured at purchase price or acquisition cost.</t>
  </si>
  <si>
    <t>Non-current investments recognised in the books as of their acquisition or establishment date are measured at acquisition cost.</t>
  </si>
  <si>
    <t>Disposals of equal investments, the acquisition costs of which are different, are measured according to FIFO. This method is also applicable to non-current investments that are deemed equal due to similarity in kind and intended purpose.</t>
  </si>
  <si>
    <t>The value of estimated revenues from unfinished construction contracts is established in the amount of such part of the contractual price for the entire service which corresponds with the percentage of completion of the service as of the balance sheet date, after deduction of the revenues which affected the profit (loss) in prior reporting periods.</t>
  </si>
  <si>
    <r>
      <t>Deferred revenues</t>
    </r>
    <r>
      <rPr>
        <sz val="10"/>
        <rFont val="Frutiger CE 45 Light"/>
        <charset val="238"/>
      </rPr>
      <t xml:space="preserve"> </t>
    </r>
  </si>
  <si>
    <t>Deferred revenues are recognised based on the principle of prudence and include in particular:</t>
  </si>
  <si>
    <t>The amounts qualified as deferred revenues gradually increase other operating income, in parallel with depreciation or accumulated depreciation charges on tangible assets or costs of research and development work financed from those sources.</t>
  </si>
  <si>
    <t>Sales revenues are recognised upon delivery of goods if the entity has transferred significant risk and benefits arising from the property rights to the goods, or upon service completion. Sales are recognised in the net value, i.e., without VAT and taking into account all discounts.</t>
  </si>
  <si>
    <t>- accounting principles;</t>
  </si>
  <si>
    <t>- method of measurement of assets and equity and liabilities;</t>
  </si>
  <si>
    <t>- method of determining the net profit (loss);</t>
  </si>
  <si>
    <t>Keeping the books of account</t>
  </si>
  <si>
    <t>buildings, premises, rights to premises, and civil engineering structures</t>
  </si>
  <si>
    <t>From third parties in which the entity has an equity interest</t>
  </si>
  <si>
    <t xml:space="preserve"> in third parties in which the entity has an equity interest</t>
  </si>
  <si>
    <t>Receivables from third parties in which the entity has an equity interest</t>
  </si>
  <si>
    <t>Against third parties in which the entity has an equity interest</t>
  </si>
  <si>
    <t xml:space="preserve"> Liabilities against third parties in which the entity has an equity interest</t>
  </si>
  <si>
    <t>third parties in which the entity has an equity interest</t>
  </si>
  <si>
    <t>List of companies in which the entity has an equity interest or holds 20% in the total number of votes in the decision-making body of the Company</t>
  </si>
  <si>
    <t>Current receivables from third parties in which the entity has an equity interest</t>
  </si>
  <si>
    <t>in which the entity has an equity interest</t>
  </si>
  <si>
    <t>excise duty</t>
  </si>
  <si>
    <t>Depreciation (amortisation)</t>
  </si>
  <si>
    <t>Interest and profit-sharing (dividends)</t>
  </si>
  <si>
    <t>Total net receivables after adjustments</t>
  </si>
  <si>
    <t>Total provisions after adjustment</t>
  </si>
  <si>
    <t>Subsidies</t>
  </si>
  <si>
    <t>Foreign exchange gains(losses) on VAT</t>
  </si>
  <si>
    <t>Change in cash and cash equivalents due to foreign exchange gains(losses)</t>
  </si>
  <si>
    <t>Restricted cash and cash equivalents</t>
  </si>
  <si>
    <t>additions (from)</t>
  </si>
  <si>
    <t>disposals (from)</t>
  </si>
  <si>
    <t>dividend payment</t>
  </si>
  <si>
    <t xml:space="preserve">covering the loss from the last year's profit (loss) </t>
  </si>
  <si>
    <t xml:space="preserve">Equity, taking into account the suggested way of profit distribution (covering the loss) </t>
  </si>
  <si>
    <t>Provision for retirement and disability pension benefits</t>
  </si>
  <si>
    <t>The Company has no contingent liabilities as of the balance sheet date.</t>
  </si>
  <si>
    <t>The Company has no cash in the VAT account as of the balance sheet date.</t>
  </si>
  <si>
    <t>Costs by type</t>
  </si>
  <si>
    <t>g) other costs by type</t>
  </si>
  <si>
    <t>Outlays  for non-financial tangible assets made in the last year and planned for the next year</t>
  </si>
  <si>
    <t>No significant outlays for non-financial tangible assets are planned for the following financial year either.</t>
  </si>
  <si>
    <t>Disclosed inventory surpluses of investment assets</t>
  </si>
  <si>
    <t>Disclosed inventory shortages of investment assets</t>
  </si>
  <si>
    <t>Amount repaid</t>
  </si>
  <si>
    <t>transaction currency</t>
  </si>
  <si>
    <t>average annual employment</t>
  </si>
  <si>
    <t>Main line of business of the acquired company</t>
  </si>
  <si>
    <t>Main line of business of the company:</t>
  </si>
  <si>
    <t>Not applicable. There are no uncertainties as to the Company's ability to continue as a going concern.</t>
  </si>
  <si>
    <t>The Company did not purchase treasury shares in the financial year.</t>
  </si>
  <si>
    <t>Total adjustments</t>
  </si>
  <si>
    <t>Equity at the beginning of the period (OB), after adjustments</t>
  </si>
  <si>
    <t>- zwrot dopłat wspólnikom spółki z ograniczoną
 odpowiedzialnością</t>
  </si>
  <si>
    <t>- dopłaty wspólników w spółce z ograniczoną
 odpowiedzialością</t>
  </si>
  <si>
    <t>Wytworzone wyroby gotowe ujmowane są w księgach pomocniczych w postaci ewidencji ilościowo-wartościowej.</t>
  </si>
  <si>
    <t>Die fertigen Erzeugnisse werden mengen- und wertmäßig in den Hilfsbüchern erfasst.</t>
  </si>
  <si>
    <t>Manufactured finished goods are recognised in the subsidiary ledgers in the form of records by quantity and value.</t>
  </si>
  <si>
    <t>Wytworzone wyroby gotowe ujmowane są w księgach pomocniczych w postaci ewidencji ilościowej.</t>
  </si>
  <si>
    <t>Die fertigen Erzeugnisse werden mengenmäßig in den Hilfsbüchern erfasst.</t>
  </si>
  <si>
    <t>Manufactured finished goods are recognised in the subsidiary ledgers in the form of records by quantity.</t>
  </si>
  <si>
    <t>Wytworzone wyroby gotowe ujmowane są w księgach pomocniczych w postaci ewidencji wartościowej.</t>
  </si>
  <si>
    <t>Die fertigen Erzeugnisse werden wertmäßig in den Hilfsbüchern erfasst.</t>
  </si>
  <si>
    <t>Manufactured finished goods are recognised in the subsidiary ledgers in the form of records by value.</t>
  </si>
  <si>
    <t>Wytworzone wyroby gotowe odpisywane są w koszty w dacie ich wytworzenia.</t>
  </si>
  <si>
    <t>Die fertigen Erzeugnisse werden unter dem Herstellungsdatum direkt als Aufwand abgeschrieben.</t>
  </si>
  <si>
    <t>Manufactured finished goods are recognised as costs at their production date.</t>
  </si>
  <si>
    <t>wybierz sposób ewidencji WG</t>
  </si>
  <si>
    <t>Steuer-IdNr. (NIP):</t>
  </si>
  <si>
    <t>Komórki - wymagają korekty formatu po tłumaczeniu na DE</t>
  </si>
  <si>
    <t>Bewertungsmethode der Abgänge an Vorräten</t>
  </si>
  <si>
    <t>Der Abgang der Vorräte erfolgt nach der FIFO-Methode.</t>
  </si>
  <si>
    <t>Der Abgang der Vorräte erfolgt nach den gewogenen Durchschnittspreisen.</t>
  </si>
  <si>
    <t>Trifft nicht zu; es liegen keine Umstände vor, die die Unternehmensfortführung durch die Gesellschaft in Frage stellen würden.</t>
  </si>
  <si>
    <t>Einzel-wertberichtigung</t>
  </si>
  <si>
    <t>Pauschal-wertberichtigung</t>
  </si>
  <si>
    <t xml:space="preserve">Firma / Name des Gesellschafters </t>
  </si>
  <si>
    <t>Firma / Name des Aktionärs</t>
  </si>
  <si>
    <t>Neubewertungs-rücklage</t>
  </si>
  <si>
    <t xml:space="preserve"> - podstawowych wskaźnikach ekonomiczno- finansowych, charakteryzujących działalność jednostek powiązanych w danym i ubiegłym roku obrotowym</t>
  </si>
  <si>
    <t>der direkten Methode</t>
  </si>
  <si>
    <t>der indirekten Methode</t>
  </si>
  <si>
    <t>ANLAGE NR. 1 ZUM IN ELEKTRONISCHER FORM ERSTELLTEN JAHRESABSCHLUSS – ANHANG</t>
  </si>
  <si>
    <t>Firma der Gesellschaft:</t>
  </si>
  <si>
    <r>
      <t>Sachanlagen – Abschreibungss</t>
    </r>
    <r>
      <rPr>
        <sz val="10"/>
        <rFont val="Calibri"/>
        <family val="2"/>
        <charset val="238"/>
      </rPr>
      <t>ä</t>
    </r>
    <r>
      <rPr>
        <sz val="10"/>
        <rFont val="Arial"/>
        <family val="2"/>
        <charset val="238"/>
      </rPr>
      <t>tze</t>
    </r>
  </si>
  <si>
    <t>Transportmittel – 20%</t>
  </si>
  <si>
    <t>Immaterielle Vermögensgegenstände und Rechte – Abschreibungssätze</t>
  </si>
  <si>
    <t xml:space="preserve">- Leistungen, die in einem Zeitraum bis zu 6 Monaten durchzuführen sind; </t>
  </si>
  <si>
    <r>
      <t xml:space="preserve">Erlöse aus Verträgen über </t>
    </r>
    <r>
      <rPr>
        <sz val="10"/>
        <color rgb="FFFF0000"/>
        <rFont val="Arial"/>
        <family val="2"/>
      </rPr>
      <t>Dienstleistungen</t>
    </r>
    <r>
      <rPr>
        <sz val="10"/>
        <rFont val="Arial"/>
        <family val="2"/>
      </rPr>
      <t xml:space="preserve"> und Arbeiten mit einer Durchführungsdauer von mehr als 6 Monaten, für die der Fertigstellungsgrad nicht glaubwürdig ermittelt werden kann, werden aufgrund der getragenen Kosten in einer Höhe festgelegt, deren Deckung vom Auftraggeber gewährleistet wird.</t>
    </r>
  </si>
  <si>
    <t>- den Gegenwert der erhaltenen oder von den Geschäftspartnern geschuldeten Mittel aus Leistungen, die in künftigen Berichtszeiträumen zu erbringen sind;</t>
  </si>
  <si>
    <t>- flüssige Mittel für die Finanzierung der Anschaffung oder der Herstellung von Sachanlagen – darunter auch Anlagen im Bau und Entwicklungsarbeiten – sofern sie nicht laut anderen Gesetzen zum Eigenkapital zu rechnen sind.</t>
  </si>
  <si>
    <t>Stand am Anfang des Geschäfts-jahres nach Korrekturen</t>
  </si>
  <si>
    <t>Vermögenswerte, die keine Finanzinstrumente sind, und zum beizulegenden Zeitwert bewertet werden</t>
  </si>
  <si>
    <t>Es sind auch keine wesentlichen Aufwendungen für nicht finanzielle Vermögenswerte im nächsten Geschäftsjahr geplant.</t>
  </si>
  <si>
    <t>Informationen über die Kosten i.Z.m. mit Forschungs- und Entwicklungsarbeiten, die nicht gemäß Art. 33 Abs. 2 RLG-PL als immaterielle Vermögensgegenstände und Rechte eingestuft wurden</t>
  </si>
  <si>
    <t>Prozentuale Kapitalbe-teiligung</t>
  </si>
  <si>
    <t>Grad der Teilnahme an der Unterneh-mensführung</t>
  </si>
  <si>
    <t xml:space="preserve"> - die Firma und den Sitz der Gesellschaft, die den Konzernabschluss auf der höchsten Ebene des Konzerns erstellt, sowie den Ort seiner Veröffentlichung</t>
  </si>
  <si>
    <t>Zum Bilanzstichtag weist die Gesellschaft keine Eventualverbindlichkeiten aus.</t>
  </si>
  <si>
    <t>Informationen über den Erbwerb eigener Anteile (Aktien)</t>
  </si>
  <si>
    <t>1</t>
  </si>
  <si>
    <t>2</t>
  </si>
  <si>
    <t>3</t>
  </si>
  <si>
    <t>Wprowadzenie</t>
  </si>
  <si>
    <t>Introduction</t>
  </si>
  <si>
    <t>nota 1.1.-1.2</t>
  </si>
  <si>
    <t>nota 1.2</t>
  </si>
  <si>
    <t>nota 1.3-1.10</t>
  </si>
  <si>
    <t>nota 1.16-1.19</t>
  </si>
  <si>
    <t>nota 3,4</t>
  </si>
  <si>
    <t>nota 8-11</t>
  </si>
  <si>
    <t>nota 9, 10</t>
  </si>
  <si>
    <t>Einleitung</t>
  </si>
  <si>
    <t>Note 1.1.-1.2</t>
  </si>
  <si>
    <t>note 1.1.-1.2</t>
  </si>
  <si>
    <t>Note 1.1.b</t>
  </si>
  <si>
    <t>note 1.1.b</t>
  </si>
  <si>
    <t>Note 1.1.c</t>
  </si>
  <si>
    <t>note 1.1.c</t>
  </si>
  <si>
    <t>Note 1.2</t>
  </si>
  <si>
    <t>note 1.2</t>
  </si>
  <si>
    <t>Note 1.3-1.10</t>
  </si>
  <si>
    <t>note 1.3-1.10</t>
  </si>
  <si>
    <t>Note 1.11</t>
  </si>
  <si>
    <t>note 1.11</t>
  </si>
  <si>
    <t>Note 1.16-1.19</t>
  </si>
  <si>
    <t>note 1.16-1.19</t>
  </si>
  <si>
    <t>Note 2</t>
  </si>
  <si>
    <t>note 2</t>
  </si>
  <si>
    <t>Note 3,4</t>
  </si>
  <si>
    <t>note 3,4</t>
  </si>
  <si>
    <t>Note 5</t>
  </si>
  <si>
    <t>note 5</t>
  </si>
  <si>
    <t>Note 6</t>
  </si>
  <si>
    <t>note 6</t>
  </si>
  <si>
    <t>Note 7</t>
  </si>
  <si>
    <t>note 7</t>
  </si>
  <si>
    <t>Note 8-11</t>
  </si>
  <si>
    <t>note 8-11</t>
  </si>
  <si>
    <t>Note 9, 10</t>
  </si>
  <si>
    <t>note 9, 10</t>
  </si>
  <si>
    <t>tu wpisz wynagrodzenie za inne usługi, tj. badanie planu połączenia, uzgodnione procedury</t>
  </si>
  <si>
    <t>Fakultatywne badanie rocznego sprawozdania finansowego</t>
  </si>
  <si>
    <t>Freiwillige Jahresabschlussprüfung</t>
  </si>
  <si>
    <t>Voluntary audit of annual financial statements</t>
  </si>
  <si>
    <t>Poniesione nakłady w roku obrotowym</t>
  </si>
  <si>
    <t>Planowane nakłady w kolejnym roku obrotowym</t>
  </si>
  <si>
    <t>im Geschäftsjahr getragene Aufwendungen</t>
  </si>
  <si>
    <t>Outlays made in the financial year</t>
  </si>
  <si>
    <t>für das Folgejahr geplante Aufwendungen</t>
  </si>
  <si>
    <t>Planned outlays for the following financial year</t>
  </si>
  <si>
    <t xml:space="preserve">Car rental costs above the applicable mileage limit </t>
  </si>
  <si>
    <t xml:space="preserve">Koszty dotyczące samochodów wynajmowanych powyżej limitu </t>
  </si>
  <si>
    <t>Adjustment of income tax carried forward</t>
  </si>
  <si>
    <t xml:space="preserve">Zmiana stanu - kapitał podstawowy </t>
  </si>
  <si>
    <t>Zmiana stanu - Zysk / strata z lat ubiegłych</t>
  </si>
  <si>
    <t>Zmiana stanu kapitał zapasowy</t>
  </si>
  <si>
    <t xml:space="preserve">Change in share capital </t>
  </si>
  <si>
    <t>Change in the profit (loss) carried forward</t>
  </si>
  <si>
    <t>Change in capital reserves</t>
  </si>
  <si>
    <t xml:space="preserve">Offset of mutual liabilities and receivables </t>
  </si>
  <si>
    <t xml:space="preserve">Kompensaty wzajemnych rozrachunków </t>
  </si>
  <si>
    <t>korekta podatku dochodowego za lata ubiegłe</t>
  </si>
  <si>
    <t>Korrektur der Körperschaftsteuer für die Vorjahre</t>
  </si>
  <si>
    <t>Änderung des Bestandes - Gezeichnetes Kapital</t>
  </si>
  <si>
    <t>Änderung des Bestandes - Gewinn-/Verlustvortrag</t>
  </si>
  <si>
    <t>Änderung des Bestandes - Kapitalrücklage</t>
  </si>
  <si>
    <t>Aufrechnung gegenseitiger Forderungen/Verbindlichkeiten</t>
  </si>
  <si>
    <t>Änderung der Einstufung der Sachanlagen und deren Erfassung als Waren</t>
  </si>
  <si>
    <t>Aufwendungen für gemietete Fahrzeuge, die die gesetzlichen Limits überschreiten</t>
  </si>
  <si>
    <t>Zobowiązania wobec jednostek powiązanych</t>
  </si>
  <si>
    <t>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t>
  </si>
  <si>
    <t>Der Anfang des Jahres 2020 brachte die Verbreitung des Coronavirus COVID-19 in vielen Ländern mit sich. Diese Situation beeinträchtigt die Weltwirtschaft. Der erhebliche Rückgang des Kurses der polnischen Währung, die Fluktuation der Warenpreise und der Rückgang des Wertes von Aktien können auf die Lage der Gesellschaft im Jahre 2020 Einfluss haben. Die Geschäftsleitung betrachtet dies nicht als ein Ereignis, das Korrekturen des Jahresabschlusses für 2019 nach sich zieht, sondern als ein Ereignis nach dem Bilanzstichtag, das zusätzliche Offenlegungen erfordert. Es ist nicht möglich, zu dem potentiellen Einfluss der gegenwärtigen Situation auf die Gesellschaft präzise Zahlenangaben zu machen. Der etwaige Einfluss wird in den Handelsbüchern und im Jahresabschluss für 2020 berücksichtigt.</t>
  </si>
  <si>
    <t>The beginning of 2020 brought the spread of the COVID-19 virus (coronavirus) in many countries. This has an adverse influence on the global economy. The company's operations in 2020 may be affected by the depreciation of the Polish currency,  fluctuations in the prices of goods and a decrease in the value of the company's shares. The management regards these circumstances not as an event requiring adjustments in the 2019 financial statements, but as a post-balance sheet event subject to additional disclosure. It is currently not possible to present in exact numbers the potential influence of the current situation on the company's operations. Any potential effects will be taken into account in the books of account and the financial statements for the year 2020.</t>
  </si>
  <si>
    <t>Początek 2020 roku przyniósł rozprzestrzenienie się wirusa COVID-19 (koronawirusa) w wielu krajach. Sytuacja ta ma negatywny wpływ na gospodarkę światową. Znaczne osłabienie kursu waluty polskiej, fluktuacja cen towarów, spadek wartości akcji mogą mieć wpływ na sytuację jednostki w roku 2020. Kierownictwo uważa taką sytuację za zdarzenie niepowodujące korekt w sprawozdaniu finansowym za rok 2019, lecz za zdarzenie po dacie bilansu, wymagające dodatkowych ujawnień. Nie jest możliwe przedstawienie precyzyjnych danych liczbowych, dotyczących potencjalnego wpływu obecnej sytuacji na jednostkę. Ewentualny wpływ zostanie uwzględniony w księgach rachunkowych i sprawozdaniu finansowym za rok 2020.</t>
  </si>
  <si>
    <t>Jahresergebnis der Gesellschaft im letzten Jahr</t>
  </si>
  <si>
    <t>Spółka sporządza ZZwK</t>
  </si>
  <si>
    <t>Körperschaftsteuer</t>
  </si>
  <si>
    <t>Corporate income tax</t>
  </si>
  <si>
    <t>Podatek odroczony</t>
  </si>
  <si>
    <t>Latente Steuern</t>
  </si>
  <si>
    <t>Deffered tax</t>
  </si>
  <si>
    <t>Odpisy aktualizujące zapasy</t>
  </si>
  <si>
    <t>w przypadku, gdy wartość zobowiązania jest wyższa</t>
  </si>
  <si>
    <t>Razem różnice przejściowe</t>
  </si>
  <si>
    <t>w przypadku, gdy wartość netto jest wyższa od zobowiązania</t>
  </si>
  <si>
    <t>Zobowiązanie leasingowe - wartość netto środków trwałych w leasingu</t>
  </si>
  <si>
    <t xml:space="preserve">Rezerwa na podatek odroczony </t>
  </si>
  <si>
    <t>Zmiana stanu rezerw na podatek odroczony</t>
  </si>
  <si>
    <t>Korekta podatku dochodowego w RZiS z tytułu podatku odroczonego</t>
  </si>
  <si>
    <t>Wartość netto środków trwałych w leasingu - zobowiązanie leasingowe</t>
  </si>
  <si>
    <t>Zmiana stanu aktywów z tytułu odroczonego podatku dochodowego</t>
  </si>
  <si>
    <t>NIE</t>
  </si>
  <si>
    <t>3. Czy jest uchwała NZW o korzystaniu z uproszczeń w zakresie SzD?</t>
  </si>
  <si>
    <t>Warunek dla konieczności sporządzania sprawozdania z działalności - uchwała dot. uproszczeń</t>
  </si>
  <si>
    <t>KONTROLA</t>
  </si>
  <si>
    <t>nota 10</t>
  </si>
  <si>
    <t>Aktywa z tytułu odroczonego podatku dochodowego - ujemne różnice przejściowe</t>
  </si>
  <si>
    <t>Różnica między wartością bilansową a podatkową środków trwałych</t>
  </si>
  <si>
    <t>Straty podatkowe możliwe do odliczenia</t>
  </si>
  <si>
    <t>Rodzaj aktywa</t>
  </si>
  <si>
    <t>Dłużne instrumenty finansowe</t>
  </si>
  <si>
    <t>Pozostałe aktywa</t>
  </si>
  <si>
    <t>Odsetki zrealizowane</t>
  </si>
  <si>
    <t>Odsetki niezrealizowane, o terminie płatności:</t>
  </si>
  <si>
    <t>Koszty z tytułu odsetek w danym roku obrotowym</t>
  </si>
  <si>
    <t>Przychody z tytułu odsetek w danym roku obrotowym</t>
  </si>
  <si>
    <t xml:space="preserve">Zarząd ponosi odpowiedzialność za ustanowienie i nadzór nad polityką zarządzania ryzykiem finansowym, w tym w szczególności identyfikację i analizę ryzyk, na które Spółka jest narażona. Zasady i procedury zarządzania ryzykiem podlegają regularnej weryfikacji, w celu uwzględnienia zmiany warunków rynkowych i zmian w działalności Spółki. </t>
  </si>
  <si>
    <t>Działalność Spółki narażona jest na następujące rodzaje ryzyka wynikające z posiadania instrumentów finansowych:</t>
  </si>
  <si>
    <t>- ryzyko walutowe</t>
  </si>
  <si>
    <t>- ryzyko stopy procentowej</t>
  </si>
  <si>
    <t>- ryzyko kredytowe</t>
  </si>
  <si>
    <t>- ryzyko płynności</t>
  </si>
  <si>
    <t>- Währungsrisiko</t>
  </si>
  <si>
    <t>- Zinssatzrisiko</t>
  </si>
  <si>
    <t>- Kreditrisiko</t>
  </si>
  <si>
    <t>- currency risk</t>
  </si>
  <si>
    <t>- interest rate risk</t>
  </si>
  <si>
    <t>- credit risk</t>
  </si>
  <si>
    <t>wybierz odpowienie, zbędne ukryj</t>
  </si>
  <si>
    <t>Spółka jest narażona na ryzyko walutowe w związku z:</t>
  </si>
  <si>
    <t xml:space="preserve">- realizowaniem przychodów ze sprzedaży </t>
  </si>
  <si>
    <t xml:space="preserve">- dokonywaniem zakupów operacyjnych </t>
  </si>
  <si>
    <t xml:space="preserve">- dokonywaniem istotnych nakładów inwestycyjnych </t>
  </si>
  <si>
    <t xml:space="preserve">- finansowaniem działalności kredytami </t>
  </si>
  <si>
    <t>w walucie obcej.</t>
  </si>
  <si>
    <t xml:space="preserve">Spółka minimalizuje ryzyko walutowe poprzez: </t>
  </si>
  <si>
    <t>- odpowiednie ukształtowanie struktury aktywów i pasywów wyrażonych w walutach obcych,</t>
  </si>
  <si>
    <t>- zawieranie kontraktów terminowych forward na zakup/sprzedaż waluty.</t>
  </si>
  <si>
    <t>Analiza wrażliwości istotnych pozycji wyrażonych w walutach obcych na zmiany kursów walut</t>
  </si>
  <si>
    <t>Aktywa i zobowiązania finansowe</t>
  </si>
  <si>
    <t>Wartość narażona na ryzyko</t>
  </si>
  <si>
    <t>EUR</t>
  </si>
  <si>
    <t>Wpływ zmiany na wynik finansowy</t>
  </si>
  <si>
    <t>wybierz tylko istotne pozycje w walucie obcej</t>
  </si>
  <si>
    <t>Należności od odbiorców</t>
  </si>
  <si>
    <t>Środki pieniężne</t>
  </si>
  <si>
    <t xml:space="preserve">Pożyczki udzielone  </t>
  </si>
  <si>
    <t>Zobowiązania wobec dostawców</t>
  </si>
  <si>
    <t>Zobowiązania leasingowe</t>
  </si>
  <si>
    <t>Zobowiązania z tytułu pożyczek grupowych</t>
  </si>
  <si>
    <t>Zobowiązania z tytułu kredytów bankowych</t>
  </si>
  <si>
    <t>Kurs bilansowy:</t>
  </si>
  <si>
    <t>ukryj niepotrzebne</t>
  </si>
  <si>
    <t>% zmiana kursu</t>
  </si>
  <si>
    <t>Na ryzyko stóp procentowych Spółka narażona jest w związku z:</t>
  </si>
  <si>
    <t xml:space="preserve">- uczestnictwem w systemie cash pool </t>
  </si>
  <si>
    <t>- udzielonymi pożyczkami</t>
  </si>
  <si>
    <t>- lokowaniem wolnych środków pieniężnych na lokatach o zmiennym oprocentowaniu</t>
  </si>
  <si>
    <t>- korzystaniem z zewnętrznych źródeł finansowania o zmiennym oprocentowaniu.</t>
  </si>
  <si>
    <t xml:space="preserve">Pozycje oprocentowane według zmiennej stopy narażają Spółkę na ryzyko zmiany przepływów pieniężnych w wyniku zmiany stóp procentowych i w związku z tym wpływają na wysokość kosztów lub przychodów odsetkowych ujmowanych w wyniku finansowym. </t>
  </si>
  <si>
    <t>Spółka minimalizuje ryzyko stopy procentowej poprzez odpowiednie ukształtowanie struktury aktywów i pasywów o zmiennej i stałej stopie procentowej.</t>
  </si>
  <si>
    <t>W ocenie Zarządu poziom i wahania stóp procentowych nie powodował konieczności stosowania instrumentów zabezpieczających ryzyka stopy procentowej.</t>
  </si>
  <si>
    <t>- monitorowanie kondycji finansowej kontrahentów</t>
  </si>
  <si>
    <t>- zarządzanie limitami kredytowymi i terminami płatności</t>
  </si>
  <si>
    <t>- ubezpieczanie należności handlowych.</t>
  </si>
  <si>
    <t>- utrzymywanie odpowiedniej struktury portfela wierzytelności</t>
  </si>
  <si>
    <t>Ryzyko płynności</t>
  </si>
  <si>
    <t xml:space="preserve">Zarządzanie płynnością polega na planowaniu oraz monitorowaniu przepływów pieniężnych, w celu zapewniania Spółce możliwości regulowania wymagalnych zobowiązań, zarówno w normalnej jak i kryzysowej sytuacji. </t>
  </si>
  <si>
    <t>Zarząd korzysta z następujących instrumentów zarządzania płynnością:</t>
  </si>
  <si>
    <t>- korzystanie z systemu „cash pool” w ramach Grupy Kapitałowej.</t>
  </si>
  <si>
    <t>- planowanie przepływów finansowych, ustalanie i aktualizacja budżetów wydatków inwestycyjnych</t>
  </si>
  <si>
    <t>- utrzymywanie płynnych środków pieniężnych w wysokości umożliwiającej regulowanie oczekiwanych wydatków operacyjnych</t>
  </si>
  <si>
    <t>- utrzymywanie linii kredytowej w banku</t>
  </si>
  <si>
    <t>jeżeli nie dotyczy, ukryj poniższe punkty</t>
  </si>
  <si>
    <t>najem biura</t>
  </si>
  <si>
    <t>najem hali magazynowej</t>
  </si>
  <si>
    <t>leasing operacyjny sprzętu komputerowego</t>
  </si>
  <si>
    <t>leasing operacyjny samochodów osobowych</t>
  </si>
  <si>
    <t>leasing operacyjny pozostały</t>
  </si>
  <si>
    <t>Łączna kwota przyszłych zobowiązań z tytułu opłat dotyczących umowy</t>
  </si>
  <si>
    <t>Spółka użytkuje majątek trwały na podstawie umów najmu oraz umów leasingu operacyjnego. Łączna kwota przyszłych zobowiązań wynikających z zawartych umów najmu i leasingu, nieujętych w księgach, prezentuje poniższa tabela.</t>
  </si>
  <si>
    <t>Odpis aktualizujący aktywo z tytułu odroczonego podatku dochodowego</t>
  </si>
  <si>
    <t>Aktywa z tytułu odroczonego podatku dochodowego (po uwzględnieniu odpisu aktualizującego)</t>
  </si>
  <si>
    <t>Opisz wprowadzone zmiany</t>
  </si>
  <si>
    <t>Wpływ wyżej opisanych zdarzeń na sprawozdanie finansowe za rok ubiegły prezentuje poniższa tabela:</t>
  </si>
  <si>
    <t>ukryj wiersze, gdy nie było zmian lub zmiany prezentowane są jako 3 kolumna</t>
  </si>
  <si>
    <t>Skorygowane dane finansowe za poprzedni rok obrotowy zostały zaprezentowane jako trzecia kolumna do bilansu i rachunku zysków i strat.</t>
  </si>
  <si>
    <t>w tym:</t>
  </si>
  <si>
    <t>Zmiana</t>
  </si>
  <si>
    <t>ukryj wiersze, gdy nzmiany prezentowane są jako 3 kolumna</t>
  </si>
  <si>
    <t>ukryj wiersze, gdy zmiany opisane w poniższej tabeli</t>
  </si>
  <si>
    <t>Przychody ze sprzedaży</t>
  </si>
  <si>
    <t>Spółka nie wytworzyła produktów na własne potrzeby, zarówno w bieżącym roku obrotowym jak i w roku poprzednim.</t>
  </si>
  <si>
    <t>Spółka sporządza rachunek zysków i strat w wariancie porównawczym.</t>
  </si>
  <si>
    <t>Die Gewinn- und Verlustrechnung wird nach dem Gesamtkostenverfahren erstellt.</t>
  </si>
  <si>
    <t>Die Gesellschaft verfügt zum Bilanzstichtag über kein Guthaben auf dem Umsatzsteuerkonto.</t>
  </si>
  <si>
    <t>Czas trwania działalności jednostki</t>
  </si>
  <si>
    <t>Dauer der Unternehmenstätigkeit der Gesellschaft</t>
  </si>
  <si>
    <t>Duration of the Company's business activity</t>
  </si>
  <si>
    <t>Dane o odpisach aktualizujących długoterminowe aktywa finansowe i niefinansowe</t>
  </si>
  <si>
    <t xml:space="preserve">Angaben zu Wertberichtigungen auf langfristige finanzielle und nicht finanzielle Vermögenswerte </t>
  </si>
  <si>
    <t xml:space="preserve">Write-downs of long-term financial and non-financial assets  </t>
  </si>
  <si>
    <t>Odpis aktualizujący długoterminowe aktywa finansowe</t>
  </si>
  <si>
    <t>Odpis aktualizujący długoterminowe aktywa niefinansowe</t>
  </si>
  <si>
    <t xml:space="preserve">Wertberichtigungen auf langfristige finanzielle Vermögenswerte </t>
  </si>
  <si>
    <t xml:space="preserve">Wertberichtigungen auf langfristige nicht finanzielle Vermögenswerte </t>
  </si>
  <si>
    <t>Dodatkowy opis w przypadku uzupełniania noty - przyczyny dokonania odpisów aktualizujących</t>
  </si>
  <si>
    <t>ukryj zbedne wiersze z noty</t>
  </si>
  <si>
    <t>miejsce na ewentualny komentarz</t>
  </si>
  <si>
    <t>Wynik finansowy jednostki ustalany jest zgodnie z przepisami rozdziału 4 UoR oraz wprowadzoną przez kierownika jednostki polityką rachunkowości.</t>
  </si>
  <si>
    <t>The Company's net profit (loss) is determined according to Article 4 of the Accounting Act and the accounting policy adopted by the Company's management.</t>
  </si>
  <si>
    <t>Sprawozdanie finansowe spółki sporządzone zostało zgodnie z przepisami UoR oraz wprowadzoną przez kierownika jednostki polityką rachunkowości.</t>
  </si>
  <si>
    <t>The Company's financial statements have been prepared in complianace with the provisions of the Accounting Act and the accounting policy adopted by the Company's management.</t>
  </si>
  <si>
    <t>Sprawozdanie finansowe sporządzone zostało przez Roedl Outsourcing sp. z o. o. zgodnie z najlepszą wiedzą oraz zgodnie z przepisami UoR.</t>
  </si>
  <si>
    <t>Kwota przychodów wykazana w RZIS</t>
  </si>
  <si>
    <t>Kwota odsetek wykazana w RZIS</t>
  </si>
  <si>
    <t>koszty</t>
  </si>
  <si>
    <t>przychody</t>
  </si>
  <si>
    <t>check</t>
  </si>
  <si>
    <t>Wpływ pandemi COVID-19 na sytuację finansową Spółki</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</si>
  <si>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</si>
  <si>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 oraz w sporządzonym przez Zarząd sprawozdaniu z działalności.</t>
  </si>
  <si>
    <t>11.1</t>
  </si>
  <si>
    <t>11.2.</t>
  </si>
  <si>
    <t>Zarząd zidentyfikował następujące negatywne konsekwencje pandemii na działalność jednostki:</t>
  </si>
  <si>
    <t>spadek przychodów ze sprzedaży na poziomie:</t>
  </si>
  <si>
    <t>jeżeli nie dotyczy, ukryj noty poniżej</t>
  </si>
  <si>
    <t>Wpływ na wynik i prezentacja w sprawozdaniu finansowym</t>
  </si>
  <si>
    <t>Subwencja z Polskiego Funduszu Rozwoju</t>
  </si>
  <si>
    <t>Rodzaj wsparcia</t>
  </si>
  <si>
    <t>Dofinansowanie z FGŚP</t>
  </si>
  <si>
    <t>Zwolnienie z obowiązku opłacania składek ZUS</t>
  </si>
  <si>
    <t>Zawieszenie wpłat na ZFŚS</t>
  </si>
  <si>
    <t>Spółka kwalifikuje umowy leasingowe oraz inne umowy o podobnym charakterze zgodnie z art. 3 ust. 4-5 UoR i nie korzysta z uproszczeń.</t>
  </si>
  <si>
    <t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</si>
  <si>
    <t xml:space="preserve">Spółka ustala koszt wytworzenia produktów poprzez doliczenie do kosztów bezpośrednich uzasadnionych kosztów pośrednich związanych z wytworzeniem tego produktu, niezależnie od poziomu wykorzystania zdolności produkcyjnych. </t>
  </si>
  <si>
    <t>Nie wystąpiły takie umowy, zarówno w bieżącym roku obrotowym, jak i w roku poprzednim.</t>
  </si>
  <si>
    <t>Warunki transakcji zawieranych przez Spółkę ze stronami powiązanymi w roku obrotowym, jak i w roku poprzednim, nie odbiegały od warunków rynkowych.</t>
  </si>
  <si>
    <t>Spółka nie wypłacała wynagrodzeń członkom organów zarządzających i nadzorujących, zarówno w bieżącym roku obrotowym jak i w roku poprzednim.</t>
  </si>
  <si>
    <t>Spółka nie wypłacała w/w świadczeń członkom organów zarządzających i nadzorujących, zarówno w bieżącym roku obrotowym jak i w roku poprzednim.</t>
  </si>
  <si>
    <t>Kontynuacja działalności</t>
  </si>
  <si>
    <t>Zarząd Spółki nie stwierdza na dzień podpisania sprawozdania finansowego istnienia faktów i okoliczności, które wskazywałyby na zagrożenia dla możliwości kontynuacji działalności przez Spółkę w okresie co najmniej 12 miesięcy po dniu bilansowym na skutek zamierzonego lub przymusowego zaniechania bądź istotnego ograniczenia przez nią dotychczasowej działalności.</t>
  </si>
  <si>
    <t xml:space="preserve">Spółka otrzymała również od jednostki dominującej zapewnienie o wsparciu finansowym Spółki przez okres co najmniej 12 miesięcy po dniu bilansowym. Zarząd Spółki uważa, że nie istnieją żadne przesłanki, które mogłyby wskazywać, iż podmiot dominujący nie będzie w stanie wywiązać się z tego zobowiązania. </t>
  </si>
  <si>
    <t>wypełniamy - w przypadku oddziału zagranicznego przedsiębiorcy</t>
  </si>
  <si>
    <t>Wybierz prawidłowe kody pkd - wystarczy podać 1 numer PKD - podstawowa działalność</t>
  </si>
  <si>
    <t>opcjonalnie</t>
  </si>
  <si>
    <t>Kraj:</t>
  </si>
  <si>
    <t>Nr lokalu:</t>
  </si>
  <si>
    <t>Nr domu:</t>
  </si>
  <si>
    <t>Hausnr.:</t>
  </si>
  <si>
    <t>Raumnr.:</t>
  </si>
  <si>
    <t>House no.:</t>
  </si>
  <si>
    <t>Flat no.:</t>
  </si>
  <si>
    <t>Czy wypełniasz 3 kolumnę - "Przekształcone dane porównawcze"?</t>
  </si>
  <si>
    <t>albo "data do" albo "opis":</t>
  </si>
  <si>
    <t>Zatwierdzone dane za</t>
  </si>
  <si>
    <t>rok poprzedni</t>
  </si>
  <si>
    <t>Przekształcone dane za</t>
  </si>
  <si>
    <t>Ubezpieczenia społeczne i inne świadczenia, w tym:</t>
  </si>
  <si>
    <t>Country:</t>
  </si>
  <si>
    <t>By virtue of the simplification scheme stipulated in Article 3(6) of the Accounting Act, the Company does not recognise the tangible and intangible assets used on the basis of rental, leasehold, lease and other similar agreements as non-current assets. Such agreements are qualified in compliance with tax laws, namely the (Polish) Corporate Income Tax Act.</t>
  </si>
  <si>
    <t>The Company classifies leases and other similar agreements in accordance with Article 3(4)-(5) of the Accounting Act and does not apply simplified procedures.</t>
  </si>
  <si>
    <t xml:space="preserve">The Company determines the production cost of goods by adding reasonable indirect costs of manufacturing the goods to the direct costs, irrespective of the level of utilisation of the production capacity. </t>
  </si>
  <si>
    <t>The financial statements were prepared by Roedl Outsourcing sp. z o.o. in accordance with our best knowledge and in compliance with the Accounting Act.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</si>
  <si>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the entity’s operations and has taken steps to limit it. The impact of the current situation on the entity’s financial statements is described in note 11 to the financial statements and in the Management Report.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</si>
  <si>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entity’s operations and has taken steps to limit it. The impact of the current situation on the entity’s financial statements is described in note 11 to the financial statements.</t>
  </si>
  <si>
    <t>The Management Board has identified the following negative impact of the pandemic on the entity's business operations:</t>
  </si>
  <si>
    <t>Company's ability to continue as a going concern</t>
  </si>
  <si>
    <t>As of the day on which the financial statements are signed, the Company's Management Board has identified no facts or circumstances that would indicate any threats to the Company's ability to continue as a going concern for at least 12 months after the balance sheet date due to planned or forced discontinuation or significant limitation of its existing operations.</t>
  </si>
  <si>
    <t xml:space="preserve">The parent company has assured the Company that it will provide financial support for at least 12 months after the balance sheet date. In the opinion of the Management Board of the Company, there are no circumstances that would prevent the parent from fulfilling that obligation.  </t>
  </si>
  <si>
    <t>The Company manufactured no finished goods for its own purposes either in the reporting year or in the previous year.</t>
  </si>
  <si>
    <t>The Company follows simplified procedures and does not calculate deferred tax. There was no such item either in the reporting year or in the previous year.</t>
  </si>
  <si>
    <t xml:space="preserve">Lease liabilities - net value of leased tangible assets </t>
  </si>
  <si>
    <t>Difference between the value of tangible assets for accounting and for tax purposes</t>
  </si>
  <si>
    <t>Deductible tax losses</t>
  </si>
  <si>
    <t>Total temporary differences</t>
  </si>
  <si>
    <t>Value adjustment write-down of deferred tax asset</t>
  </si>
  <si>
    <t>Deferred tax assets (after value adjustment write-down)</t>
  </si>
  <si>
    <t>Net value of leased tangible assets - lease liabilities</t>
  </si>
  <si>
    <t>Increase (decrease) in deferred tax assets</t>
  </si>
  <si>
    <t>Adjustment of income tax in the income statement due to deferred tax</t>
  </si>
  <si>
    <t>There were no such agreements, either in the current financial year or in the previous year.</t>
  </si>
  <si>
    <t>Terms of the transactions made by the Company with related parties in the financial year and in the previous year did not differ from the market terms.</t>
  </si>
  <si>
    <t>The Company paid no remuneration to members of management and supervisory bodies either in the current financial year or in the previous year.</t>
  </si>
  <si>
    <t>The Company paid no such benefits to members of management and supervisory bodies either in the current financial year or in the previous year.</t>
  </si>
  <si>
    <t>The impact of the abovementioned events on the financial statements for the previous year is presented in the table below:</t>
  </si>
  <si>
    <t>Adjusted financial data for the previous financial year are presented as the third column in the balance sheet and the income statement.</t>
  </si>
  <si>
    <t>of which:</t>
  </si>
  <si>
    <t>Change</t>
  </si>
  <si>
    <t>Revenues from sale</t>
  </si>
  <si>
    <t>The Company uses non-current assets under rental agreements and operating lease. The table below shows the total of future liabilities under lease and rental agreements, not disclosed in the books of account.</t>
  </si>
  <si>
    <t>The total of future liabilities on account of contractual fees</t>
  </si>
  <si>
    <t>lease of office space</t>
  </si>
  <si>
    <t>lease of warehouse hall</t>
  </si>
  <si>
    <t>operating lease of software</t>
  </si>
  <si>
    <t>operating lease of passenger cars</t>
  </si>
  <si>
    <t>operating lease - other</t>
  </si>
  <si>
    <t>Type of asset</t>
  </si>
  <si>
    <t>Debt financial instruments</t>
  </si>
  <si>
    <t>Other assets</t>
  </si>
  <si>
    <t>Interest, realised</t>
  </si>
  <si>
    <t>Unrealised interest, falling due:</t>
  </si>
  <si>
    <t>Interest income in the financial year</t>
  </si>
  <si>
    <t>The Management Board is responsible for designing and supervising the financial risk management policy, including in particular, for identification and examination of risks to which the Company is exposed. The risk management procedures and policy are regularly reviewed to account for changes in the market conditions and in the Company's business activity.</t>
  </si>
  <si>
    <t>The Company's business activity is exposed to the following risks connected with the financial instruments it holds:</t>
  </si>
  <si>
    <t>- liquidity risk</t>
  </si>
  <si>
    <t>Cost of interest in the financial year</t>
  </si>
  <si>
    <t>The Company is exposed to currency risk in connection with:</t>
  </si>
  <si>
    <t>- earning revenues from sales</t>
  </si>
  <si>
    <t>- operational purchases</t>
  </si>
  <si>
    <t>- significant capital expenditures</t>
  </si>
  <si>
    <t>- financing its operations with loans</t>
  </si>
  <si>
    <t>in foreign currencies.</t>
  </si>
  <si>
    <t>- properly structuring the assets and equity and liabilities denominated in foreign currencies,</t>
  </si>
  <si>
    <t>- concluding forward contracts for currency sale/purchase.</t>
  </si>
  <si>
    <t>Vulnerability of material items denominated in foreign currencies to changes in currency exchange rates</t>
  </si>
  <si>
    <t>Exchange rate as of the balance sheet date:</t>
  </si>
  <si>
    <t>Assets and financial liabilities</t>
  </si>
  <si>
    <t>Amount at risk</t>
  </si>
  <si>
    <t>Balance sheet amount as of 31.12.2020</t>
  </si>
  <si>
    <t>Impact of the change on the profit(loss)</t>
  </si>
  <si>
    <t>Receivables from customers</t>
  </si>
  <si>
    <t>Cash</t>
  </si>
  <si>
    <t>Liabilities against suppliers</t>
  </si>
  <si>
    <t>Lease liabilities</t>
  </si>
  <si>
    <t>Liabilities on account of group loans</t>
  </si>
  <si>
    <t>Bank loan liabilities</t>
  </si>
  <si>
    <t>The Company is exposed to interest rate risk in connection with:</t>
  </si>
  <si>
    <t>- loans granted</t>
  </si>
  <si>
    <t>- depositing cash surpluses on variable-rate deposits</t>
  </si>
  <si>
    <t>- participation in a cash pooling system</t>
  </si>
  <si>
    <t>- using external sources of financing with variable interest rates.</t>
  </si>
  <si>
    <t>Items subject to variable interest rate put the Company at risk of changes in cash flow as a result of changes in interest rates and therefore affect interest income and expenses disclosed in the profit(loss).</t>
  </si>
  <si>
    <t>The Company minimises the currency risk by appropriately structuring assets and liabilities with variable and fixed interest rates.</t>
  </si>
  <si>
    <t>In the opinion of the Management Board the interest rates and their fluctuations did not trigger the need to use instruments hedging interest rate risks.</t>
  </si>
  <si>
    <t>- maintaining an appropriate portfolio of receivables</t>
  </si>
  <si>
    <t>- monitoring of the financial standing of contractors</t>
  </si>
  <si>
    <t>- managing credit limits and payment deadlines</t>
  </si>
  <si>
    <t>- insuring trade receivables.</t>
  </si>
  <si>
    <t>Liquidity risk</t>
  </si>
  <si>
    <t xml:space="preserve">Liquidity management consists in planning and monitoring of cash flows to ensure that the Company can pay the due liabilities, both in day-to-day and in emergency situations. </t>
  </si>
  <si>
    <t>The Management Board uses the following liquidity management instruments:</t>
  </si>
  <si>
    <t>- maintaining liquid cash in the amount which allows the Company to incur expected operating expenses</t>
  </si>
  <si>
    <t>- maintaining a credit facility at bank</t>
  </si>
  <si>
    <t>- planning cash flows, setting and updating capex budgets</t>
  </si>
  <si>
    <t>- using cash pooling system within the group.</t>
  </si>
  <si>
    <t>decrease in revenues from sales:</t>
  </si>
  <si>
    <t>Type of aid</t>
  </si>
  <si>
    <t>Impact on the profit(loss) and disclosure in the financial statements</t>
  </si>
  <si>
    <t>Subsidy from the Polish Development Fund</t>
  </si>
  <si>
    <t>Subsidies from the Guaranteed Employee Benefits Fund</t>
  </si>
  <si>
    <t>Exemption from the obligation to pay social and health insurance (ZUS) contributions</t>
  </si>
  <si>
    <t>Suspension of payments to the Guaranteed Employee Benefits Fund</t>
  </si>
  <si>
    <t>Loans and borrowings</t>
  </si>
  <si>
    <t>Repayment of loans and borrowings</t>
  </si>
  <si>
    <r>
      <rPr>
        <sz val="10"/>
        <color rgb="FFFF0000"/>
        <rFont val="Arial"/>
        <family val="2"/>
        <charset val="238"/>
      </rPr>
      <t xml:space="preserve">note </t>
    </r>
    <r>
      <rPr>
        <sz val="10"/>
        <rFont val="Arial"/>
        <family val="2"/>
        <charset val="238"/>
      </rPr>
      <t>1.1.a – schedule of intangible assets</t>
    </r>
  </si>
  <si>
    <r>
      <rPr>
        <sz val="10"/>
        <color rgb="FFFF0000"/>
        <rFont val="Arial"/>
        <family val="2"/>
        <charset val="238"/>
      </rPr>
      <t>note</t>
    </r>
    <r>
      <rPr>
        <sz val="10"/>
        <rFont val="Arial"/>
        <family val="2"/>
      </rPr>
      <t xml:space="preserve"> 1.1.b – schedule of property, plant and equipment</t>
    </r>
  </si>
  <si>
    <t>note 1.1.c – schedule of non-current investments</t>
  </si>
  <si>
    <r>
      <rPr>
        <sz val="10"/>
        <color rgb="FFFF0000"/>
        <rFont val="Arial"/>
        <family val="2"/>
        <charset val="238"/>
      </rPr>
      <t>note</t>
    </r>
    <r>
      <rPr>
        <sz val="10"/>
        <rFont val="Arial"/>
        <family val="2"/>
      </rPr>
      <t xml:space="preserve"> 1.3– 1.10 – land under usufruct right, tangible assets under lease,securities, Value adjustment write-downs,  share capital ownership structure, statement of changes in equity, proposals with respect to distribution of profit or cover of loss</t>
    </r>
  </si>
  <si>
    <r>
      <rPr>
        <sz val="10"/>
        <color rgb="FFFF0000"/>
        <rFont val="Arial"/>
        <family val="2"/>
        <charset val="238"/>
      </rPr>
      <t>note</t>
    </r>
    <r>
      <rPr>
        <sz val="10"/>
        <rFont val="Arial"/>
        <family val="2"/>
      </rPr>
      <t xml:space="preserve"> 1.11 – schedule of provisions for liabilities</t>
    </r>
  </si>
  <si>
    <r>
      <rPr>
        <sz val="10"/>
        <color rgb="FFFF0000"/>
        <rFont val="Arial"/>
        <family val="2"/>
        <charset val="238"/>
      </rPr>
      <t xml:space="preserve">note </t>
    </r>
    <r>
      <rPr>
        <sz val="10"/>
        <rFont val="Arial"/>
        <family val="2"/>
      </rPr>
      <t>1.12 – Non-current liabilities</t>
    </r>
  </si>
  <si>
    <r>
      <rPr>
        <sz val="10"/>
        <color rgb="FFFF0000"/>
        <rFont val="Arial"/>
        <family val="2"/>
        <charset val="238"/>
      </rPr>
      <t>note</t>
    </r>
    <r>
      <rPr>
        <sz val="10"/>
        <rFont val="Arial"/>
        <family val="2"/>
      </rPr>
      <t xml:space="preserve"> 1.13 – Specification of groups of liabilities secured against the company assets (incl. indication of their nature)</t>
    </r>
  </si>
  <si>
    <r>
      <rPr>
        <sz val="10"/>
        <color rgb="FFFF0000"/>
        <rFont val="Arial"/>
        <family val="2"/>
        <charset val="238"/>
      </rPr>
      <t>note</t>
    </r>
    <r>
      <rPr>
        <sz val="10"/>
        <rFont val="Arial"/>
        <family val="2"/>
      </rPr>
      <t xml:space="preserve"> 1.14 – schedule of prepayments and accruals</t>
    </r>
  </si>
  <si>
    <r>
      <rPr>
        <sz val="10"/>
        <color rgb="FFFF0000"/>
        <rFont val="Arial"/>
        <family val="2"/>
        <charset val="238"/>
      </rPr>
      <t>note</t>
    </r>
    <r>
      <rPr>
        <sz val="10"/>
        <rFont val="Arial"/>
        <family val="2"/>
      </rPr>
      <t xml:space="preserve"> 1.16. - contingent liabilities</t>
    </r>
  </si>
  <si>
    <r>
      <rPr>
        <sz val="10"/>
        <color rgb="FFFF0000"/>
        <rFont val="Arial"/>
        <family val="2"/>
        <charset val="238"/>
      </rPr>
      <t>note</t>
    </r>
    <r>
      <rPr>
        <sz val="10"/>
        <rFont val="Arial"/>
        <family val="2"/>
      </rPr>
      <t xml:space="preserve"> 1.17. - Assets other than financial instruments, measured at fair value</t>
    </r>
  </si>
  <si>
    <r>
      <rPr>
        <sz val="10"/>
        <color rgb="FFFF0000"/>
        <rFont val="Arial"/>
        <family val="2"/>
        <charset val="238"/>
      </rPr>
      <t>note</t>
    </r>
    <r>
      <rPr>
        <sz val="10"/>
        <rFont val="Arial"/>
        <family val="2"/>
      </rPr>
      <t xml:space="preserve"> 1.18 - Cash in the VAT account referred to in Article 62a(1) of the Banking Act of 29.08.1997</t>
    </r>
  </si>
  <si>
    <r>
      <rPr>
        <sz val="10"/>
        <color rgb="FFFF0000"/>
        <rFont val="Arial"/>
        <family val="2"/>
        <charset val="238"/>
      </rPr>
      <t>note</t>
    </r>
    <r>
      <rPr>
        <sz val="10"/>
        <rFont val="Arial"/>
        <family val="2"/>
      </rPr>
      <t xml:space="preserve"> 2 – information on revenues, expenses, value adjustment write-downs of tangible assets and inventories, profits and losses on the entity's activities, calculation of taxable base, cost of manufacture of assets under construction, work performed by the entity and capitalised, interest and foreign exchange gains (losses) which increase the acquisition cost of merchandise or the manufacture cost of goods, budgeted outlays for non-financial non-current assets, extraordinary gains and losses</t>
    </r>
  </si>
  <si>
    <r>
      <rPr>
        <sz val="10"/>
        <color rgb="FFFF0000"/>
        <rFont val="Arial"/>
        <family val="2"/>
        <charset val="238"/>
      </rPr>
      <t>note</t>
    </r>
    <r>
      <rPr>
        <sz val="10"/>
        <rFont val="Arial"/>
        <family val="2"/>
      </rPr>
      <t xml:space="preserve"> 3 - Foreign exchange rates assumed for valuation of balance sheet items and income statement items denominated in foreign currencies</t>
    </r>
  </si>
  <si>
    <r>
      <rPr>
        <sz val="10"/>
        <color rgb="FFFF0000"/>
        <rFont val="Arial"/>
        <family val="2"/>
        <charset val="238"/>
      </rPr>
      <t>note</t>
    </r>
    <r>
      <rPr>
        <sz val="10"/>
        <rFont val="Arial"/>
        <family val="2"/>
      </rPr>
      <t xml:space="preserve"> 4 – structure of cash and cash equivalents included in cash flow statement</t>
    </r>
  </si>
  <si>
    <r>
      <rPr>
        <sz val="10"/>
        <color rgb="FFFF0000"/>
        <rFont val="Arial"/>
        <family val="2"/>
        <charset val="238"/>
      </rPr>
      <t>note</t>
    </r>
    <r>
      <rPr>
        <sz val="10"/>
        <rFont val="Arial"/>
        <family val="2"/>
      </rPr>
      <t xml:space="preserve"> 5 – information on employment and remuneration for members of the Management Board,Supervisory Board and auditor</t>
    </r>
  </si>
  <si>
    <r>
      <rPr>
        <sz val="10"/>
        <color rgb="FFFF0000"/>
        <rFont val="Arial"/>
        <family val="2"/>
        <charset val="238"/>
      </rPr>
      <t>note</t>
    </r>
    <r>
      <rPr>
        <sz val="10"/>
        <rFont val="Arial"/>
        <family val="2"/>
      </rPr>
      <t xml:space="preserve"> 6 – information on significant prior year or post-balance sheet events not included in the financial statements, as well as changes in the accounting (policy) rules</t>
    </r>
  </si>
  <si>
    <r>
      <rPr>
        <sz val="10"/>
        <color rgb="FFFF0000"/>
        <rFont val="Arial"/>
        <family val="2"/>
        <charset val="238"/>
      </rPr>
      <t xml:space="preserve">note </t>
    </r>
    <r>
      <rPr>
        <sz val="10"/>
        <rFont val="Arial"/>
        <family val="2"/>
      </rPr>
      <t>7 – information on joint ventures which are not subject to consolidation, transactions with related parties, specification of related parties, reasons for resignation from consolidation</t>
    </r>
  </si>
  <si>
    <r>
      <rPr>
        <sz val="10"/>
        <color rgb="FFFF0000"/>
        <rFont val="Arial"/>
        <family val="2"/>
        <charset val="238"/>
      </rPr>
      <t>note</t>
    </r>
    <r>
      <rPr>
        <sz val="10"/>
        <rFont val="Arial"/>
        <family val="2"/>
      </rPr>
      <t xml:space="preserve"> 8 – information on merger of companies (acquisition method or pooling of interests method)</t>
    </r>
  </si>
  <si>
    <r>
      <rPr>
        <sz val="10"/>
        <color rgb="FFFF0000"/>
        <rFont val="Arial"/>
        <family val="2"/>
        <charset val="238"/>
      </rPr>
      <t>note</t>
    </r>
    <r>
      <rPr>
        <sz val="10"/>
        <rFont val="Arial"/>
        <family val="2"/>
      </rPr>
      <t xml:space="preserve"> 9 – information on any threats to the Company's ability to continue as a going concern </t>
    </r>
  </si>
  <si>
    <r>
      <rPr>
        <sz val="10"/>
        <color rgb="FFFF0000"/>
        <rFont val="Arial"/>
        <family val="2"/>
        <charset val="238"/>
      </rPr>
      <t>note</t>
    </r>
    <r>
      <rPr>
        <sz val="10"/>
        <rFont val="Arial"/>
        <family val="2"/>
      </rPr>
      <t xml:space="preserve"> 10 – other material information</t>
    </r>
  </si>
  <si>
    <r>
      <rPr>
        <sz val="10"/>
        <color rgb="FFFF0000"/>
        <rFont val="Arial"/>
        <family val="2"/>
        <charset val="238"/>
      </rPr>
      <t>note</t>
    </r>
    <r>
      <rPr>
        <sz val="10"/>
        <rFont val="Arial"/>
        <family val="2"/>
      </rPr>
      <t xml:space="preserve"> to CF – additional information concerning the cash flow statement</t>
    </r>
  </si>
  <si>
    <t>Spółka korzysta z uproszczeń i nie kalkuluje podatku odroczonego. Pozycja nie wystąpiła zarówno w bieżącym roku obrotowym jak i w roku poprzednim.</t>
  </si>
  <si>
    <t>ukryj, gdy brak komentarza</t>
  </si>
  <si>
    <t xml:space="preserve">Sprawozdanie finansowe zostało sporządzone za okres, w ciągu którego nastąpiło połączenie Spółek. Połączenie Spółek zostało rozliczone metodą łączenia udziałów. </t>
  </si>
  <si>
    <t xml:space="preserve">Der Jahresabschluss wurde für den Zeitraum erstellt, während dessen es zu einer Verschmelzung kam. Die Verschmelzung erfolgte durch Interessenzusammenführung. </t>
  </si>
  <si>
    <t xml:space="preserve">The financial statements were prepared for the period in which the Companies merged. The merger of the Companies was accounted for using the pooling of interests method. </t>
  </si>
  <si>
    <t xml:space="preserve">Sprawozdanie finansowe zostało sporządzone za okres, w ciągu którego nastąpiło połączenie Spółek. Połączenie Spółek zostało rozliczone metodą nabycia. </t>
  </si>
  <si>
    <t>Der Jahresabschluss wurde für den Zeitraum erstellt, während dessen es zu einer Verschmelzung kam. Die Verschmelzung erfolgte nach der Erwerbsmethode.</t>
  </si>
  <si>
    <t xml:space="preserve">The financial statements were prepared for the period in which the Companies merged. The merger of the Companies was accounted for using the acquisition method. </t>
  </si>
  <si>
    <t>Der Jahresabschluss wurde erstellt unter der Annahme, dass die Gesellschaft ihre Unternehmenstätigkeit nicht fortführen wird.</t>
  </si>
  <si>
    <t xml:space="preserve">Sprawozdanie finansowe zostało sporządzone przy braku założenia kontynuowania działalności gospodarczej przez Spółkę.  </t>
  </si>
  <si>
    <t>The financial statements were prepared assuming that the Company will not continue as a going concern.</t>
  </si>
  <si>
    <t>1.11</t>
  </si>
  <si>
    <t>zmiany przyjętych zasad rachunkowości</t>
  </si>
  <si>
    <t>Änderung der angenommenen Rechnungslegungsgrundsätze</t>
  </si>
  <si>
    <t>changes to the adopted accounting rules</t>
  </si>
  <si>
    <t>Zmiana kwalifikacji środków trwałych na towary</t>
  </si>
  <si>
    <t>Reclassification of tangible assets into merchandise</t>
  </si>
  <si>
    <t>Informacja uszczegóławiająca, wynikająca z potrzeb lub specyfiki jednostki</t>
  </si>
  <si>
    <t>Land:</t>
  </si>
  <si>
    <r>
      <t xml:space="preserve">Der Jahresabschluss der Gesellschaft wurde gemäß dem RLG-PL und der vom Geschäftsleiter </t>
    </r>
    <r>
      <rPr>
        <sz val="10"/>
        <rFont val="Arial"/>
        <family val="2"/>
        <charset val="238"/>
      </rPr>
      <t>eingeführten</t>
    </r>
    <r>
      <rPr>
        <sz val="10"/>
        <rFont val="Arial"/>
        <family val="2"/>
      </rPr>
      <t xml:space="preserve"> Rechnungslegungspolitik erstellt.</t>
    </r>
  </si>
  <si>
    <r>
      <t xml:space="preserve">Gemäß der Vereinfachung nach Art. 3 Abs. 6 RLG-PL weist die Gesellschaft Sachanlagen und immaterielle Vermögensgegenstände und Rechte, die auf der Grundlage von Miet-, Pacht-, Leasing- und ähnlichen Verträgen genutzt werden, nicht unter den langfristigen Vermögenswerten aus. Sie qualifiziert diese </t>
    </r>
    <r>
      <rPr>
        <sz val="10"/>
        <rFont val="Arial"/>
        <family val="2"/>
        <charset val="238"/>
      </rPr>
      <t>Verträge</t>
    </r>
    <r>
      <rPr>
        <sz val="10"/>
        <rFont val="Arial"/>
        <family val="2"/>
      </rPr>
      <t xml:space="preserve"> in Übereinstimmung mit den Steuergesetzen, d.h. gemäß dem Körperschaftsteuergesetz.</t>
    </r>
  </si>
  <si>
    <t>Die Gesellschaft stuft die Leasingverträge und andere ähnliche Verträge gemäß Art. 3 Abs. 4-5 RLG-PL ein und nimmt keine Vereinfachungen in Anspruch.</t>
  </si>
  <si>
    <t xml:space="preserve">Die Gesellschaft ermittelt die Herstellungskosten der Erzeugnisse durch Hinzurechnung der mit der Herstellung dieses Erzeugnisses verbundenen Gemeinkosten zu den begründeten Produktionseinzelkosten, unabhängig von der Auslastung der Produktionskapazitäten. </t>
  </si>
  <si>
    <r>
      <t>Das Jahresergebnis der Gesellschaft wurde gemäß Kapit</t>
    </r>
    <r>
      <rPr>
        <sz val="10"/>
        <color theme="1"/>
        <rFont val="Arial"/>
        <family val="2"/>
        <charset val="238"/>
      </rPr>
      <t>el 4 RLG-PL</t>
    </r>
    <r>
      <rPr>
        <sz val="10"/>
        <rFont val="Arial"/>
        <family val="2"/>
      </rPr>
      <t xml:space="preserve"> und der vom Geschäftsleiter </t>
    </r>
    <r>
      <rPr>
        <sz val="10"/>
        <rFont val="Arial"/>
        <family val="2"/>
        <charset val="238"/>
      </rPr>
      <t>eingeführten</t>
    </r>
    <r>
      <rPr>
        <sz val="10"/>
        <rFont val="Arial"/>
        <family val="2"/>
      </rPr>
      <t xml:space="preserve"> Rechnungslegungspolitik ermittelt.</t>
    </r>
  </si>
  <si>
    <r>
      <t xml:space="preserve">Der Jahresabschluss wurde von </t>
    </r>
    <r>
      <rPr>
        <sz val="10"/>
        <rFont val="Arial"/>
        <family val="2"/>
        <charset val="238"/>
      </rPr>
      <t>der</t>
    </r>
    <r>
      <rPr>
        <sz val="10"/>
        <rFont val="Arial"/>
        <family val="2"/>
      </rPr>
      <t xml:space="preserve"> Roedl Outsourcing sp. z o. o. nach bestem Wissen und Gewissen sowie gemäß den Vorschriften des oben genannten RLG-PL erstellt.</t>
    </r>
  </si>
  <si>
    <t xml:space="preserve">Ende 2019 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</si>
  <si>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Die Geschäftsführung hat folgende negative Konsequenzen der Pandemie für die Tätigkeit der Gesellschaft identifiziert:</t>
  </si>
  <si>
    <t>Unternehmensfortführung</t>
  </si>
  <si>
    <t>Die Geschäftsführung der Gesellschaft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</si>
  <si>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Der Gesellschaft wurde von der Muttergesellschaft auch finanzielle Unterstützung für einen Zeitraum von mindestens 12 Monaten nach dem Bilanzstichtag zugesichert. Die Geschäftsführung der Gesellschaft ist der Auffassung, dass keine Voraussetzungen gegeben sind, die darauf hinweisen könnten, dass die Muttergesellschaft nicht imstande sein wird, diese Verpflichtung zu erfüllen.</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</si>
  <si>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weder im laufenden noch im vorausgehenden Geschäftsjahr ausgewiesen.</t>
    </r>
  </si>
  <si>
    <t>Die Gesellschaft hat weder im laufenden noch im vorausgehenden Geschäftsjahr Eigenleistungen erbracht.</t>
  </si>
  <si>
    <t>Wertberichtigung auf Vorräte</t>
  </si>
  <si>
    <r>
      <t>Leasingverbindli</t>
    </r>
    <r>
      <rPr>
        <sz val="10"/>
        <color theme="1"/>
        <rFont val="Arial"/>
        <family val="2"/>
        <charset val="238"/>
      </rPr>
      <t xml:space="preserve">chkeit </t>
    </r>
    <r>
      <rPr>
        <sz val="10"/>
        <rFont val="Arial"/>
        <family val="2"/>
        <charset val="238"/>
      </rPr>
      <t>- Nettowert der geleasten Sachanlagen</t>
    </r>
  </si>
  <si>
    <r>
      <t xml:space="preserve">Differenz zwischen dem </t>
    </r>
    <r>
      <rPr>
        <sz val="10"/>
        <color theme="3" tint="0.39997558519241921"/>
        <rFont val="Arial"/>
        <family val="2"/>
        <charset val="238"/>
      </rPr>
      <t>Bilanzwert</t>
    </r>
    <r>
      <rPr>
        <sz val="10"/>
        <rFont val="Arial"/>
        <family val="2"/>
        <charset val="238"/>
      </rPr>
      <t xml:space="preserve"> und dem steuerlichen Wert der Sachanlagen</t>
    </r>
  </si>
  <si>
    <t>Abzugsfähige Steuerverluste</t>
  </si>
  <si>
    <t>Vorübergehende Differenzen insgesamt</t>
  </si>
  <si>
    <t>Aktive latente Steuern</t>
  </si>
  <si>
    <t>Wertberichtigung auf aktive latente Steuern</t>
  </si>
  <si>
    <t>Aktive latente Steuern (unter Berücksichtigung der Wertberichtigung)</t>
  </si>
  <si>
    <t>Rückstellung für latente Steuern - vorübergehende positive Differenzen</t>
  </si>
  <si>
    <r>
      <t>Nettowert der geleasten Sachanlagen - Leasingverbindlich</t>
    </r>
    <r>
      <rPr>
        <sz val="10"/>
        <color theme="1"/>
        <rFont val="Arial"/>
        <family val="2"/>
        <charset val="238"/>
      </rPr>
      <t>keit</t>
    </r>
  </si>
  <si>
    <t>Rückstellung für latente Steuern</t>
  </si>
  <si>
    <t>Bestandsveränderung der aktiven latenten Steuern</t>
  </si>
  <si>
    <t>Bestandsveränderung der Rückstellung für latente Steuern</t>
  </si>
  <si>
    <t>Korrektur der Körperschaftsteuer in der GuV-Rechnung um latente Steuern</t>
  </si>
  <si>
    <t>Solche Verträge wurden weder im laufenden noch im vorausgehenden Geschäftsjahr geschlossen.</t>
  </si>
  <si>
    <r>
      <t xml:space="preserve">Die Konditionen der Geschäfte, die von der Gesellschaft mit verbundenen Parteien abgeschlossen wurden, wichen weder im laufenden noch im </t>
    </r>
    <r>
      <rPr>
        <sz val="10"/>
        <color rgb="FFFF00FF"/>
        <rFont val="Arial"/>
        <family val="2"/>
        <charset val="238"/>
      </rPr>
      <t>vorausgehenden</t>
    </r>
    <r>
      <rPr>
        <sz val="10"/>
        <rFont val="Arial"/>
        <family val="2"/>
      </rPr>
      <t xml:space="preserve"> Geschäftsjahr von den marktüblichen Konditionen ab.</t>
    </r>
  </si>
  <si>
    <t>Die Gesellschaft zahlte weder im laufenden noch im vorausgehenden Geschäftsjahr Vergütungen an Personen, die den Leitungs- oder Aufsichtsorganen angehören.</t>
  </si>
  <si>
    <t>Die Gesellschaft zahlte weder im laufenden noch im vorausgehenden Geschäftsjahr die o.g. Vergütungen an Personen, die den Leitungs- oder Aufsichtsorganen angehören.</t>
  </si>
  <si>
    <t>Der Einfluss der oben beschriebenen Ereignisse auf den Jahresabschluss für das vorausgehende Jahr ist der nachfolgenden Tabelle zu entnehmen:</t>
  </si>
  <si>
    <t>Die korrigierten Finanzangaben für das vorausgehende Geschäftsjahr wurden als dritte Spalte zur Bilanz und der Gewinn- und Verlustrechnung dargestellt.</t>
  </si>
  <si>
    <t>darunter:</t>
  </si>
  <si>
    <t>Änderung</t>
  </si>
  <si>
    <t>Erträge aus dem Verkauf</t>
  </si>
  <si>
    <t>Die Gesellschaft nutzt das Anlagevermögen aufgrund von Miet- bzw. Operate Leasing-Verträgen. Der Gesamtbetrag künftiger Verbindlichkeiten, die sich aus Miet- und Leasingverträgen ergeben und nicht in den Büchern erfasst wurden, ist der nachfolgenden Tabelle zu entnehmen.</t>
  </si>
  <si>
    <t>Gesamtbetrag künftiger Verbindlichkeiten aus Gebühren betreffend den Vertrag</t>
  </si>
  <si>
    <t>Miete des Büros</t>
  </si>
  <si>
    <t>Miete der Lagerhalle</t>
  </si>
  <si>
    <t>Operate Leasing über Computergeräte</t>
  </si>
  <si>
    <t>Operate Leasing über PKW</t>
  </si>
  <si>
    <t>Operate Leasing - Sonstiges</t>
  </si>
  <si>
    <t>Art der Aktiva</t>
  </si>
  <si>
    <r>
      <t>Erte</t>
    </r>
    <r>
      <rPr>
        <sz val="10"/>
        <color theme="1"/>
        <rFont val="Arial"/>
        <family val="2"/>
        <charset val="238"/>
      </rPr>
      <t>ilt</t>
    </r>
    <r>
      <rPr>
        <sz val="10"/>
        <rFont val="Arial"/>
        <family val="2"/>
      </rPr>
      <t>e Darlehen</t>
    </r>
  </si>
  <si>
    <t>Schuldrechtliche Finanzinstrumente</t>
  </si>
  <si>
    <t>Sonstige Aktiva</t>
  </si>
  <si>
    <t>Realisierte Zinsen</t>
  </si>
  <si>
    <t>Nicht realisierte Zinsen, mit Zahlungsfrist:</t>
  </si>
  <si>
    <t>Erträge aus Zinsen in dem betreffenden Geschäftsjahr</t>
  </si>
  <si>
    <t>Die Geschäftsführung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</si>
  <si>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Die Tätigkeit der Gesellschaft ist aufgrund der Finanzinstrumente, über die sie verfügt, folgenden Risiken ausgesetzt:</t>
  </si>
  <si>
    <t>- Liquiditätsrisiko</t>
  </si>
  <si>
    <t>Zinsaufwendungen im betreffenden Geschäftsjahr</t>
  </si>
  <si>
    <t>- Erzielung von Erträgen aus dem Verkauf</t>
  </si>
  <si>
    <t>- operativen Einkäufen</t>
  </si>
  <si>
    <t>- wesentlichen Investitionsaufwendungen</t>
  </si>
  <si>
    <t>Das Währungsrisiko für die Gesellschaft ergibt sich aus Folgendem:</t>
  </si>
  <si>
    <t xml:space="preserve">- Finanzierung der Tätigkeit mit Krediten </t>
  </si>
  <si>
    <t>in Fremdwährung.</t>
  </si>
  <si>
    <t>Die Gesellschaft minimiert das Währungsrisiko durch:</t>
  </si>
  <si>
    <t>- entsprechende Ausgestaltung der Struktur der Aktiva und Passiva in Fremdwährung,</t>
  </si>
  <si>
    <t>- Abschluss von Forward-Termingeschäften über den Einkauf/Verkauf von Währung.</t>
  </si>
  <si>
    <t>Analyse der Anfälligkeit wesentlicher Positionen in Fremdwährung für Währungskursänderungen</t>
  </si>
  <si>
    <t>Bilanzkurs:</t>
  </si>
  <si>
    <t>Aktiva und finanzielle Verbindlichkeiten</t>
  </si>
  <si>
    <t>Risikobehafteter Wert</t>
  </si>
  <si>
    <t>Einfluss von Änderungen auf das Ergebnis</t>
  </si>
  <si>
    <t>Forderungen gegen Debitoren</t>
  </si>
  <si>
    <t>Flüssige Mittel</t>
  </si>
  <si>
    <t>Erteilte Darlehen</t>
  </si>
  <si>
    <t>Verbindlichkeiten gegenüber Kreditoren</t>
  </si>
  <si>
    <t>Leasingverbindlichkeiten</t>
  </si>
  <si>
    <t>Verbindlichkeiten aus Konzerndarlehen</t>
  </si>
  <si>
    <t>Verbindlichkeiten aus Bankkrediten</t>
  </si>
  <si>
    <t>Das Risiko von Zinsschwankungen für die Gesellschaft ergibt sich aus Folgendem:</t>
  </si>
  <si>
    <t>- erteilten Darlehen</t>
  </si>
  <si>
    <t>- Anlage von Geldmitteln mit variabler Verzinsung</t>
  </si>
  <si>
    <r>
      <t xml:space="preserve">- Teilnahme </t>
    </r>
    <r>
      <rPr>
        <sz val="10"/>
        <color theme="1"/>
        <rFont val="Arial"/>
        <family val="2"/>
        <charset val="238"/>
      </rPr>
      <t>am</t>
    </r>
    <r>
      <rPr>
        <sz val="10"/>
        <rFont val="Arial"/>
        <family val="2"/>
        <charset val="238"/>
      </rPr>
      <t xml:space="preserve"> Cash Pool-Syste</t>
    </r>
    <r>
      <rPr>
        <sz val="10"/>
        <color theme="1"/>
        <rFont val="Arial"/>
        <family val="2"/>
        <charset val="238"/>
      </rPr>
      <t>m</t>
    </r>
  </si>
  <si>
    <t>- Nutzung externer Finanzierungsquellen mit variabler Verzinsung</t>
  </si>
  <si>
    <t>Die variabel verzinsten Positionen setzen die Gesellschaft dem Risiko einer Änderung der Kapitalflüsse infolge der Änderung der Zinssätze aus und beeinflussen demnach die Höhe der Zinsaufwendungen bzw. -erträge, die im Ergebnis berücksichtigt werden.</t>
  </si>
  <si>
    <r>
      <t>Die Gesellschaft minimiert das Zinssatzrisiko durch entsprechende</t>
    </r>
    <r>
      <rPr>
        <sz val="10"/>
        <color theme="1"/>
        <rFont val="Arial"/>
        <family val="2"/>
        <charset val="238"/>
      </rPr>
      <t xml:space="preserve"> </t>
    </r>
    <r>
      <rPr>
        <sz val="10"/>
        <color rgb="FFFF0000"/>
        <rFont val="Arial"/>
        <family val="2"/>
        <charset val="238"/>
      </rPr>
      <t>G</t>
    </r>
    <r>
      <rPr>
        <sz val="10"/>
        <rFont val="Arial"/>
        <family val="2"/>
        <charset val="238"/>
      </rPr>
      <t>estaltung der Struktur der Aktiva und Passiva mit variablem und festem Zinssatz.</t>
    </r>
  </si>
  <si>
    <t>forma prawna:</t>
  </si>
  <si>
    <t>Nach Auffassung der Geschäftsführung erfordern das Niveau und die Schwankungen der Zinssätze keine Anwendung von Instrumenten zur Absicherung gegen das Zinssatzsrisiko.</t>
  </si>
  <si>
    <t>Nach Auffassung des Vorstands erfordern das Niveau und die Schwankungen der Zinssätze keine Anwendung von Instrumenten zur Absicherung gegen das Zinssatzsrisiko.</t>
  </si>
  <si>
    <t>- Beibehaltung einer entsprechenden Struktur des Forderungsportfolios</t>
  </si>
  <si>
    <t>- Überwachung der Finanzlage der Geschäftspartner</t>
  </si>
  <si>
    <t>- Management der Kreditlimits und der Zahlungsfristen</t>
  </si>
  <si>
    <t>- Versicherung der Forderungen aus Lieferungen und Leistungen.</t>
  </si>
  <si>
    <t>Liquiditätsrisiko</t>
  </si>
  <si>
    <t>Das Liquiditätsmanagement besteht in der Planung und Überwachung der Geldflüsse, um der Gesellschaft die Möglichkeit der Begleichung fälliger Verbindlichkeiten zu gewährleisten, und zwar sowohl im Normalfall als auch in Krisensituationen.</t>
  </si>
  <si>
    <t>- Vorhaltung flüssiger Mittel in einer Höhe, die die Begleichung erwarteter Betriebsausgaben ermöglicht</t>
  </si>
  <si>
    <t>- Unterhaltung einer Kreditlinie bei der Bank</t>
  </si>
  <si>
    <t>- Planung der Geldflüsse, Festlegung und Aktualisierung der Budgets für Investitionsaufwendungen</t>
  </si>
  <si>
    <t>- Verwendung des „Cash Pool”-Systems im Konzern</t>
  </si>
  <si>
    <t>Rückgang der Verkaufserlöse i.H.v.:</t>
  </si>
  <si>
    <t>Die Geschäftsführung nutzt folgende Instrumente für das Liquiditätsmanagement:</t>
  </si>
  <si>
    <t>Der Vorstand nutzt folgende Instrumente für das Liquiditätsmanagement:</t>
  </si>
  <si>
    <t>Der Vorstand hat folgende negative Konsequenzen der Pandemie für die Tätigkeit der Gesellschaft identifiziert:</t>
  </si>
  <si>
    <t>Art der Förderung</t>
  </si>
  <si>
    <t>Beschreibung</t>
  </si>
  <si>
    <t>Einfluss auf das Ergebnis und Darstellung im Jahresabschluss</t>
  </si>
  <si>
    <t>Bezuschussung von der Polski Fundusz Rozwoju</t>
  </si>
  <si>
    <t xml:space="preserve">Finanzierung aus dem Garantieleistungsfonds </t>
  </si>
  <si>
    <t>Befreiung von der Pflicht zur Zahlung von Sozialversicherungsbeträgen</t>
  </si>
  <si>
    <t xml:space="preserve">Aussetzung der Einzahlungen in den Betrieblichen Sozialfonds </t>
  </si>
  <si>
    <t xml:space="preserve">Ende 2019 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</si>
  <si>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Der Vorstand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</si>
  <si>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Vorstand:</t>
  </si>
  <si>
    <t>Der Vorstand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</si>
  <si>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Angepasste Angaben für</t>
  </si>
  <si>
    <t>Festgestellte Angaben für</t>
  </si>
  <si>
    <t>das Vorjahr</t>
  </si>
  <si>
    <t xml:space="preserve">Approved data for </t>
  </si>
  <si>
    <t xml:space="preserve">Converted data for </t>
  </si>
  <si>
    <t>prior year</t>
  </si>
  <si>
    <t>Vorstandsmitglied</t>
  </si>
  <si>
    <t>Vorstandsvorsitzender</t>
  </si>
  <si>
    <t>Vergütung für den Vorstand</t>
  </si>
  <si>
    <t>für Vorstandsmitglieder</t>
  </si>
  <si>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von der Geschäftsführung erstellten Lagebericht zu entnehmen. </t>
    </r>
  </si>
  <si>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vom Vorstand erstellten Lagebericht zu entnehmen. </t>
    </r>
  </si>
  <si>
    <t>Der Gesellschaft wurde von der Muttergesellschaft auch finanzielle Unterstützung für einen Zeitraum von mindestens 12 Monaten nach dem Bilanzstichtag zugesichert. Der Vorstand ist der Auffassung, dass keine Voraussetzungen gegeben sind, die darauf hinweisen könnten, dass die Muttergesellschaft nicht imstande sein wird, diese Verpflichtung zu erfüllen.</t>
  </si>
  <si>
    <t>NIP</t>
  </si>
  <si>
    <t>KRS</t>
  </si>
  <si>
    <t>C:\Users\G.Kurczakowski\Desktop\nowy SF 2020\aktualny\poprawny</t>
  </si>
  <si>
    <t>Spółka nie osiągnęła przychodów ze sprzedaży zarówno w bieżącym roku obrotowym, jak i w roku poprzednim.</t>
  </si>
  <si>
    <t>Die Gesellschaft hat weder in diesem noch im vorherigen Geschäftsjahr keine Umsatzerlöse erzielt.</t>
  </si>
  <si>
    <t>The Company earned no sales revenue either in the current financial year or in the preceding year.</t>
  </si>
  <si>
    <t>B. Przychody zwolnione z opodatkowania (trwałe różnice), w tym:</t>
  </si>
  <si>
    <t>B. Steuerbefreit Einnahmen (dauerhafte Differenzen), darunter:</t>
  </si>
  <si>
    <t>B. Tax-exempt revenues (permanent differences), of which:</t>
  </si>
  <si>
    <t>E. Koszty niestanowiące kosztów uzyskania przychodów (trwałe różnice), w tym:</t>
  </si>
  <si>
    <t>E. Steuerlich nicht abzugsfähige Betriebsausgaben (dauerhafte Differenzen), darunter:</t>
  </si>
  <si>
    <t>E. Non-tax-deductible costs (permanent differences), of which:</t>
  </si>
  <si>
    <t xml:space="preserve">Przepływy pieniężne netto </t>
  </si>
  <si>
    <t xml:space="preserve">Nettokapitalfluss </t>
  </si>
  <si>
    <t>Net cash inflow/outflow</t>
  </si>
  <si>
    <t>A.II.6. Increase (decrease) in inventories</t>
  </si>
  <si>
    <t>A.II.6. Veränderung des Bestandes an Vorräten</t>
  </si>
  <si>
    <t>A.II.6. Zmiana stanu zapasów</t>
  </si>
  <si>
    <t>Zapasy razem</t>
  </si>
  <si>
    <t>Insgesamt Vorräte</t>
  </si>
  <si>
    <t>Total inventories</t>
  </si>
  <si>
    <t>wpisz tytuł korekty</t>
  </si>
  <si>
    <t>Razem zapasy po korekcie</t>
  </si>
  <si>
    <t>Insgesamt Vorräte nach der Korrektur</t>
  </si>
  <si>
    <t>Total inventories after adjustment</t>
  </si>
  <si>
    <t>Długoterminowe rozliczenia międzyokresowe czynne</t>
  </si>
  <si>
    <t>Krótkoterminowe rozliczenia międzyokresowe czynne</t>
  </si>
  <si>
    <t>Langfristige aktive Rechnungsabgrenzungsposten</t>
  </si>
  <si>
    <t>Kurzfristige aktive Rechnungsabgrenzungsposten</t>
  </si>
  <si>
    <t xml:space="preserve">Current prepayments </t>
  </si>
  <si>
    <t xml:space="preserve">Non-current prepayments </t>
  </si>
  <si>
    <t>Razem rozliczenia międzyokresowe czynne po korekcie</t>
  </si>
  <si>
    <t>Insgesamt aktive Rechnungsabgrenzungsposten nach der Korrektur</t>
  </si>
  <si>
    <t>Total prepayments after adjustment</t>
  </si>
  <si>
    <t>Total accruals after adjustment</t>
  </si>
  <si>
    <t>Insgesamt passive Rechnungsabgrenzungsposten nach der Korrektur</t>
  </si>
  <si>
    <t>Razem rozliczenia międzyokresowe po korekcie</t>
  </si>
  <si>
    <t>Wartość początkowa obcych środków trwałych użytkowanych na podstawie umów najmu, dzierżawy lub umów o podobnym charakterze:</t>
  </si>
  <si>
    <t>AHK-Wert fremder Sachanlagen, die auf der Grundlage von Miet-, Pacht- oder ähnlichen Verträgen genutzt würden:</t>
  </si>
  <si>
    <t>Initial value of third-party tangible assets used under rental, leasehold, lease or other similar agreements:</t>
  </si>
  <si>
    <t>WPISZ OPIS dla ograniczenia czasu trwania działalności</t>
  </si>
  <si>
    <t>Dividendenausschüttung</t>
  </si>
  <si>
    <t>- zasilenie funduszy specjalnych</t>
  </si>
  <si>
    <t>der Verlustdeckung aus dem Gewinnvortrag</t>
  </si>
  <si>
    <t>zakładka nie jest drukowana, służy nawigacji po pliku</t>
  </si>
  <si>
    <t>nota 1.15. – należności i zobowiązania wykazywane w więcej niż jednej pozycji bilansu</t>
  </si>
  <si>
    <t>nota 1.15. – Forderungen und Verbindlichkeiten, die unter mehreren Bilanzpositionen ausgewiesen werden</t>
  </si>
  <si>
    <r>
      <rPr>
        <sz val="10"/>
        <color rgb="FFFF0000"/>
        <rFont val="Arial"/>
        <family val="2"/>
        <charset val="238"/>
      </rPr>
      <t>note</t>
    </r>
    <r>
      <rPr>
        <sz val="10"/>
        <rFont val="Arial"/>
        <family val="2"/>
      </rPr>
      <t xml:space="preserve"> 1.15. – Receivables and liabilities disclosed in more than one balance sheet item</t>
    </r>
  </si>
  <si>
    <t>pole należy uzupełnić tylko w przypadku, gdy korzysta się ze "starego" sposobu generowania xml</t>
  </si>
  <si>
    <t>Koszty zakończonych prac rozwojowych oraz wartość firmy, a także wyjaśnienie okresu ich odpisywania, określonego odpowiednio w art. 33 ust. 3 oraz art. 44b ust. 10 UoR</t>
  </si>
  <si>
    <t>Entwicklungskosten und Geschäfts- oder Firmenwert sowie Erläuterungen zum Zeitraum von deren Abschreibung gemäß Art. 33 Abs. 3 sowie Art. 44b Abs. 10 RLG-PL</t>
  </si>
  <si>
    <t>Costs of completed development work and the goodwill, as well as explanation of the amortisation period thereof as referred in Article 33(3) and Article 44b(10) of the Accounting Act, respectively</t>
  </si>
  <si>
    <t>nagłówek do ukrycia, gdy CIT na 1 stronie</t>
  </si>
  <si>
    <t>Sposób sporządzania sprawozdania finansowego</t>
  </si>
  <si>
    <t>Methode der Erstellung des Jahresabschlusses</t>
  </si>
  <si>
    <t>Method of preparing the financial statements</t>
  </si>
  <si>
    <t>Einkünfte aus Kapital-
vermögen</t>
  </si>
  <si>
    <t>Sonstige Einkunfts-
arten</t>
  </si>
  <si>
    <t>Aktive latente Steuern                                            
- vorübergehende negative Differenzen</t>
  </si>
  <si>
    <t>Deferred tax assets 
- negative temporary differences</t>
  </si>
  <si>
    <t>Additions on account of amortisation/
depreciation</t>
  </si>
  <si>
    <t>Rezerwa na podatek odroczony 
- dodatnie różnice przejściowe</t>
  </si>
  <si>
    <t>up to 3 months</t>
  </si>
  <si>
    <t>from 3 to 12 months</t>
  </si>
  <si>
    <t>over 12 months</t>
  </si>
  <si>
    <t>The Company minimises the currency risk by:</t>
  </si>
  <si>
    <t>nota 1.11-1.15</t>
  </si>
  <si>
    <t>Note 1.11-1.15</t>
  </si>
  <si>
    <t>note 1.11-1.15</t>
  </si>
  <si>
    <t>DE</t>
  </si>
  <si>
    <t>PL</t>
  </si>
  <si>
    <t>11.3.</t>
  </si>
  <si>
    <t xml:space="preserve">Gegen dritte Unternehmen, mit denen ein Beteiligungsverhältnis besteht  </t>
  </si>
  <si>
    <t xml:space="preserve">an dritten Unternehmen, mit denen ein Beteiligungsverhältnis besteht  </t>
  </si>
  <si>
    <t xml:space="preserve">Forderungen gegen dritte Unternehmen, mit denen ein Beteiligungsverhältnis besteht  </t>
  </si>
  <si>
    <t>auf dem Rechtsweg</t>
  </si>
  <si>
    <t xml:space="preserve">Gegenüber dritten Unternehmen, mit denen ein Beteiligungsverhältnis besteht  </t>
  </si>
  <si>
    <t>sonstige finanzielle Verbindlichkeiten</t>
  </si>
  <si>
    <t xml:space="preserve">Verbindlichkeiten gegenüber dritten Unternehmen, mit denen ein Beteiligungsverhältnis besteht  </t>
  </si>
  <si>
    <t xml:space="preserve">mit denen ein Beteiligungsverhältnis besteht  </t>
  </si>
  <si>
    <t xml:space="preserve">Dritte Unternehmen, mit denen ein Beteiligungsverhältnis besteht  </t>
  </si>
  <si>
    <t xml:space="preserve">Kurzfristige Forderungen gegen dritte Unternehmen, mit denen ein Beteiligungsverhältnis besteht  </t>
  </si>
  <si>
    <t>Verbindlichkeiten aufgrund der Darlehen gegenüber dritten Unternehmen, mit denen ein Beteiligungsverhältnis besteht</t>
  </si>
  <si>
    <t>Eventualverbindlichkeiten gegenüber dritten Unternehmen, mit denen ein Beteiligungsverhältnis besteht:</t>
  </si>
  <si>
    <t>f) ubezpieczenia społeczne i inne świadczenia, w tym:</t>
  </si>
  <si>
    <t>f) Personalnebenkosten, darunter:</t>
  </si>
  <si>
    <t>f) social security and other employee benefits, incl.:</t>
  </si>
  <si>
    <t>PKD - wymaga tłumaczenia (nie wszystkie PKD we wzorze automatycznie się tłumaczą)</t>
  </si>
  <si>
    <t>Gdy jeden udziałowiec ukryj podsumowanie</t>
  </si>
  <si>
    <t>EUR/PLN</t>
  </si>
  <si>
    <t>USD/PLN</t>
  </si>
  <si>
    <t>GBP/PLN</t>
  </si>
  <si>
    <r>
      <t>Informacje o znaczących zdarzeniach, jakie nastąpiły po dniu bilansowym, a nieuwzględnionych w sprawozdaniu finansowym oraz o ich wpływie na sytuację majątkową, finansową oraz wynik finansowy jed</t>
    </r>
    <r>
      <rPr>
        <sz val="10"/>
        <color rgb="FFFF0000"/>
        <rFont val="Arial"/>
        <family val="2"/>
        <charset val="238"/>
      </rPr>
      <t>nostki</t>
    </r>
  </si>
  <si>
    <t>pracownicy administracyjni</t>
  </si>
  <si>
    <t>Z tytułu emisji dłużnych
   papierów wartościowych</t>
  </si>
  <si>
    <t>Inne zobowiązania 
   finansowe</t>
  </si>
  <si>
    <t>Inanspruch
-nahme</t>
  </si>
  <si>
    <t>Aus der Emission 
   schuldrechtlicher 
   Wertpapiere</t>
  </si>
  <si>
    <t>Sonstige finanzielle
   Verbindlichkeiten</t>
  </si>
  <si>
    <t>Bills of exchange 
   payable</t>
  </si>
  <si>
    <t>Można tu ukryć tabele powyżej i opisać słownie.</t>
  </si>
  <si>
    <t>Die Gesellschaft wendet keine Sicherheitsrechnungslegung an.</t>
  </si>
  <si>
    <t>Uwaga - albo opisowo albo wypełnij tabelę, miejsce na opis poniżej tabeli</t>
  </si>
  <si>
    <t>USTAWA O RACHUNKOWOŚCI - wersja</t>
  </si>
  <si>
    <t>EN</t>
  </si>
  <si>
    <t>ROK</t>
  </si>
  <si>
    <t>POZYCJA</t>
  </si>
  <si>
    <t>z późn. zm.</t>
  </si>
  <si>
    <t>Deferred tax liabilities</t>
  </si>
  <si>
    <t>Deferred tax liabilities are created in the amount of  income tax payable in the future due to occurrence of positive temporary differences, that is, differences which will increase the income tax base in the future.</t>
  </si>
  <si>
    <t>Deferred tax liabilities recognised as expenses</t>
  </si>
  <si>
    <t>FORMUŁA</t>
  </si>
  <si>
    <t xml:space="preserve">The values of deferred tax liabilities and deferred tax assets are determined using the income tax rates applicable in the year in which the tax liability arose. </t>
  </si>
  <si>
    <t>Deferred tax liabilities
- positive temporary differences</t>
  </si>
  <si>
    <t>Increase (decrease) in deferred tax liabilities</t>
  </si>
  <si>
    <t>Deferred tax assets and liabilities</t>
  </si>
  <si>
    <t xml:space="preserve">By virtue of the simplification scheme stipulated in Article 37(10) of the Accounting Act the Company chose not to determine deferred tax assets and liabilities. </t>
  </si>
  <si>
    <t xml:space="preserve">In connection with temporary differences between the value of assets and equity and liabilities shown in the books and their value for tax purposes, and tax loss deductible in the future, deferred tax liabilities and assets are established. </t>
  </si>
  <si>
    <r>
      <t>Proszę ukryć wiersz, w przypadku uzupełniania noty!</t>
    </r>
    <r>
      <rPr>
        <b/>
        <sz val="8"/>
        <color theme="0"/>
        <rFont val="Frutiger CE 45 Light"/>
        <charset val="238"/>
      </rPr>
      <t>.</t>
    </r>
  </si>
  <si>
    <t>Spółka narażona jest na ryzyko kredytowe w związku z ewentualną niewypłacalnością swoich dłużników. Zarząd ogranicza to ryzyko poprzez:</t>
  </si>
  <si>
    <t>Die Gesellschaft ist dem Kreditrisiko wegen einer etwaigen Zahlungsunfähigkeit ihrer Schuldner ausgesetzt. Die Geschäftsführung beschränkt dieses Risiko wie folgt:</t>
  </si>
  <si>
    <t>The Company is exposed to credit risk in connection with a potential insolvency of its debitors. The Management Board limits that risk by:</t>
  </si>
  <si>
    <t>Lizenzen – 20% - 50%</t>
  </si>
  <si>
    <t>1.17a</t>
  </si>
  <si>
    <t>Wpływ konfliktu we wschodniej Europie na sytuację finansową Spółki</t>
  </si>
  <si>
    <t>Zarząd zidentyfikował następujące możliwe zdarzenia:</t>
  </si>
  <si>
    <t>nota 8-11 pkt. 11.3</t>
  </si>
  <si>
    <t>brak ściągalności należności;</t>
  </si>
  <si>
    <t>ryzyko braku odzyskania udzielonych pożyczek;</t>
  </si>
  <si>
    <t>spadek wartości udziałów;</t>
  </si>
  <si>
    <t>ryzyko w zakresie kontynuacji działalności na rynkach wschodnich;</t>
  </si>
  <si>
    <t>możliwe przerwanie łańcuchów dostaw w zakresie surowców.</t>
  </si>
  <si>
    <t>Impact of the conflict in Eastern Europe on the Company’s financial standing</t>
  </si>
  <si>
    <t>The Management Board has identified the following potential threats:</t>
  </si>
  <si>
    <t>receivables may be irrecoverable;</t>
  </si>
  <si>
    <t>advanced loans may not be repaid;</t>
  </si>
  <si>
    <t>shares may drop in value;</t>
  </si>
  <si>
    <t>risk to continuity as a going concern on Eastern markets;</t>
  </si>
  <si>
    <t xml:space="preserve">Einfluss des Konfliktes in Osteuropa auf die Finanzlage der Gesellschaft </t>
  </si>
  <si>
    <t>Die Geschäftsführung hat folgende mögliche Ereignisse identifiziert:</t>
  </si>
  <si>
    <t>Uneinbringlichkeit von Forderungen;</t>
  </si>
  <si>
    <t>Risiko der Nichtwiedereinziehung gewährter Darlehen;</t>
  </si>
  <si>
    <t>Rückgang des Anteilswertes;</t>
  </si>
  <si>
    <t>Risiko bei der Unternehmensfortführung auf östlichen Märkten;</t>
  </si>
  <si>
    <t>mögliche Unterbrechung der Rohstoff-Lieferketten.</t>
  </si>
  <si>
    <t>supply chains of raw materials may be disrupted.</t>
  </si>
  <si>
    <t>nota - konflikt na Ukrainie</t>
  </si>
  <si>
    <t>Świadczenia wykonane na rzecz:</t>
  </si>
  <si>
    <t>Kwota pożyczki (kredytu) udzielonej udziałowcowi lub podmiotowi powiązanemu z udziałowcem oraz odsetki, prowizje, wynagrodzenia i opłaty od pożyczki (kredytu) udzielonej przez te podmioty</t>
  </si>
  <si>
    <t>Kwota pożyczki (kredytu) udzielonej akcjonariuszowi lub podmiotowi powiązanemu z akcjonariuszem oraz odsetki, prowizje, wynagrodzenia i opłaty od pożyczki (kredytu) udzielonej przez te podmioty</t>
  </si>
  <si>
    <t>Betrag eines Darlehens (Kredits), das (der) einem Aktionär bzw. einem mit dem Aktionär verbundenen Unternehmen erteilt wurde, sowie Zinsen, Provisionen, Vergütungen und Gebühren auf ein Darlehen (einen Kredit), das (der) von diesen Rechtsträgern erteilt wurde</t>
  </si>
  <si>
    <t>Loan (borrowings) granted to a shareholder or its associated enterprise, and interest, commission fees, fees and payments for the loan (borrowings) granted by these entities</t>
  </si>
  <si>
    <t>Nadwyżka wartości rynkowej transakcji określonej zgodnie z art. 11c ponad ustaloną cenę tej transakcji</t>
  </si>
  <si>
    <t>Nadwyżka zwróconej kwoty dopłaty, wniesionej do spółki zgodnie z odrębnymi przepisami, ponad kwotę wniesionej dopłaty</t>
  </si>
  <si>
    <t>Wypłacone z zysku wynagrodzenie z tytułu umorzenia udziałów lub ze zmniejszenia ich wartości</t>
  </si>
  <si>
    <t>Wypłacone z zysku wynagrodzenie z tytułu umorzenia akcji lub ze zmniejszenia ich wartości</t>
  </si>
  <si>
    <t>Równowartość zysku przeznaczonego na podwyższenie kapitału zakładowego</t>
  </si>
  <si>
    <t>Darowizny, w tym prezenty i ofiary wszelkiego rodzaju</t>
  </si>
  <si>
    <t>Wydatki na reprezentację</t>
  </si>
  <si>
    <t>Leistungen zugunsten:</t>
  </si>
  <si>
    <t>Überschuss des erstatteten Betrages eines gemäß gesonderten Vorschriften an die Gesellschaft geleisteten Nachschusses über den Betrag des geleisteten Nachschusses</t>
  </si>
  <si>
    <t>Überschuss des gemäß Art. 11c ermittelten Marktwertes des Geschäfts über den festgelegten Preis dieses Geschäfts</t>
  </si>
  <si>
    <t>Aus dem Gewinn ausbezahlte Vergütung für die Einziehung der Anteile bzw. aus der Minderung deren Werts</t>
  </si>
  <si>
    <t>Aus dem Gewinn ausbezahlte Vergütung für die Einziehung der Aktien bzw. aus der Minderung deren Werts</t>
  </si>
  <si>
    <t>Gegenwert des Gewinns, der für die Erhöhung des Stammkapitals bestimmt ist</t>
  </si>
  <si>
    <t>Services provided to:</t>
  </si>
  <si>
    <t>Remuneration paid from the profit from cancellation of shares or reduction of their value;</t>
  </si>
  <si>
    <t>Remuneration paid from the profit from cancellation of shares or reduction of their value</t>
  </si>
  <si>
    <t>Official entertainment costs</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</si>
  <si>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</si>
  <si>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t>
  </si>
  <si>
    <t>Zarząd zidentyfikował następujące ryzyka i negatywne konsekwencje dla spółki  w związku z aktualną sytuacją gospodarczą wywołaną konfliktem na wschodzie Europy:</t>
  </si>
  <si>
    <t>wzrost kosztów działalności operacyjnej wynikający bezpośrednio z istotnego wzrostu poziomu inflacji, w tym w szczególności cen energii</t>
  </si>
  <si>
    <t>ukryj, jeżeli nie dotyczy</t>
  </si>
  <si>
    <t>Podjęte działania w celu ograniczenia skutków kryzysu we wschodniej Europie i ich wpływ na dane finansowe za bieżący rok obrotowy:</t>
  </si>
  <si>
    <t>TO SĄ PRZYKŁADOWE KONSEKWENCJE - do indywidualnej modyfikacji</t>
  </si>
  <si>
    <t>opisz, o ile wystąpiły</t>
  </si>
  <si>
    <t>osłabienie polskiej waluty oraz wahania kursów walut spowodowały wzrost innych kosztów finansowych (zrealizowanych ujemnych różnic kursowych oraz różnic kursowych z wyceny bilansowej)</t>
  </si>
  <si>
    <t>wzrost stóp procentowych miał bezpośredni wpływ na wzrost kosztów finansowania działalności spółki (naliczonych i zapłaconych odsetek od zaciągniętych kredytów)</t>
  </si>
  <si>
    <t>utrudnienia w dostawach surowców powodujące czasowe opóźnienia w realizacji zamówień</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</si>
  <si>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 and in the Management Report.</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</si>
  <si>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t>
  </si>
  <si>
    <t>The Management Board has identified the following risks and negative consequences for the company due to the current economic situation caused by the conflict in Eastern Europe:</t>
  </si>
  <si>
    <t>ograniczenie rynku zbytu (wschodnia Europa) oraz zmiany nastroju i preferencji aktualnych kontrahentów i konsumentów</t>
  </si>
  <si>
    <t>reduction of the sales market (Eastern Europe) and changes in the mood and preferences of current contractors and consumers</t>
  </si>
  <si>
    <t>an increase in operating expenses resulting directly from a significant increase in inflation, including in particular energy prices</t>
  </si>
  <si>
    <t>the weakening of the Polish currency and exchange rate fluctuations caused an increase in other financial expenses (realised foreign exchange losses and exchange rate profit(loss) on balance sheet valuation)</t>
  </si>
  <si>
    <t>the increase in interest rates had a direct impact on the increase in the company's financing expenses (accrued and paid loan interest)</t>
  </si>
  <si>
    <t>difficulties in the supply of raw materials causing temporary delays in order fulfilment</t>
  </si>
  <si>
    <t>Measures taken to mitigate the impact of the crisis in Eastern Europe and their impact on the financial figures for the current financial year:</t>
  </si>
  <si>
    <t xml:space="preserve">   a private or family foundation, an equivalent foundation or 
   an enterprise run by such a foundation or equivalent foundation, 
   or to beneficiaries of such a foundation or equivalent foundation</t>
  </si>
  <si>
    <t xml:space="preserve">   a trust, or another entity or a fiduciary relationship</t>
  </si>
  <si>
    <t>Excess of the arm's length value of a transaction determined in accordance with Article 11c over the agreed price of the transaction</t>
  </si>
  <si>
    <t>Excess of the refunded additional capital contributions made to the company under separate provisions over the amount of the contributions made</t>
  </si>
  <si>
    <t>Amount equivalent to the profit appropriated for share capital increase</t>
  </si>
  <si>
    <t>Donations, including any gifts or donations</t>
  </si>
  <si>
    <t>The Company is exposed to credit risk in connection with a potential insolvency of its debtors. The Management Board limits that risk by:</t>
  </si>
  <si>
    <t>Die Gesellschaft ist dem Kreditrisiko wegen einer etwaigen Zahlungsunfähigkeit ihrer Schuldner ausgesetzt. Der Vorstand beschränkt dieses Risiko wie folgt:</t>
  </si>
  <si>
    <t>Betrag eines Darlehens (Kredits), das (der) einem Gesellschafter bzw. einem mit dem Gesellschafter verbundenen Unternehmen erteilt wurde, sowie Zinsen, Provisionen, Vergütungen und Gebühren auf ein Darlehen (einen Kredit), das (der) von diesen Rechtsträgern erteilt wurde</t>
  </si>
  <si>
    <t xml:space="preserve">   einer Privat- oder Familienstiftung, eines gleichwertigen 
   Rechtsträgers oder eines durch eine solche Stiftung oder einen 
   gleichwertigen Rechtsträger geführten Unternehmens bzw. 
   zugunsten der Begünstigten einer solchen Stiftung oder eines 
   gleichwertigen Rechtsträgers</t>
  </si>
  <si>
    <t>Schenkungen, darunter Geschenke und Spenden aller Art</t>
  </si>
  <si>
    <t>Auswirkungen des Konflikts in Osteuropa auf die Finanzlage der Gesellschaft</t>
  </si>
  <si>
    <t>Die Geschäftsführung hat folgende Risiken und negative Konsequenzen für die Gesellschaft i.Z.m. der aktuellen Wirtschaftslage infolge des Konflikts im Osten Europas identifiziert:</t>
  </si>
  <si>
    <t>Der Vorstand hat folgende Risiken und negative Konsequenzen für die Gesellschaft i.Z.m. der aktuellen Wirtschaftslage infolge des Konflikts im Osten Europas identifiziert:</t>
  </si>
  <si>
    <t>Beschränkung des Absatzmarktes (Osteuropa) und Änderungen der Stimmung und Präferenzen der gegenwärtigen Geschäftspartner und Verbraucher</t>
  </si>
  <si>
    <t>Anstieg der Aufwendungen der betrieblichen Tätigkeit, der unmittelbar auf einen wesentlichen Anstieg der Inflationsrate, darunter insbesondere der Strompreise, zurückzuführen ist</t>
  </si>
  <si>
    <t>Die Schwächung der polnischen Währung und Währungskursschwankungen hatten den Anstieg anderer Finanzaufwendungen (realisierter Kursverluste und Kursdifferenzen aus der Bilanzbewertung) zur Folge</t>
  </si>
  <si>
    <t>Der Anstieg der Zinssätze hatte unmittelbaren Einfluss auf den Anstieg der Kosten für die Finanzierung der Tätigkeit der Gesellschaft (berechnete und gezahlte Zinsen auf aufgenommene Kredite)</t>
  </si>
  <si>
    <t>Erschwernisse bei Lieferungen von Rohstoffen, die zu vorübergehenden Verzögerungen bei der Abwicklung von Bestellungen führen</t>
  </si>
  <si>
    <t>Ergriffene Maßnahmen zur Einschränkung der Folgen der Krise in Osteuropa und deren Einfluss auf die Finanzangaben für das laufende Geschäftsjahr:</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</si>
  <si>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der Geschäftsführung zu entnehmen.</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</si>
  <si>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</si>
  <si>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</si>
  <si>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des Vorstands zu entnehmen.</t>
  </si>
  <si>
    <t>TAK</t>
  </si>
  <si>
    <t>z dnia</t>
  </si>
  <si>
    <t>252/A/NBP/2022</t>
  </si>
  <si>
    <t>Bieżący rok obrotowy jest pierwszym rokiem działalności spółki, dlatego brak w sprawozdaniu finansowym danych za okres porównawczy.</t>
  </si>
  <si>
    <t>Wynik finansowy jednostki ustalany jest zgodnie z przepisami rozdziału 4 UoR.</t>
  </si>
  <si>
    <r>
      <t>Das Jahresergebnis der Gesellschaft wurde gemäß Kapit</t>
    </r>
    <r>
      <rPr>
        <sz val="10"/>
        <color theme="1"/>
        <rFont val="Arial"/>
        <family val="2"/>
        <charset val="238"/>
      </rPr>
      <t>el 4 RLG-PL</t>
    </r>
    <r>
      <rPr>
        <sz val="10"/>
        <rFont val="Arial"/>
        <family val="2"/>
      </rPr>
      <t xml:space="preserve"> ermittelt.</t>
    </r>
  </si>
  <si>
    <t>The Company's net profit (loss) is determined according to Article 4 of the Accounting Act.</t>
  </si>
  <si>
    <t>Sprawozdanie finansowe spółki sporządzone zostało zgodnie z przepisami UoR.</t>
  </si>
  <si>
    <t>Der Jahresabschluss der Gesellschaft wurde gemäß dem RLG-PL erstellt.</t>
  </si>
  <si>
    <t>The Company's financial statements have been prepared in complianace with the provisions of the Accounting Act.</t>
  </si>
  <si>
    <t>Ze względu na pierwszy rok działalności spółka nie osiągnęła w roku obrotowym przychodów ze sprzedaży.</t>
  </si>
  <si>
    <t>Spółka nie wytworzyła w bieżącym roku obrotowym produktów na własne potrzeby.</t>
  </si>
  <si>
    <t>Die Gesellschaft hat keine Eigenleistungen im laufenden Geschäftsjahr erbracht.</t>
  </si>
  <si>
    <t>The Company manufactured no finished goods for its own purposes in the reporting year.</t>
  </si>
  <si>
    <t>Spółka nie dokonywała odpisów aktualizujących środki trwałe w bieżącym roku obrotowym.</t>
  </si>
  <si>
    <t>Die Gesellschaft nahm in diesem Geschäftsjahr keine Wertberichtigungen auf Sachanlagen vor.</t>
  </si>
  <si>
    <t>The Company made no value adjustment write-downs of tangible assets in the current financial year.</t>
  </si>
  <si>
    <t>Spółka nie dokonywała odpisów aktualizujących zapasy w bieżącym roku obrotowym.</t>
  </si>
  <si>
    <t>Die Gesellschaft nahm in diesem Geschäftsjahr keine Wertberichtigungen auf Vorräte vor.</t>
  </si>
  <si>
    <t>The Company made no value adjustment write-downs of inventoriesin the current financial year.</t>
  </si>
  <si>
    <t>Spółka korzysta z uproszczeń i nie kalkuluje podatku odroczonego. Pozycja nie wystąpiła w bieżącym roku obrotowym.</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</si>
  <si>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im laufenden Geschäftsjahr nicht ausgewiesen.</t>
    </r>
  </si>
  <si>
    <t>The Company follows simplified procedures and does not calculate deferred tax. There was no such item in the reporting year.</t>
  </si>
  <si>
    <t>W bieżącym roku obrotowym nie wystąpiły takie umowy.</t>
  </si>
  <si>
    <t>Solche Verträge wurden im laufenden Geschäftsjahr nicht geschlossen.</t>
  </si>
  <si>
    <t>There were no such agreements in the current financial year.</t>
  </si>
  <si>
    <t>Warunki transakcji zawieranych przez Spółkę ze stronami powiązanymi nie odbiegały od warunków rynkowych.</t>
  </si>
  <si>
    <t>Die Konditionen der Geschäfte, die von der Gesellschaft mit verbundenen Parteien abgeschlossen wurden, wichen von den marktüblichen Konditionen ab.</t>
  </si>
  <si>
    <t>Terms of the transactions made by the Company with related parties did not differ from the market terms.</t>
  </si>
  <si>
    <t>Spółka nie wypłacała w bieżącym roku obrotowym wynagrodzeń członkom organów zarządzających i nadzorujących.</t>
  </si>
  <si>
    <t>Die Gesellschaft zahlte im laufenden Geschäftsjahr keineVergütungen an Personen, die den Leitungs- oder Aufsichtsorganen angehören.</t>
  </si>
  <si>
    <t>The Company paid no remuneration to members of management and supervisory bodies in the current financial year.</t>
  </si>
  <si>
    <t>Spółka nie wypłacała w bieżącym roku obrotowym w/w świadczeń członkom organów zarządzających i nadzorujących.</t>
  </si>
  <si>
    <t>Die Gesellschaft zahlte im laufenden Geschäftsjahr keine o.g. Vergütungen an Personen, die den Leitungs- oder Aufsichtsorganen angehören.</t>
  </si>
  <si>
    <t>The Company paid no such benefits to members of management and supervisory bodies in the current financial year.</t>
  </si>
  <si>
    <t>Spółka nie korzystała z usług firmy audytorskiej.</t>
  </si>
  <si>
    <t>Die Gesellschaft hat die Dienstleistungen einer Wirtschaftsprüfungsgesellschaft nicht in Anspruch genommen.</t>
  </si>
  <si>
    <t>The Company did not use the services of an audit firm.</t>
  </si>
  <si>
    <t>do 1 roku 
(do spłaty w kolejnym roku obrotowym)</t>
  </si>
  <si>
    <t>up to 1 year
(to be repaid in the following financial year)</t>
  </si>
  <si>
    <t>nota 11</t>
  </si>
  <si>
    <t>Aktywa z tytułu niezakończonych umów długoterminowych</t>
  </si>
  <si>
    <t>Rozliczenia międzyokresowe umów długoterminowych</t>
  </si>
  <si>
    <t>Umowy długoterminowe ogółem</t>
  </si>
  <si>
    <t xml:space="preserve"> - w tym umowy niezakończone łącznie</t>
  </si>
  <si>
    <t xml:space="preserve"> - w tym umowy niezakończone, gdzie przychody ustalane są metodą zysku zerowego</t>
  </si>
  <si>
    <t>Koszty ujęte w RZiS</t>
  </si>
  <si>
    <t>Koszty faktycznie poniesione</t>
  </si>
  <si>
    <t>Przychody zafakturowane</t>
  </si>
  <si>
    <t>Przychody ustalone zgodnie ze stosowaną metodą wyceny</t>
  </si>
  <si>
    <t xml:space="preserve">1. Czynne rozliczenia międzyokresowe kosztów </t>
  </si>
  <si>
    <t>2. Należności niezafakturowane</t>
  </si>
  <si>
    <t>1. Bierne rozliczenia międzyokresowe kosztów</t>
  </si>
  <si>
    <t>2. Rozliczenia międzyokresowe przychodów</t>
  </si>
  <si>
    <t>Kwota przewidywanych strat z realizowanych umów długoterminowych niezakończonych na dzień bilansowy, ujętych w RZiS</t>
  </si>
  <si>
    <t>Wysokość kosztów, których pokrycie przez inwestora nie jest prawdopodobne</t>
  </si>
  <si>
    <t>Wartość sum zatrzymanych przez inwestorów jako gwarancje należytego wykonania usługi</t>
  </si>
  <si>
    <t>Rezerwa na straty</t>
  </si>
  <si>
    <r>
      <t>SPRAWOZDANIE FINANSOWE</t>
    </r>
    <r>
      <rPr>
        <sz val="10"/>
        <color rgb="FFFF0000"/>
        <rFont val="Frutiger CE 45 Light"/>
        <charset val="238"/>
      </rPr>
      <t xml:space="preserve"> ODDZIAŁU SPÓŁKI ZAGRANICZNEJ</t>
    </r>
    <r>
      <rPr>
        <sz val="10"/>
        <rFont val="Frutiger CE 45 Light"/>
        <charset val="238"/>
      </rPr>
      <t xml:space="preserve"> SPORZĄDZONE ZOSTAŁO W WYMAGANEJ PRZEZ USTAWĘ FORMIE ELEKTRONICZNEJ. </t>
    </r>
  </si>
  <si>
    <r>
      <t xml:space="preserve">Sprawozdanie finansowe zostało sporządzone przy założeniu kontynuowania działalności gospodarczej przez </t>
    </r>
    <r>
      <rPr>
        <sz val="10"/>
        <color rgb="FFFF0000"/>
        <rFont val="Arial"/>
        <family val="2"/>
        <charset val="238"/>
      </rPr>
      <t>Oddział.</t>
    </r>
    <r>
      <rPr>
        <sz val="10"/>
        <rFont val="Arial"/>
        <family val="2"/>
      </rPr>
      <t xml:space="preserve">  </t>
    </r>
  </si>
  <si>
    <r>
      <t xml:space="preserve">Sprawozdanie finansowe zostało sporządzone przy braku założenia kontynuowania działalności gospodarczej przez </t>
    </r>
    <r>
      <rPr>
        <sz val="10"/>
        <color rgb="FFFF0000"/>
        <rFont val="Arial"/>
        <family val="2"/>
        <charset val="238"/>
      </rPr>
      <t>Oddział</t>
    </r>
    <r>
      <rPr>
        <sz val="10"/>
        <rFont val="Arial"/>
        <family val="2"/>
      </rPr>
      <t xml:space="preserve">.  </t>
    </r>
  </si>
  <si>
    <r>
      <t xml:space="preserve">Nie istnieją żadne okoliczności wskazujące na zagrożenie dla kontynuowania działalności przez </t>
    </r>
    <r>
      <rPr>
        <sz val="10"/>
        <color rgb="FFFF0000"/>
        <rFont val="Arial"/>
        <family val="2"/>
        <charset val="238"/>
      </rPr>
      <t>Oddział.</t>
    </r>
  </si>
  <si>
    <r>
      <rPr>
        <sz val="10"/>
        <color rgb="FFFF0000"/>
        <rFont val="Arial"/>
        <family val="2"/>
        <charset val="238"/>
      </rPr>
      <t>Oddział</t>
    </r>
    <r>
      <rPr>
        <sz val="10"/>
        <rFont val="Arial"/>
        <family val="2"/>
      </rPr>
      <t xml:space="preserve"> stosuje następujące roczne stawki amortyzacyjne: </t>
    </r>
  </si>
  <si>
    <r>
      <t xml:space="preserve">Zgodnie z uproszczeniem wynikającym z Art. 3 ust. 6 UoR </t>
    </r>
    <r>
      <rPr>
        <sz val="10"/>
        <color rgb="FFFF0000"/>
        <rFont val="Arial"/>
        <family val="2"/>
        <charset val="238"/>
      </rPr>
      <t>Oddział</t>
    </r>
    <r>
      <rPr>
        <sz val="10"/>
        <rFont val="Arial"/>
        <family val="2"/>
      </rPr>
      <t xml:space="preserve">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r>
  </si>
  <si>
    <r>
      <rPr>
        <sz val="10"/>
        <color rgb="FFFF0000"/>
        <rFont val="Arial"/>
        <family val="2"/>
        <charset val="238"/>
      </rPr>
      <t>Oddział</t>
    </r>
    <r>
      <rPr>
        <sz val="10"/>
        <rFont val="Arial"/>
        <family val="2"/>
      </rPr>
      <t xml:space="preserve"> kwalifikuje umowy leasingowe oraz inne umowy o podobnym charakterze zgodnie z art. 3 ust. 4-5 UoR i nie korzysta z uproszczeń.</t>
    </r>
  </si>
  <si>
    <r>
      <t xml:space="preserve">O przydatności lub cechach użytkowych zapasów materiałów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</si>
  <si>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t xml:space="preserve">O przydatności lub cechach użytkowych zapasów towarów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</si>
  <si>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rPr>
        <sz val="10"/>
        <color rgb="FFFF0000"/>
        <rFont val="Arial"/>
        <family val="2"/>
        <charset val="238"/>
      </rPr>
      <t>Oddział</t>
    </r>
    <r>
      <rPr>
        <sz val="10"/>
        <rFont val="Arial"/>
        <family val="2"/>
      </rPr>
      <t xml:space="preserve"> ustala koszt wytworzenia produktów poprzez doliczenie do kosztów bezpośrednich uzasadnionych kosztów pośrednich związanych z wytworzeniem tego produktu, niezależnie od poziomu wykorzystania zdolności produkcyjnych. </t>
    </r>
  </si>
  <si>
    <r>
      <t xml:space="preserve">O przydatności lub cechach użytkowych zapasów produktów w celu ustalenia konieczności dokonania (lub nie) odpisów aktualizujących decyduje każdorazowo kierownik </t>
    </r>
    <r>
      <rPr>
        <sz val="10"/>
        <color rgb="FFFF0000"/>
        <rFont val="Arial"/>
        <family val="2"/>
        <charset val="238"/>
      </rPr>
      <t>jednostki</t>
    </r>
    <r>
      <rPr>
        <sz val="10"/>
        <rFont val="Arial"/>
        <family val="2"/>
      </rPr>
      <t xml:space="preserve"> podczas inwentaryzacji rocznej.</t>
    </r>
  </si>
  <si>
    <r>
      <rPr>
        <sz val="10"/>
        <color rgb="FFFF0000"/>
        <rFont val="Arial"/>
        <family val="2"/>
        <charset val="238"/>
      </rPr>
      <t xml:space="preserve">Oddział </t>
    </r>
    <r>
      <rPr>
        <sz val="10"/>
        <rFont val="Arial"/>
        <family val="2"/>
      </rPr>
      <t xml:space="preserve">dokonuje czynnych rozliczeń międzyokresowych kosztów, jeżeli dotyczą one przyszłych okresów sprawozdawczych. </t>
    </r>
  </si>
  <si>
    <r>
      <t xml:space="preserve">Zgodnie z uproszczeniem wynikającym z Art. 37 ust 10 UoR </t>
    </r>
    <r>
      <rPr>
        <sz val="10"/>
        <color rgb="FFFF0000"/>
        <rFont val="Arial"/>
        <family val="2"/>
        <charset val="238"/>
      </rPr>
      <t>odstąpiono</t>
    </r>
    <r>
      <rPr>
        <sz val="10"/>
        <rFont val="Arial"/>
        <family val="2"/>
      </rPr>
      <t xml:space="preserve"> od ustalania aktywów i rezerw z tytułu odroczonego podatku dochodowego.  </t>
    </r>
  </si>
  <si>
    <r>
      <rPr>
        <sz val="10"/>
        <color rgb="FFFF0000"/>
        <rFont val="Arial"/>
        <family val="2"/>
        <charset val="238"/>
      </rPr>
      <t>Oddział</t>
    </r>
    <r>
      <rPr>
        <sz val="10"/>
        <rFont val="Arial"/>
        <family val="2"/>
      </rPr>
      <t xml:space="preserve"> stosuje uproszczenia wynikające z art. 28b ust. 1 UoR i w związku z tym nie stosuje przepisów Rozporządzenia Ministra Finansów z dnia 12 grudnia 2001 r. w sprawie szczegółowych zasad uznawania, metod wyceny, zakresu ujawniania i sposobu prezentacji instrumentów finansowych.</t>
    </r>
  </si>
  <si>
    <r>
      <rPr>
        <sz val="10"/>
        <color rgb="FFFF0000"/>
        <rFont val="Arial"/>
        <family val="2"/>
        <charset val="238"/>
      </rPr>
      <t>Oddział</t>
    </r>
    <r>
      <rPr>
        <sz val="10"/>
        <rFont val="Arial"/>
        <family val="2"/>
      </rPr>
      <t xml:space="preserve"> stosuje przepisy Rozporządzenia Ministra Finansów z dnia 12 grudnia 2001 r. w sprawie szczegółowych zasad uznawania, metod wyceny, zakresu ujawniania i sposobu prezentacji instrumentów finansowych.</t>
    </r>
  </si>
  <si>
    <r>
      <t xml:space="preserve">Sprawozdanie finansowe </t>
    </r>
    <r>
      <rPr>
        <sz val="10"/>
        <color rgb="FFFF0000"/>
        <rFont val="Arial"/>
        <family val="2"/>
        <charset val="238"/>
      </rPr>
      <t>Oddziału</t>
    </r>
    <r>
      <rPr>
        <sz val="10"/>
        <rFont val="Arial"/>
        <family val="2"/>
      </rPr>
      <t xml:space="preserve"> sporządzone zostało zgodnie z przepisami UoR oraz wprowadzoną przez kierownika jednostki polityką rachunkowości.</t>
    </r>
  </si>
  <si>
    <r>
      <t xml:space="preserve">Sprawozdanie finansowe </t>
    </r>
    <r>
      <rPr>
        <sz val="10"/>
        <color rgb="FFFF0000"/>
        <rFont val="Arial"/>
        <family val="2"/>
        <charset val="238"/>
      </rPr>
      <t>Oddziału</t>
    </r>
    <r>
      <rPr>
        <sz val="10"/>
        <rFont val="Arial"/>
        <family val="2"/>
      </rPr>
      <t xml:space="preserve"> sporządzone zostało zgodnie z przepisami UoR.</t>
    </r>
  </si>
  <si>
    <r>
      <rPr>
        <sz val="10"/>
        <color rgb="FFFF0000"/>
        <rFont val="Arial"/>
        <family val="2"/>
        <charset val="238"/>
      </rPr>
      <t>Oddział</t>
    </r>
    <r>
      <rPr>
        <sz val="10"/>
        <rFont val="Arial"/>
        <family val="2"/>
      </rPr>
      <t xml:space="preserve"> sporządza rachunek zysków i strat w wersji porównawczej.</t>
    </r>
  </si>
  <si>
    <r>
      <rPr>
        <sz val="10"/>
        <color rgb="FFFF0000"/>
        <rFont val="Arial"/>
        <family val="2"/>
        <charset val="238"/>
      </rPr>
      <t>Oddział</t>
    </r>
    <r>
      <rPr>
        <sz val="10"/>
        <rFont val="Arial"/>
        <family val="2"/>
      </rPr>
      <t xml:space="preserve"> sporządza rachunek zysków i strat w wersji kalkulacyjnej.</t>
    </r>
  </si>
  <si>
    <t>Bieżący rok obrotowy jest pierwszym rokiem działalności Oddziału, dlatego brak w sprawozdaniu finansowym danych za okres porównawczy.</t>
  </si>
  <si>
    <r>
      <rPr>
        <sz val="10"/>
        <color rgb="FFFF0000"/>
        <rFont val="Arial"/>
        <family val="2"/>
        <charset val="238"/>
      </rPr>
      <t>Oddział</t>
    </r>
    <r>
      <rPr>
        <sz val="10"/>
        <rFont val="Arial"/>
        <family val="2"/>
      </rPr>
      <t xml:space="preserve"> nie użytkuje wieczyście gruntów.</t>
    </r>
  </si>
  <si>
    <r>
      <rPr>
        <sz val="10"/>
        <color rgb="FFFF0000"/>
        <rFont val="Arial"/>
        <family val="2"/>
        <charset val="238"/>
      </rPr>
      <t>Oddział</t>
    </r>
    <r>
      <rPr>
        <sz val="10"/>
        <rFont val="Arial"/>
        <family val="2"/>
      </rPr>
      <t xml:space="preserve"> nie posiada nieamortyzowanych środków trwałych, używanych na podstawie umów najmu, dzierżawy  lub umów o podobnym charakterze. </t>
    </r>
  </si>
  <si>
    <t>Nie dotyczy, jednostka jest oddziałem zagranicznego podmiotu i nie posiada wydzielonego kapitału podstawowego.</t>
  </si>
  <si>
    <r>
      <rPr>
        <sz val="10"/>
        <color rgb="FFFF0000"/>
        <rFont val="Arial"/>
        <family val="2"/>
        <charset val="238"/>
      </rPr>
      <t>Oddział</t>
    </r>
    <r>
      <rPr>
        <sz val="10"/>
        <rFont val="Arial"/>
        <family val="2"/>
      </rPr>
      <t xml:space="preserve"> nie posiada zobowiązań zabezpieczonych na majątku.</t>
    </r>
  </si>
  <si>
    <r>
      <rPr>
        <sz val="10"/>
        <color rgb="FFFF0000"/>
        <rFont val="Arial"/>
        <family val="2"/>
        <charset val="238"/>
      </rPr>
      <t xml:space="preserve">Oddział </t>
    </r>
    <r>
      <rPr>
        <sz val="10"/>
        <rFont val="Arial"/>
        <family val="2"/>
      </rPr>
      <t>na dzień bilansowy nie posiada zobowiązań warunkowych.</t>
    </r>
  </si>
  <si>
    <r>
      <rPr>
        <sz val="10"/>
        <color rgb="FFFF0000"/>
        <rFont val="Arial"/>
        <family val="2"/>
        <charset val="238"/>
      </rPr>
      <t>Oddział</t>
    </r>
    <r>
      <rPr>
        <sz val="10"/>
        <rFont val="Arial"/>
        <family val="2"/>
      </rPr>
      <t xml:space="preserve"> nie posiada na dzień bilansowy środków pieniężnych zgromadzonych na rachunku VAT.</t>
    </r>
  </si>
  <si>
    <t>Ze względu na pierwszy rok działalności Oddział nie osiągnął w roku obrotowym przychodów ze sprzedaży.</t>
  </si>
  <si>
    <r>
      <rPr>
        <sz val="10"/>
        <color rgb="FFFF0000"/>
        <rFont val="Arial"/>
        <family val="2"/>
        <charset val="238"/>
      </rPr>
      <t>Oddział</t>
    </r>
    <r>
      <rPr>
        <sz val="10"/>
        <rFont val="Arial"/>
        <family val="2"/>
      </rPr>
      <t xml:space="preserve"> sporządza rachunek zysków i strat w wariancie porównawczym.</t>
    </r>
  </si>
  <si>
    <r>
      <rPr>
        <sz val="10"/>
        <color rgb="FFFF0000"/>
        <rFont val="Arial"/>
        <family val="2"/>
        <charset val="238"/>
      </rPr>
      <t>Oddział</t>
    </r>
    <r>
      <rPr>
        <sz val="10"/>
        <rFont val="Arial"/>
        <family val="2"/>
      </rPr>
      <t xml:space="preserve"> nie wytworzyła produktów na własne potrzeby, zarówno w bieżącym roku obrotowym jak i w roku poprzednim.</t>
    </r>
  </si>
  <si>
    <r>
      <rPr>
        <sz val="10"/>
        <color rgb="FFFF0000"/>
        <rFont val="Arial"/>
        <family val="2"/>
        <charset val="238"/>
      </rPr>
      <t>Oddzia</t>
    </r>
    <r>
      <rPr>
        <sz val="10"/>
        <rFont val="Arial"/>
        <family val="2"/>
      </rPr>
      <t>ł nie wytworzył w bieżącym roku obrotowym produktów na własne potrzeby.</t>
    </r>
  </si>
  <si>
    <r>
      <rPr>
        <sz val="10"/>
        <color rgb="FFFF0000"/>
        <rFont val="Arial"/>
        <family val="2"/>
        <charset val="238"/>
      </rPr>
      <t>Oddział</t>
    </r>
    <r>
      <rPr>
        <sz val="10"/>
        <rFont val="Arial"/>
        <family val="2"/>
      </rPr>
      <t xml:space="preserve"> nie dokonywał odpisów aktualizujących środki trwałe zarówno w bieżącym roku obrotowym, jak i w roku poprzednim.</t>
    </r>
  </si>
  <si>
    <t>Oddział nie dokonywał odpisów aktualizujących środki trwałe w bieżącym roku obrotowym.</t>
  </si>
  <si>
    <r>
      <rPr>
        <sz val="10"/>
        <color rgb="FFFF0000"/>
        <rFont val="Arial"/>
        <family val="2"/>
        <charset val="238"/>
      </rPr>
      <t>Oddzia</t>
    </r>
    <r>
      <rPr>
        <sz val="10"/>
        <rFont val="Arial"/>
        <family val="2"/>
      </rPr>
      <t>ł nie dokonywał odpisów aktualizujących zapasy zarówno w bieżącym roku obrotowym, jak i w roku poprzednim.</t>
    </r>
  </si>
  <si>
    <r>
      <rPr>
        <sz val="10"/>
        <color rgb="FFFF0000"/>
        <rFont val="Arial"/>
        <family val="2"/>
        <charset val="238"/>
      </rPr>
      <t>Oddział</t>
    </r>
    <r>
      <rPr>
        <sz val="10"/>
        <rFont val="Arial"/>
        <family val="2"/>
      </rPr>
      <t xml:space="preserve"> nie dokonywał odpisów aktualizujących zapasy w bieżącym roku obrotowym.</t>
    </r>
  </si>
  <si>
    <r>
      <rPr>
        <sz val="10"/>
        <color rgb="FFFF0000"/>
        <rFont val="Arial"/>
        <family val="2"/>
        <charset val="238"/>
      </rPr>
      <t>Oddział</t>
    </r>
    <r>
      <rPr>
        <sz val="10"/>
        <rFont val="Arial"/>
        <family val="2"/>
        <charset val="238"/>
      </rPr>
      <t xml:space="preserve"> korzysta z uproszczeń i nie kalkuluje podatku odroczonego. Pozycja nie wystąpiła zarówno w bieżącym roku obrotowym jak i w roku poprzednim.</t>
    </r>
  </si>
  <si>
    <r>
      <rPr>
        <sz val="10"/>
        <color rgb="FFFF0000"/>
        <rFont val="Arial"/>
        <family val="2"/>
        <charset val="238"/>
      </rPr>
      <t>Oddział</t>
    </r>
    <r>
      <rPr>
        <sz val="10"/>
        <rFont val="Arial"/>
        <family val="2"/>
        <charset val="238"/>
      </rPr>
      <t xml:space="preserve"> korzysta z uproszczeń i nie kalkuluje podatku odroczonego. Pozycja nie wystąpiła w bieżącym roku obrotowym.</t>
    </r>
  </si>
  <si>
    <r>
      <rPr>
        <sz val="10"/>
        <color rgb="FFFF0000"/>
        <rFont val="Arial"/>
        <family val="2"/>
        <charset val="238"/>
      </rPr>
      <t>Oddział</t>
    </r>
    <r>
      <rPr>
        <sz val="10"/>
        <rFont val="Arial"/>
        <family val="2"/>
      </rPr>
      <t xml:space="preserve"> nie ma obowiązku sporządzania rachunku przepływów pieniężnych.</t>
    </r>
  </si>
  <si>
    <t>Warunki transakcji zawieranych przez Oddział ze stronami powiązanymi w roku obrotowym, jak i w roku poprzednim, nie odbiegały od warunków rynkowych.</t>
  </si>
  <si>
    <t>Warunki transakcji zawieranych przez Oddział ze stronami powiązanymi nie odbiegały od warunków rynkowych.</t>
  </si>
  <si>
    <r>
      <rPr>
        <sz val="10"/>
        <color rgb="FFFF0000"/>
        <rFont val="Arial"/>
        <family val="2"/>
        <charset val="238"/>
      </rPr>
      <t>Oddział</t>
    </r>
    <r>
      <rPr>
        <sz val="10"/>
        <rFont val="Arial"/>
        <family val="2"/>
      </rPr>
      <t xml:space="preserve"> nie zatrudnia pracowników.</t>
    </r>
  </si>
  <si>
    <r>
      <rPr>
        <sz val="10"/>
        <color rgb="FFFF0000"/>
        <rFont val="Arial"/>
        <family val="2"/>
        <charset val="238"/>
      </rPr>
      <t>Oddzia</t>
    </r>
    <r>
      <rPr>
        <sz val="10"/>
        <rFont val="Arial"/>
        <family val="2"/>
      </rPr>
      <t>ł nie wypłacał wynagrodzeń członkom organów zarządzających i nadzorujących, zarówno w bieżącym roku obrotowym jak i w roku poprzednim.</t>
    </r>
  </si>
  <si>
    <r>
      <rPr>
        <sz val="10"/>
        <color rgb="FFFF0000"/>
        <rFont val="Arial"/>
        <family val="2"/>
        <charset val="238"/>
      </rPr>
      <t>Oddział</t>
    </r>
    <r>
      <rPr>
        <sz val="10"/>
        <rFont val="Arial"/>
        <family val="2"/>
      </rPr>
      <t xml:space="preserve"> nie wypłacał w bieżącym roku obrotowym wynagrodzeń członkom organów zarządzających i nadzorujących.</t>
    </r>
  </si>
  <si>
    <r>
      <rPr>
        <sz val="10"/>
        <color rgb="FFFF0000"/>
        <rFont val="Arial"/>
        <family val="2"/>
        <charset val="238"/>
      </rPr>
      <t>Oddział</t>
    </r>
    <r>
      <rPr>
        <sz val="10"/>
        <rFont val="Arial"/>
        <family val="2"/>
      </rPr>
      <t xml:space="preserve"> nie wypłacał w/w świadczeń członkom organów zarządzających i nadzorujących, zarówno w bieżącym roku obrotowym jak i w roku poprzednim.</t>
    </r>
  </si>
  <si>
    <t>Oddział nie wypłacał w bieżącym roku obrotowym w/w świadczeń członkom organów zarządzających i nadzorujących.</t>
  </si>
  <si>
    <r>
      <rPr>
        <sz val="10"/>
        <color rgb="FFFF0000"/>
        <rFont val="Arial"/>
        <family val="2"/>
        <charset val="238"/>
      </rPr>
      <t>Oddział</t>
    </r>
    <r>
      <rPr>
        <sz val="10"/>
        <rFont val="Arial"/>
        <family val="2"/>
      </rPr>
      <t xml:space="preserve"> nie korzystał z usług firmy audytorskiej.</t>
    </r>
  </si>
  <si>
    <r>
      <rPr>
        <sz val="10"/>
        <color rgb="FFFF0000"/>
        <rFont val="Arial"/>
        <family val="2"/>
        <charset val="238"/>
      </rPr>
      <t>Oddział</t>
    </r>
    <r>
      <rPr>
        <sz val="10"/>
        <rFont val="Arial"/>
        <family val="2"/>
      </rPr>
      <t xml:space="preserve"> nie korzystał z usług firmy audytorskiej, zarówno w bieżącym roku obrotowym jak i w roku poprzednim.</t>
    </r>
  </si>
  <si>
    <t>podaj nazwę jednostki macierzystej</t>
  </si>
  <si>
    <t>XYZ GmbH</t>
  </si>
  <si>
    <t>Mannheim</t>
  </si>
  <si>
    <t>Nie dotyczy, nie istnieją niepewności co do możliwości kontynuowania działalności przez Oddział.</t>
  </si>
  <si>
    <t>Oddział zastosował uproszczenia wynikające z art. 28b ust. 1 Ustawy o rachunkowości i nie stosuje przepisów w/w Rozporządzenia.</t>
  </si>
  <si>
    <t>punkty a) - do d) należy ukryć w przypadku, gdy w spółce nie wystąpiły aktywa finansowe</t>
  </si>
  <si>
    <t>Jeżeli wystąpiły, dodaj krótką charakterystykę</t>
  </si>
  <si>
    <t>Spółka nie nabyła w roku obrotowym akcji własnych.</t>
  </si>
  <si>
    <t>Die Gesellschaft hat im Geschäftsjahr keine eigenen Aktien erworben.</t>
  </si>
  <si>
    <t>Spółka nie nabyła w roku obrotowym udziałów własnych.</t>
  </si>
  <si>
    <t>Die Gesellschaft hat im Geschäftsjahr keine eigenen Anteile erworben.</t>
  </si>
  <si>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t>
    </r>
  </si>
  <si>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t>
    </r>
    <r>
      <rPr>
        <sz val="10"/>
        <color rgb="FFFF0000"/>
        <rFont val="Arial"/>
        <family val="2"/>
        <charset val="238"/>
      </rPr>
      <t>Oddział</t>
    </r>
    <r>
      <rPr>
        <sz val="10"/>
        <rFont val="Arial"/>
        <family val="2"/>
      </rPr>
      <t xml:space="preserve"> jest narażony. Zasady i procedury zarządzania ryzykiem podlegają regularnej weryfikacji, w celu uwzględnienia zmiany warunków rynkowych i zmian w działalności </t>
    </r>
    <r>
      <rPr>
        <sz val="10"/>
        <color rgb="FFFF0000"/>
        <rFont val="Arial"/>
        <family val="2"/>
        <charset val="238"/>
      </rPr>
      <t>Oddziału</t>
    </r>
    <r>
      <rPr>
        <sz val="10"/>
        <rFont val="Arial"/>
        <family val="2"/>
      </rPr>
      <t xml:space="preserve">. </t>
    </r>
  </si>
  <si>
    <r>
      <rPr>
        <sz val="10"/>
        <color rgb="FFFF0000"/>
        <rFont val="Arial"/>
        <family val="2"/>
        <charset val="238"/>
      </rPr>
      <t>Oddział</t>
    </r>
    <r>
      <rPr>
        <sz val="10"/>
        <rFont val="Arial"/>
        <family val="2"/>
      </rPr>
      <t xml:space="preserve"> nie stosuje rachunkowości zabezpieczeń.</t>
    </r>
  </si>
  <si>
    <r>
      <t xml:space="preserve">Działalność </t>
    </r>
    <r>
      <rPr>
        <sz val="10"/>
        <color rgb="FFFF0000"/>
        <rFont val="Arial"/>
        <family val="2"/>
        <charset val="238"/>
      </rPr>
      <t>Oddziału</t>
    </r>
    <r>
      <rPr>
        <sz val="10"/>
        <rFont val="Arial"/>
        <family val="2"/>
      </rPr>
      <t xml:space="preserve"> narażona jest na następujące rodzaje ryzyka wynikające z posiadania instrumentów finansowych:</t>
    </r>
  </si>
  <si>
    <t>Działalność Oddziału narażona jest na ryzyko walutowe w związku z:</t>
  </si>
  <si>
    <t xml:space="preserve">Oddział minimalizuje ryzyko walutowe poprzez: </t>
  </si>
  <si>
    <t>Na ryzyko stóp procentowych Oddział narażony jest w związku z:</t>
  </si>
  <si>
    <t xml:space="preserve">Pozycje oprocentowane według zmiennej stopy narażają Oddział na ryzyko zmiany przepływów pieniężnych w wyniku zmiany stóp procentowych i w związku z tym wpływają na wysokość kosztów lub przychodów odsetkowych ujmowanych w wyniku finansowym. </t>
  </si>
  <si>
    <t>Oddział minimalizuje ryzyko stopy procentowej poprzez odpowiednie ukształtowanie struktury aktywów i pasywów o zmiennej i stałej stopie procentowej.</t>
  </si>
  <si>
    <t>Oddział narażony jest na ryzyko kredytowe w związku z ewentualną niewypłacalnością swoich dłużników. Zarząd ogranicza to ryzyko poprzez:</t>
  </si>
  <si>
    <t>Oddział użytkuje majątek trwały na podstawie umów najmu oraz umów leasingu operacyjnego. Łączna kwota przyszłych zobowiązań wynikających z zawartych umów najmu i leasingu, nieujętych w księgach, prezentuje poniższa tabela.</t>
  </si>
  <si>
    <t>metoda wyceny inwestycji</t>
  </si>
  <si>
    <t xml:space="preserve">Inwestycje długoterminowe na dzień bilansowy wyceniane są według ceny nabycia, pomniejszonej o odpisy spowodowane trwałą utratą wartości. </t>
  </si>
  <si>
    <t xml:space="preserve">Inwestycje długoterminowe na dzień bilansowy wyceniane są według wartości godziwej. </t>
  </si>
  <si>
    <t xml:space="preserve">Langfristige Investitionen werden zum Bilanzstichtag zu Anschaffungskosten, vermindert um Abschreibungen aus der dauerhaften Wertminderung bewertet. </t>
  </si>
  <si>
    <t xml:space="preserve">Langfristige Investitionen werden zum Bilanzstichtag zum beizulegenden Zeitwert bewertet. </t>
  </si>
  <si>
    <t xml:space="preserve">Non-current investments as of the balance sheet date are measured at fair value. </t>
  </si>
  <si>
    <t xml:space="preserve">Non-current investments as of the balance sheet date are measured at acquisition cost less impairment loss. </t>
  </si>
  <si>
    <t>Zarząd Spółki zidentyfikował okoliczności, które mogą powodować niepewność co do zdolności Jednostki do kontynuowania działalności, ale w wyniku ich oceny ustalił, że niepewność ta nie jest znacząca. Szczegóły w/w okoliczności opisano w pkt. 8 Wprowadzenia oraz w pkt. 9 Dodatkowych informacji i objaśnień.</t>
  </si>
  <si>
    <t>Zarząd Spółki zidentyfikował okoliczności, które mogą powodować niepewność co do zdolności Jednostki do kontynuowania działalności,"&amp;" ale w wyniku ich oceny ustalił, że niepewność ta nie jest znacząca. Szczegóły w/w okoliczności opisano w pkt. 8 Wprowadzenia.</t>
  </si>
  <si>
    <t>rodzaj opisu</t>
  </si>
  <si>
    <t>Inne krótkoterminowe rozliczenia międzyokresowe</t>
  </si>
  <si>
    <t xml:space="preserve">   eines Trusts oder eines anderen Rechtsträgers oder eines Treuhandverhältnisses</t>
  </si>
  <si>
    <t>Das laufende Geschäftsjahr ist das erste Jahr der Tätigkeit der Gesellschaft, daher enthält der Jahresabschluss keine Angaben für den Vergleichszeitraum.</t>
  </si>
  <si>
    <t>Das laufende Geschäftsjahr ist das erste Jahr der Tätigkeit der Niederlassung, daher enthält der Jahresabschluss keine Angaben für den Vergleichszeitraum.</t>
  </si>
  <si>
    <t>Trifft nicht zu, die Gesellschaft ist eine Niederlassung eines ausländischen Unternehmens und verfügt nicht über ausgesondertes gezeichnetes Kapital.</t>
  </si>
  <si>
    <t>Da es sich um das erste Geschäftsjahr handelt, hat die Gesellschaft im Geschäftsjahr keine Umsatzerlöse erzielt.</t>
  </si>
  <si>
    <t>Aktiva aus nicht beendeten langfristigen Verträgen</t>
  </si>
  <si>
    <t>Rechnungsabgrenzung der langfristigen Verträge</t>
  </si>
  <si>
    <t>Ergänzende Informationen zu den Folgen der Bewertung der langfristigen Verträge, die bis zum 31.12.2023 nicht beendet wurden.</t>
  </si>
  <si>
    <t>Langfristige Verträge insgesamt</t>
  </si>
  <si>
    <t xml:space="preserve"> - einschließlich nicht beendeter Verträge insgesamt</t>
  </si>
  <si>
    <t xml:space="preserve"> - einschließlich noch nicht beendeter Verträge, die nach der Null-Gewinn-Methode ermittelt wurden</t>
  </si>
  <si>
    <t>Aufwendungen, in GuV erfasst</t>
  </si>
  <si>
    <t>Aufwendungen, tatsächlich getragen</t>
  </si>
  <si>
    <t>Rückstellung für Verluste</t>
  </si>
  <si>
    <t>Erträge, in Rechnung gestellt</t>
  </si>
  <si>
    <t>Gemäß der angewandten Bewertungsmethode ermittelte Erträge</t>
  </si>
  <si>
    <t xml:space="preserve">1. Aktive Aufwandsabgrenzung </t>
  </si>
  <si>
    <t>2. Forderungen, nicht in Rechnung gestellt</t>
  </si>
  <si>
    <t>1. Passive Aufwandsabgrenzung</t>
  </si>
  <si>
    <t>2. Ertragsabgrenzung</t>
  </si>
  <si>
    <t>Betrag der voraussichtlichen Verluste aus zum Bilanzstichtag nicht beendeten langfristigen Verträgen, in der GuV erfasst</t>
  </si>
  <si>
    <t>Aufwendungen, die wahrscheinlich nicht von dem Investor übernommen werden</t>
  </si>
  <si>
    <t>Gesamtbeträge, einbehalten von den Investoren als Garantie für die ordnungsgemäße Erbringung der Dienstleistung</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</si>
  <si>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beschrieben.</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</si>
  <si>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und in Pkt. 9 des Anhangs beschrieben.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</si>
  <si>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</si>
  <si>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 and item 9 of the Appendix and explanatory notes.</t>
  </si>
  <si>
    <t>The current financial year is the company’s first year of operations. That is why the financial statements do not include data for the comparative period.</t>
  </si>
  <si>
    <t>The current financial year is the Branch Office’s first year of operations. That is why the financial statements do not include data for the comparative period.</t>
  </si>
  <si>
    <t xml:space="preserve">THE BRANCH OFFICE'S FINANCIAL STATEMENTS HAVE BEEN PREPARED IN ELECTRONIC FORMAT, AS PRESCRIBED BY THE ACT. </t>
  </si>
  <si>
    <t>Not applicable; the entity is a branch office of a foreign enterprise and has no separate share capital.</t>
  </si>
  <si>
    <t>The company earned no sales revenues in the financial year because it was its first year of operations.</t>
  </si>
  <si>
    <t>The branch office earned no sales revenues in the financial year because it was its first year of operations.</t>
  </si>
  <si>
    <t>Assets on account of uncompleted long-term contracts</t>
  </si>
  <si>
    <t>Prepayments and accruals related to long-term contracts</t>
  </si>
  <si>
    <t>Additional information about implications of the valuation of long-term contracts unfinished as of 31/12/2023</t>
  </si>
  <si>
    <t>Long-term contracts total</t>
  </si>
  <si>
    <t xml:space="preserve"> - including total of uncompleted</t>
  </si>
  <si>
    <t xml:space="preserve"> - including uncompleted for which revenues are calculated using the zero risk method</t>
  </si>
  <si>
    <t>Costs disclosed in income statement</t>
  </si>
  <si>
    <t>Costs actually incurred</t>
  </si>
  <si>
    <t>Provision for losses</t>
  </si>
  <si>
    <t>Invoiced revenues</t>
  </si>
  <si>
    <t>Revenues calculated in accordance with the adopted valuation method</t>
  </si>
  <si>
    <t xml:space="preserve">1. Prepaid expenses </t>
  </si>
  <si>
    <t>2. Non-invoiced receivables</t>
  </si>
  <si>
    <t>1. Accrued expenses</t>
  </si>
  <si>
    <t>2. Deferred revenues</t>
  </si>
  <si>
    <t>Value of anticipated losses on long-term contracts unfinished as of the balance sheet date, recognised in income statement</t>
  </si>
  <si>
    <t>Amount of costs unlikely to be covered by the investor</t>
  </si>
  <si>
    <t>Value of amounts kept by investors as performance guarantees</t>
  </si>
  <si>
    <t>metoda amortyzacji</t>
  </si>
  <si>
    <t>liniowa</t>
  </si>
  <si>
    <t>KURSY BILANSOWE</t>
  </si>
  <si>
    <t>tabela kursów</t>
  </si>
  <si>
    <t>USD</t>
  </si>
  <si>
    <t>,</t>
  </si>
  <si>
    <t>Buildings, premises, rights to premises, and civil engineering structures - 2,5% - 10%</t>
  </si>
  <si>
    <t>Informacje o dochodach z tytułu ukrytych zysków w rozumieniu art. 28m ust. 1 pkt 2 ustawy z dnia 15.02.1992 r. o podatku dochodowym od osób prawnych - w przypadku spółek opodatkowanych ryczałtem od dochodów spółek</t>
  </si>
  <si>
    <t>Information über Einkünfte aus verdeckten Gewinnen im Sinne von Art. 28m Abs. 1 Pkt. 2 des Körperschaftsteuergesetzes vom 15.02.1992 – bei Gesellschaften, die mit der Pauschalsteuer auf die Einkünfte besteuert werden</t>
  </si>
  <si>
    <t>Information about income from hidden profits in the meaning of Article 28m(1)(2) of the (Polish) Corporate Income Tax Act of 15.02.1992 – in the case of companies subject to flat tax on net income, payable upon income disbursement</t>
  </si>
  <si>
    <t>wersja pliku</t>
  </si>
  <si>
    <t>skoryguj gdy planowana jest wypłata dywidendy</t>
  </si>
  <si>
    <t>Nie dotyczy, bieżący rok obrotowy jest pierwszym rokiem działalności spółki.</t>
  </si>
  <si>
    <t>Trifft nicht zu, das laufende Geschäftsjahr ist das erste Jahr der Tätigkeit der Gesellschaft.</t>
  </si>
  <si>
    <t>Not applicable, the current financial year is the company’s first year of operations.</t>
  </si>
  <si>
    <t>Koszty wytworzenia środków trwałych oddanych do użytkowania w roku obrotowym</t>
  </si>
  <si>
    <t>Production costs of tangible assets put into use in the financial year</t>
  </si>
  <si>
    <t>Herstellungskosten der in Betrieb genommenen Sachanlagen</t>
  </si>
  <si>
    <t xml:space="preserve"> - w tym skapitalizowane odsetki</t>
  </si>
  <si>
    <t xml:space="preserve"> - w tym skapitalizowane różnice kursowe od zobowiązań zaciągniętych w celu ich sfinansowania</t>
  </si>
  <si>
    <t xml:space="preserve"> - darunter kapitalisierte Zinsen </t>
  </si>
  <si>
    <t xml:space="preserve"> - darunter kapitalisierte Kursdifferenzen auf die zu deren Finanzierung aufgenommenen Verbindlichkeiten </t>
  </si>
  <si>
    <t xml:space="preserve"> - including capitalised interest </t>
  </si>
  <si>
    <t xml:space="preserve"> - including capitalised foreign exchange gains (losses) on liabilities incurred to finance them</t>
  </si>
  <si>
    <t>Wobec jednostek, w których jednostka posiada zaangażowanie w kapitale</t>
  </si>
  <si>
    <t>251/A/NBP/2023</t>
  </si>
  <si>
    <t>D. Przychody podlegające opodatkowaniu w roku bieżącym, ujęte w księgach rachunkowych lat ubiegłych w tym:</t>
  </si>
  <si>
    <t>Bilansowa aktualizacja wartośći aktywów trwałych</t>
  </si>
  <si>
    <t>Bilanzielle Neubewertung der langfristigen Vermögenswerte</t>
  </si>
  <si>
    <t>Balance sheet value adjustment of non-current assets</t>
  </si>
  <si>
    <t>Bilansowa aktualizacja wartośći aktywów finansowych</t>
  </si>
  <si>
    <t>Bilanzielle Neubewertung der finanziellen Vermögenswerte</t>
  </si>
  <si>
    <t>Balance sheet value adjustment of financial assets</t>
  </si>
  <si>
    <t>Zafakturowane szacunki przychodów</t>
  </si>
  <si>
    <t>In Rechnung gestellte geschätzte Einnahmen</t>
  </si>
  <si>
    <t>Estimated invoiced revenue</t>
  </si>
  <si>
    <t>Otrzymane nieodpłatne świadczenia</t>
  </si>
  <si>
    <t>Erhaltene unentgeltliche Leistungen</t>
  </si>
  <si>
    <t>Goods and services received free of charge</t>
  </si>
  <si>
    <t>Koszty używania samochodów osobowych do celów mieszanych (25%)</t>
  </si>
  <si>
    <t>Kosten der Nutzung von PKW für Mischzwecke (25%)</t>
  </si>
  <si>
    <t>Costs of using passenger cars for mixed purposes (25%)</t>
  </si>
  <si>
    <t>Ubezpieczenie samochodu o wartości powyżej 150 TPLN</t>
  </si>
  <si>
    <t>Versicherung des Fahrzeugs im Wert von über 150 TPLN</t>
  </si>
  <si>
    <t>Insurance of a car worth over PLN 150 000;</t>
  </si>
  <si>
    <t>Amortyzacja samochodów osobowych o wartości powyżej 150 TPLN</t>
  </si>
  <si>
    <t>Abschreibungen auf PKW im Wert von über 150 TPLN</t>
  </si>
  <si>
    <t>Depreciation of passenger cars worth over PLN 150 000;</t>
  </si>
  <si>
    <t>Amortyzacja bilansowa odmiennie rozliczana od amortyzacji podatkowej</t>
  </si>
  <si>
    <t>bilanzielle Abschreibung, die anders als steuerliche Abschreibung abgerechnet wird</t>
  </si>
  <si>
    <t>Accounting depreciation accounted for differently from tax depreciation</t>
  </si>
  <si>
    <t>Koszty finansowania dłużnego</t>
  </si>
  <si>
    <t>Kosten der Fremdfinanzierung</t>
  </si>
  <si>
    <t>Debt financing costs</t>
  </si>
  <si>
    <t>Odpisy aktualizujące aktywa trwałe</t>
  </si>
  <si>
    <t>Wertberichtigungen auf langfristige Vermögenswerte</t>
  </si>
  <si>
    <t>Value adjustment write-downs of non-current assets</t>
  </si>
  <si>
    <t>Wertberichtigungen auf Vorräte</t>
  </si>
  <si>
    <t>Odpisy aktualizujące aktywa finansowe</t>
  </si>
  <si>
    <t>Wertberichtigungen auf finanzielle Vermögenswerte</t>
  </si>
  <si>
    <t>Value adjustment write-downs of financial assets</t>
  </si>
  <si>
    <t>GBP</t>
  </si>
  <si>
    <t>064/A/NBP/2023</t>
  </si>
  <si>
    <t>125/A/NBP/2023</t>
  </si>
  <si>
    <t>189/A/NBP/2023</t>
  </si>
  <si>
    <t>125/A/NBP/2024</t>
  </si>
  <si>
    <t>064/A/NBP/2024</t>
  </si>
  <si>
    <t>063/A/NBP/2022</t>
  </si>
  <si>
    <t>125/A/NBP/2022</t>
  </si>
  <si>
    <t>190/A/NBP/2022</t>
  </si>
  <si>
    <t>062/A/NBP/2021</t>
  </si>
  <si>
    <t>124/A/NBP/2021</t>
  </si>
  <si>
    <t>190/A/NBP/2021</t>
  </si>
  <si>
    <t>254/A/NBP/2021</t>
  </si>
  <si>
    <t>255/A/NBP/2020</t>
  </si>
  <si>
    <t>191/A/NBP/2020</t>
  </si>
  <si>
    <t>125/A/NBP/2020</t>
  </si>
  <si>
    <t xml:space="preserve"> 063/A/NBP/2020</t>
  </si>
  <si>
    <t>251/A/NBP/2019</t>
  </si>
  <si>
    <t>189/A/NBP/2019</t>
  </si>
  <si>
    <t>063/A/NBP/2019</t>
  </si>
  <si>
    <t>124/A/NBP/2019</t>
  </si>
  <si>
    <t>Jakich walut przeliczeniowych używamy w SF</t>
  </si>
  <si>
    <t>euro (EUR)</t>
  </si>
  <si>
    <t>dolar amerykański (USD)</t>
  </si>
  <si>
    <t>funt szterling (GBP)</t>
  </si>
  <si>
    <t>amerikanischer Dollar (USD)</t>
  </si>
  <si>
    <t>Euro (EUR)</t>
  </si>
  <si>
    <t>kolumny techniczne dotyczące noty 3 - nie usuwać!!</t>
  </si>
  <si>
    <t>Wskaż szczebel grupy kapitałowej</t>
  </si>
  <si>
    <t>Sonstige kurzfristige Rechnungsabgrenzungsposten</t>
  </si>
  <si>
    <t>Other current prepayments and accruals</t>
  </si>
  <si>
    <t>Pfund Sterling (GBP)</t>
  </si>
  <si>
    <t>British pound (GBP)</t>
  </si>
  <si>
    <t>US dollar (USD)</t>
  </si>
  <si>
    <t>Sprawozdanie finansowe Spółki sporządzono na dzień zakończenia działalności.</t>
  </si>
  <si>
    <t>Der Jahresabschluss des Unternehmens wurde zum Zeitpunkt der Einstellung der Geschäftstätigkeit erstellt.</t>
  </si>
  <si>
    <t>The company's financial statements were prepared as of the business termination date.</t>
  </si>
  <si>
    <t>190/A/NBP/2024</t>
  </si>
  <si>
    <t>najwyższym</t>
  </si>
  <si>
    <t>FIFO</t>
  </si>
  <si>
    <t>Przychody netto ze sprzedaży produktów</t>
  </si>
  <si>
    <t>Erträge aus dem Verkauf von Erzeugnissen</t>
  </si>
  <si>
    <t>Net revenue from sale of finished goods</t>
  </si>
  <si>
    <t>Przychody netto ze sprzedaży towarów</t>
  </si>
  <si>
    <t xml:space="preserve">Net revenue from sale of merchandise </t>
  </si>
  <si>
    <t>Wartość sprzedanych towarów</t>
  </si>
  <si>
    <t>Wert der verkauften Waren</t>
  </si>
  <si>
    <t>Cost of merchandise sold</t>
  </si>
  <si>
    <t>Przychody netto ze sprzedaży produktów i towarów, w tym:</t>
  </si>
  <si>
    <t>Net revenue from sale of finished goods and merchandise, incl:</t>
  </si>
  <si>
    <t xml:space="preserve">Net revenue from sale of finished goods </t>
  </si>
  <si>
    <t>Erträge aus dem Verkauf von Waren</t>
  </si>
  <si>
    <t>Net revenue from sale of merchandise</t>
  </si>
  <si>
    <t>Koszty sprzedanych produktów i towarów, w tym:</t>
  </si>
  <si>
    <t>Aufwendungen für verkaufte Erzeugnisse und Waren, darunter:</t>
  </si>
  <si>
    <t>Costs of finished goods and merchandise sold, incl:</t>
  </si>
  <si>
    <t>Przychody ze sprzedaży produktów</t>
  </si>
  <si>
    <t xml:space="preserve">Revenue from sale of finished goods </t>
  </si>
  <si>
    <t>Przychody ze sprzedaży towarów</t>
  </si>
  <si>
    <t xml:space="preserve">Revenue from sale of merchandise </t>
  </si>
  <si>
    <t>252/A/NBP/2024</t>
  </si>
  <si>
    <t>Czy Spółka jest oddziałem przedsiębiorcy zagranicznego?</t>
  </si>
  <si>
    <t>PYTANIA POMOCNICZE - INFORMACJA DODATKOWA</t>
  </si>
  <si>
    <t>Czy sprawozdanie finansowe zostało sporządzone przy założeniu kontynuacji działalności?</t>
  </si>
  <si>
    <t>W3</t>
  </si>
  <si>
    <t>W6</t>
  </si>
  <si>
    <t>Czy istnieją przesłanki wskazujące na zagrożenie kontynuacji działalności?</t>
  </si>
  <si>
    <t>W7</t>
  </si>
  <si>
    <t>Czy sprawozdanie finansowe sporządzono na dzień zakończenia działalności</t>
  </si>
  <si>
    <t>W16</t>
  </si>
  <si>
    <t>Czy spółka posiada politykę rachunkowości</t>
  </si>
  <si>
    <t>Czy spółka korzysta z uproszczeń i nie sporządza sprawozdania z działalności?</t>
  </si>
  <si>
    <r>
      <rPr>
        <sz val="10"/>
        <color rgb="FFFF0000"/>
        <rFont val="Arial"/>
        <family val="2"/>
        <charset val="238"/>
      </rPr>
      <t>Oddział</t>
    </r>
    <r>
      <rPr>
        <sz val="10"/>
        <rFont val="Arial"/>
        <family val="2"/>
      </rPr>
      <t xml:space="preserve"> nie osiągnęł przychodów ze sprzedaży zarówno w bieżącym roku obrotowym, jak i w roku poprzednim.</t>
    </r>
  </si>
  <si>
    <t>Jeżeli oddział - zamienić Spółkę na Oddział</t>
  </si>
  <si>
    <t>Mazowieckie</t>
  </si>
  <si>
    <t>Budynki, lokale, prawa do lokali i obiekty inżynierii lądowej i wodnej - 1,5% - 4,5%</t>
  </si>
  <si>
    <t>Gebäude, Räumlichkeiten und Rechte daran sowie Hoch-, Tief- und Wasserbauten – 1,5% - 4,5%</t>
  </si>
  <si>
    <t>Urządzenia techniczne i maszyny -14% - 30%</t>
  </si>
  <si>
    <t>Technische Anlagen und Maschinen – 14% - 30%</t>
  </si>
  <si>
    <t>Pozostałe środki trwałe - 7% - 50%</t>
  </si>
  <si>
    <t>Sonstige Sachanlagen – 7% - 50%</t>
  </si>
  <si>
    <t>Software – 20% - 50%</t>
  </si>
  <si>
    <t>Oprogramowanie- 20% - 50%</t>
  </si>
  <si>
    <t>Der Jahresabschluss der Gesellschaft wurde gemäß dem RLG-PL und der vom Geschäftsleiter eingeführten Rechnungslegungspolitik erstellt.</t>
  </si>
  <si>
    <t>Rhenus Digital Workforce Sp. z o.o.</t>
  </si>
  <si>
    <t>ul. Puławska 99</t>
  </si>
  <si>
    <t>02-595</t>
  </si>
  <si>
    <t>Warszawa</t>
  </si>
  <si>
    <t>dwie</t>
  </si>
  <si>
    <t>Puławska</t>
  </si>
  <si>
    <t>m.st. Warszawa</t>
  </si>
  <si>
    <t>Biężace sprawozdanie jest pierwszym sprawozdaniem sporządzonym przez Spółkę.</t>
  </si>
  <si>
    <t>Bartosz Kochanowski</t>
  </si>
  <si>
    <t>Artur Kostrzewski</t>
  </si>
  <si>
    <t>Monika Czerwonka</t>
  </si>
  <si>
    <t>samochody użytkowane w leasingu</t>
  </si>
  <si>
    <t>Rhenus Docs To Data GmbH</t>
  </si>
  <si>
    <t>W 2024 Rhenus Docs To Data GmbH nabył 100% udziałów Spółki.</t>
  </si>
  <si>
    <t>Skonsolidowane sprawozdanie finansowe na najwyższym szczeblu grupy kapitałowej sporządzane jest przez spółkę RETHMANN SE &amp; Co. KG z siedzibą w Werner Str. 95, 59379 Selm, Niemcy.</t>
  </si>
  <si>
    <t>Der Konzernabschluss auf der höchsten Ebene des Konzerns wird von der Gesellschaft RETHMANN SE &amp; Co. KG mit Sitz in Werner Str. 95, 59379 Selm, Deutschland erstellt.</t>
  </si>
  <si>
    <t>Ryzyka i konsekwence związane z ww. konfliktem nie wystąpiły.</t>
  </si>
  <si>
    <t>Rhenus SE &amp; Co. KG</t>
  </si>
  <si>
    <t>250000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</si>
</sst>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z_ł_-;\-* #,##0.00\ _z_ł_-;_-* &quot;-&quot;??\ _z_ł_-;_-@_-"/>
    <numFmt numFmtId="165" formatCode="0.0%"/>
    <numFmt numFmtId="166" formatCode="dd\.mm\.yyyy"/>
    <numFmt numFmtId="167" formatCode="_-* #,##0.00\ _-;_-* \–#,##0.00\ _-;_-* &quot;–&quot;??\ _-;_-@_-"/>
    <numFmt numFmtId="168" formatCode="#,##0.0"/>
    <numFmt numFmtId="169" formatCode="_-* #,##0.00\ _z_?_-;\-* #,##0.00\ _z_?_-;_-* &quot;-&quot;??\ _z_?_-;_-@_-"/>
    <numFmt numFmtId="170" formatCode="0000000000"/>
    <numFmt numFmtId="171" formatCode="000\-000\-00\-00"/>
    <numFmt numFmtId="172" formatCode="_(* #,##0.0_);_(* \(#,##0.0\);_(* &quot;-&quot;_)"/>
    <numFmt numFmtId="173" formatCode="0.0000"/>
  </numFmts>
  <fonts count="11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charset val="238"/>
      <scheme val="minor"/>
    </font>
    <font>
      <sz val="10"/>
      <name val="Arial"/>
      <family val="2"/>
      <charset val="238"/>
    </font>
    <font>
      <u/>
      <sz val="10"/>
      <color indexed="12"/>
      <name val="Times New Roman CE"/>
      <family val="1"/>
      <charset val="238"/>
    </font>
    <font>
      <sz val="10"/>
      <name val="Times New Roman CE"/>
      <family val="1"/>
      <charset val="238"/>
    </font>
    <font>
      <sz val="10"/>
      <name val="Frutiger CE 45 Light"/>
      <charset val="238"/>
    </font>
    <font>
      <b/>
      <sz val="10"/>
      <name val="Frutiger CE 45 Light"/>
      <charset val="238"/>
    </font>
    <font>
      <sz val="10"/>
      <color indexed="10"/>
      <name val="Frutiger CE 45 Light"/>
      <charset val="238"/>
    </font>
    <font>
      <sz val="10"/>
      <name val="Frutiger CE 45 Light"/>
      <charset val="238"/>
    </font>
    <font>
      <sz val="10"/>
      <name val="Arial CE"/>
      <charset val="238"/>
    </font>
    <font>
      <b/>
      <sz val="10"/>
      <name val="Arial"/>
      <family val="2"/>
      <charset val="238"/>
    </font>
    <font>
      <sz val="8"/>
      <color indexed="81"/>
      <name val="Tahoma"/>
      <family val="2"/>
      <charset val="238"/>
    </font>
    <font>
      <b/>
      <sz val="8"/>
      <color indexed="81"/>
      <name val="Tahoma"/>
      <family val="2"/>
      <charset val="238"/>
    </font>
    <font>
      <sz val="10"/>
      <name val="Arial"/>
      <family val="2"/>
      <charset val="238"/>
    </font>
    <font>
      <sz val="10"/>
      <name val="Arial CE"/>
      <family val="2"/>
      <charset val="238"/>
    </font>
    <font>
      <b/>
      <sz val="10"/>
      <name val="Arial CE"/>
      <family val="2"/>
      <charset val="238"/>
    </font>
    <font>
      <sz val="8"/>
      <color indexed="81"/>
      <name val="Tahoma"/>
      <family val="2"/>
    </font>
    <font>
      <b/>
      <sz val="10"/>
      <name val="Arial"/>
      <family val="2"/>
    </font>
    <font>
      <sz val="10"/>
      <name val="Frutiger CE 45 Light"/>
      <charset val="238"/>
    </font>
    <font>
      <b/>
      <sz val="10"/>
      <color indexed="10"/>
      <name val="Frutiger CE 45 Light"/>
      <charset val="238"/>
    </font>
    <font>
      <sz val="10"/>
      <name val="Arial"/>
      <family val="2"/>
    </font>
    <font>
      <sz val="10"/>
      <color indexed="12"/>
      <name val="Arial CE"/>
      <family val="2"/>
      <charset val="238"/>
    </font>
    <font>
      <sz val="8"/>
      <name val="Arial"/>
      <family val="2"/>
      <charset val="238"/>
    </font>
    <font>
      <strike/>
      <sz val="10"/>
      <name val="Arial"/>
      <family val="2"/>
    </font>
    <font>
      <sz val="10"/>
      <color indexed="8"/>
      <name val="Arial"/>
      <family val="2"/>
      <charset val="238"/>
    </font>
    <font>
      <sz val="11"/>
      <color theme="1"/>
      <name val="Calibri"/>
      <family val="2"/>
      <charset val="238"/>
      <scheme val="minor"/>
    </font>
    <font>
      <sz val="10"/>
      <color indexed="8"/>
      <name val="Calibri"/>
      <family val="2"/>
      <charset val="238"/>
    </font>
    <font>
      <sz val="9"/>
      <color theme="1"/>
      <name val="Cambria"/>
      <family val="2"/>
      <charset val="238"/>
      <scheme val="major"/>
    </font>
    <font>
      <sz val="11"/>
      <color theme="1"/>
      <name val="Czcionka tekstu podstawowego"/>
      <family val="2"/>
      <charset val="238"/>
    </font>
    <font>
      <sz val="10"/>
      <color theme="1"/>
      <name val="Calibri"/>
      <family val="2"/>
      <charset val="238"/>
      <scheme val="minor"/>
    </font>
    <font>
      <sz val="11"/>
      <color theme="1"/>
      <name val="Calibri"/>
      <family val="2"/>
      <scheme val="minor"/>
    </font>
    <font>
      <sz val="8"/>
      <name val="Times New Roman CE"/>
      <charset val="238"/>
    </font>
    <font>
      <u/>
      <sz val="10"/>
      <color indexed="12"/>
      <name val="Frutiger CE 45 Light"/>
      <charset val="238"/>
    </font>
    <font>
      <sz val="10"/>
      <color indexed="12"/>
      <name val="Frutiger CE 45 Light"/>
      <charset val="238"/>
    </font>
    <font>
      <b/>
      <sz val="16"/>
      <name val="Frutiger CE 45 Light"/>
      <charset val="238"/>
    </font>
    <font>
      <sz val="16"/>
      <name val="Frutiger CE 45 Light"/>
      <charset val="238"/>
    </font>
    <font>
      <i/>
      <sz val="10"/>
      <name val="Frutiger CE 45 Light"/>
      <charset val="238"/>
    </font>
    <font>
      <sz val="14"/>
      <name val="Frutiger CE 45 Light"/>
      <charset val="238"/>
    </font>
    <font>
      <b/>
      <sz val="14"/>
      <name val="Frutiger CE 45 Light"/>
      <charset val="238"/>
    </font>
    <font>
      <u/>
      <sz val="10"/>
      <name val="Frutiger CE 45 Light"/>
      <charset val="238"/>
    </font>
    <font>
      <b/>
      <sz val="10"/>
      <color rgb="FFFF0000"/>
      <name val="Frutiger CE 45 Light"/>
      <charset val="238"/>
    </font>
    <font>
      <sz val="10"/>
      <color rgb="FFFF0000"/>
      <name val="Frutiger CE 45 Light"/>
      <charset val="238"/>
    </font>
    <font>
      <sz val="12"/>
      <name val="Frutiger CE 45 Light"/>
      <charset val="238"/>
    </font>
    <font>
      <b/>
      <sz val="13"/>
      <name val="Frutiger CE 45 Light"/>
      <charset val="238"/>
    </font>
    <font>
      <sz val="9"/>
      <name val="Frutiger CE 45 Light"/>
      <charset val="238"/>
    </font>
    <font>
      <sz val="11"/>
      <name val="Frutiger CE 45 Light"/>
      <charset val="238"/>
    </font>
    <font>
      <b/>
      <i/>
      <sz val="10"/>
      <name val="Frutiger CE 45 Light"/>
      <charset val="238"/>
    </font>
    <font>
      <b/>
      <sz val="10"/>
      <color theme="0"/>
      <name val="Frutiger CE 45 Light"/>
      <charset val="238"/>
    </font>
    <font>
      <b/>
      <sz val="11"/>
      <name val="Frutiger CE 45 Light"/>
      <charset val="238"/>
    </font>
    <font>
      <b/>
      <sz val="10"/>
      <color indexed="12"/>
      <name val="Frutiger CE 45 Light"/>
      <charset val="238"/>
    </font>
    <font>
      <sz val="9"/>
      <color indexed="81"/>
      <name val="Tahoma"/>
      <family val="2"/>
      <charset val="238"/>
    </font>
    <font>
      <b/>
      <sz val="9"/>
      <color indexed="81"/>
      <name val="Tahoma"/>
      <family val="2"/>
      <charset val="238"/>
    </font>
    <font>
      <i/>
      <sz val="10"/>
      <color rgb="FFFF0000"/>
      <name val="Frutiger CE 45 Light"/>
      <charset val="238"/>
    </font>
    <font>
      <sz val="10"/>
      <name val="Frutiger Light"/>
      <family val="2"/>
    </font>
    <font>
      <sz val="8"/>
      <name val="Frutiger CE 45 Light"/>
      <charset val="238"/>
    </font>
    <font>
      <b/>
      <sz val="18"/>
      <name val="Frutiger CE 45 Light"/>
      <charset val="238"/>
    </font>
    <font>
      <b/>
      <sz val="10"/>
      <color theme="1"/>
      <name val="Frutiger CE 45 Light"/>
      <charset val="238"/>
    </font>
    <font>
      <sz val="10"/>
      <color theme="1"/>
      <name val="Frutiger CE 45 Light"/>
      <charset val="238"/>
    </font>
    <font>
      <b/>
      <sz val="8"/>
      <name val="Frutiger CE 45 Light"/>
      <charset val="238"/>
    </font>
    <font>
      <sz val="10"/>
      <color rgb="FF000000"/>
      <name val="Arial"/>
      <family val="2"/>
      <charset val="238"/>
    </font>
    <font>
      <b/>
      <sz val="12"/>
      <name val="Frutiger CE 45 Light"/>
      <charset val="238"/>
    </font>
    <font>
      <sz val="10"/>
      <color theme="0"/>
      <name val="Frutiger CE 45 Light"/>
      <charset val="238"/>
    </font>
    <font>
      <sz val="10"/>
      <color rgb="FF993366"/>
      <name val="Arial CE"/>
      <charset val="238"/>
    </font>
    <font>
      <sz val="10"/>
      <color rgb="FF993366"/>
      <name val="Frutiger CE 45 Light"/>
      <charset val="238"/>
    </font>
    <font>
      <sz val="10"/>
      <name val="Calibri"/>
      <family val="2"/>
      <charset val="238"/>
    </font>
    <font>
      <sz val="10"/>
      <color rgb="FFFF0000"/>
      <name val="Arial"/>
      <family val="2"/>
      <charset val="238"/>
    </font>
    <font>
      <sz val="12"/>
      <name val="Arial"/>
      <family val="2"/>
      <charset val="238"/>
    </font>
    <font>
      <sz val="10"/>
      <color rgb="FFFF0000"/>
      <name val="Arial"/>
      <family val="2"/>
    </font>
    <font>
      <i/>
      <sz val="10"/>
      <name val="Arial"/>
      <family val="2"/>
      <charset val="238"/>
    </font>
    <font>
      <sz val="11"/>
      <color indexed="8"/>
      <name val="Calibri"/>
      <family val="2"/>
      <charset val="238"/>
    </font>
    <font>
      <sz val="11"/>
      <color indexed="8"/>
      <name val="Czcionka tekstu podstawowego"/>
      <family val="2"/>
      <charset val="238"/>
    </font>
    <font>
      <sz val="10"/>
      <color indexed="8"/>
      <name val="Frutiger CE 45 Light"/>
      <charset val="238"/>
    </font>
    <font>
      <b/>
      <sz val="8"/>
      <color indexed="8"/>
      <name val="Arial"/>
      <family val="2"/>
      <charset val="238"/>
    </font>
    <font>
      <sz val="8"/>
      <color indexed="8"/>
      <name val="Arial"/>
      <family val="2"/>
      <charset val="238"/>
    </font>
    <font>
      <b/>
      <u/>
      <sz val="10"/>
      <color theme="0"/>
      <name val="Frutiger CE 45 Light"/>
      <charset val="238"/>
    </font>
    <font>
      <b/>
      <i/>
      <sz val="10"/>
      <color theme="0"/>
      <name val="Frutiger CE 45 Light"/>
      <charset val="238"/>
    </font>
    <font>
      <b/>
      <sz val="8"/>
      <color indexed="8"/>
      <name val="Tahoma"/>
      <family val="2"/>
      <charset val="238"/>
    </font>
    <font>
      <sz val="8"/>
      <color indexed="8"/>
      <name val="Tahoma"/>
      <family val="2"/>
      <charset val="238"/>
    </font>
    <font>
      <i/>
      <sz val="10"/>
      <color indexed="12"/>
      <name val="Frutiger CE 45 Light"/>
      <charset val="238"/>
    </font>
    <font>
      <b/>
      <sz val="14"/>
      <color rgb="FFFF0000"/>
      <name val="Frutiger CE 45 Light"/>
      <charset val="238"/>
    </font>
    <font>
      <sz val="10"/>
      <name val="Symbol"/>
      <family val="1"/>
      <charset val="2"/>
    </font>
    <font>
      <b/>
      <sz val="11"/>
      <color indexed="8"/>
      <name val="Times New Roman"/>
      <family val="1"/>
      <charset val="238"/>
    </font>
    <font>
      <sz val="11"/>
      <color indexed="8"/>
      <name val="Times New Roman"/>
      <family val="1"/>
      <charset val="238"/>
    </font>
    <font>
      <sz val="10"/>
      <color indexed="8"/>
      <name val="Times New Roman"/>
      <family val="1"/>
      <charset val="238"/>
    </font>
    <font>
      <b/>
      <sz val="10"/>
      <color indexed="8"/>
      <name val="Times New Roman"/>
      <family val="1"/>
      <charset val="238"/>
    </font>
    <font>
      <sz val="10"/>
      <color indexed="8"/>
      <name val="Times New Roman"/>
      <family val="1"/>
    </font>
    <font>
      <sz val="10"/>
      <name val="Times New Roman"/>
      <family val="1"/>
      <charset val="238"/>
    </font>
    <font>
      <sz val="10"/>
      <name val="Times New Roman CE"/>
      <charset val="238"/>
    </font>
    <font>
      <sz val="10"/>
      <color theme="1"/>
      <name val="Arial"/>
      <family val="2"/>
    </font>
    <font>
      <sz val="10"/>
      <color rgb="FF00B050"/>
      <name val="Arial"/>
      <family val="2"/>
      <charset val="238"/>
    </font>
    <font>
      <i/>
      <sz val="10"/>
      <color theme="1"/>
      <name val="Arial"/>
      <family val="2"/>
    </font>
    <font>
      <b/>
      <sz val="11"/>
      <color theme="0"/>
      <name val="Calibri"/>
      <family val="2"/>
      <charset val="238"/>
      <scheme val="minor"/>
    </font>
    <font>
      <sz val="11"/>
      <name val="Times New Roman"/>
      <family val="1"/>
      <charset val="238"/>
    </font>
    <font>
      <sz val="10"/>
      <color theme="3" tint="0.39997558519241921"/>
      <name val="Arial"/>
      <family val="2"/>
      <charset val="238"/>
    </font>
    <font>
      <sz val="10"/>
      <color rgb="FFFF00FF"/>
      <name val="Arial"/>
      <family val="2"/>
      <charset val="238"/>
    </font>
    <font>
      <sz val="10"/>
      <color rgb="FF0070C0"/>
      <name val="Times New Roman"/>
      <family val="1"/>
      <charset val="238"/>
    </font>
    <font>
      <sz val="11"/>
      <color rgb="FF3F3F76"/>
      <name val="Calibri"/>
      <family val="2"/>
      <charset val="238"/>
      <scheme val="minor"/>
    </font>
    <font>
      <b/>
      <sz val="8"/>
      <color theme="0"/>
      <name val="Frutiger CE 45 Light"/>
      <charset val="238"/>
    </font>
    <font>
      <i/>
      <sz val="10"/>
      <color rgb="FF000000"/>
      <name val="Arial"/>
      <family val="2"/>
      <charset val="238"/>
    </font>
    <font>
      <b/>
      <i/>
      <sz val="12"/>
      <color rgb="FFFF0000"/>
      <name val="Frutiger CE 45 Light"/>
      <charset val="238"/>
    </font>
    <font>
      <i/>
      <sz val="10"/>
      <color theme="0" tint="-0.34998626667073579"/>
      <name val="Frutiger CE 45 Light"/>
      <charset val="238"/>
    </font>
    <font>
      <b/>
      <u/>
      <sz val="10"/>
      <color theme="1"/>
      <name val="Frutiger CE 45 Light"/>
      <charset val="238"/>
    </font>
    <font>
      <b/>
      <sz val="9"/>
      <name val="Frutiger CE 45 Light"/>
      <charset val="238"/>
    </font>
    <font>
      <b/>
      <i/>
      <sz val="8"/>
      <name val="Frutiger CE 45 Light"/>
      <charset val="238"/>
    </font>
    <font>
      <i/>
      <sz val="8"/>
      <color rgb="FFFF0000"/>
      <name val="Frutiger CE 45 Light"/>
      <charset val="238"/>
    </font>
    <font>
      <sz val="10"/>
      <color theme="0" tint="-0.34998626667073579"/>
      <name val="Frutiger CE 45 Light"/>
      <charset val="238"/>
    </font>
  </fonts>
  <fills count="26">
    <fill>
      <patternFill patternType="none"/>
    </fill>
    <fill>
      <patternFill patternType="gray125"/>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10"/>
        <bgColor indexed="64"/>
      </patternFill>
    </fill>
    <fill>
      <patternFill patternType="solid">
        <fgColor indexed="15"/>
        <bgColor indexed="64"/>
      </patternFill>
    </fill>
    <fill>
      <patternFill patternType="solid">
        <fgColor indexed="22"/>
        <bgColor indexed="64"/>
      </patternFill>
    </fill>
    <fill>
      <patternFill patternType="solid">
        <fgColor indexed="4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indexed="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6"/>
        <bgColor theme="6"/>
      </patternFill>
    </fill>
    <fill>
      <patternFill patternType="solid">
        <fgColor rgb="FF00B050"/>
        <bgColor indexed="64"/>
      </patternFill>
    </fill>
    <fill>
      <patternFill patternType="solid">
        <fgColor theme="8" tint="0.39997558519241921"/>
        <bgColor indexed="64"/>
      </patternFill>
    </fill>
    <fill>
      <patternFill patternType="solid">
        <fgColor rgb="FFFFCC99"/>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ck">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top/>
      <bottom style="medium">
        <color auto="1"/>
      </bottom>
      <diagonal/>
    </border>
    <border>
      <left style="thin">
        <color rgb="FF7F7F7F"/>
      </left>
      <right style="thin">
        <color rgb="FF7F7F7F"/>
      </right>
      <top style="thin">
        <color rgb="FF7F7F7F"/>
      </top>
      <bottom style="thin">
        <color rgb="FF7F7F7F"/>
      </bottom>
      <diagonal/>
    </border>
  </borders>
  <cellStyleXfs count="2611">
    <xf numFmtId="0" fontId="0" fillId="0" borderId="0"/>
    <xf numFmtId="4" fontId="12" fillId="0" borderId="0"/>
    <xf numFmtId="164" fontId="10" fillId="0" borderId="0" applyFont="0" applyFill="0" applyBorder="0" applyAlignment="0" applyProtection="0"/>
    <xf numFmtId="0" fontId="11"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7" fillId="0" borderId="0"/>
    <xf numFmtId="0" fontId="12" fillId="0" borderId="0"/>
    <xf numFmtId="0" fontId="17" fillId="0" borderId="0"/>
    <xf numFmtId="4" fontId="26" fillId="0" borderId="0">
      <alignment horizontal="justify" vertical="top" wrapText="1"/>
    </xf>
    <xf numFmtId="0" fontId="17" fillId="0" borderId="0"/>
    <xf numFmtId="49" fontId="17" fillId="0" borderId="0"/>
    <xf numFmtId="0" fontId="17" fillId="0" borderId="0"/>
    <xf numFmtId="9" fontId="10" fillId="0" borderId="0" applyFont="0" applyFill="0" applyBorder="0" applyAlignment="0" applyProtection="0"/>
    <xf numFmtId="0" fontId="10" fillId="0" borderId="0"/>
    <xf numFmtId="0" fontId="33" fillId="0" borderId="0"/>
    <xf numFmtId="0" fontId="10" fillId="0" borderId="0"/>
    <xf numFmtId="164" fontId="10" fillId="0" borderId="0" applyFont="0" applyFill="0" applyBorder="0" applyAlignment="0" applyProtection="0"/>
    <xf numFmtId="169" fontId="34"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6" fillId="0" borderId="0"/>
    <xf numFmtId="0" fontId="10" fillId="0" borderId="0"/>
    <xf numFmtId="0" fontId="36"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17" fillId="0" borderId="0"/>
    <xf numFmtId="0" fontId="10" fillId="0" borderId="0"/>
    <xf numFmtId="0" fontId="38" fillId="0" borderId="0"/>
    <xf numFmtId="0" fontId="10"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9" fillId="0" borderId="0"/>
    <xf numFmtId="0" fontId="36" fillId="0" borderId="0"/>
    <xf numFmtId="0" fontId="36" fillId="0" borderId="0"/>
    <xf numFmtId="0" fontId="35" fillId="0" borderId="0"/>
    <xf numFmtId="0" fontId="10" fillId="0" borderId="0"/>
    <xf numFmtId="0" fontId="33" fillId="0" borderId="0"/>
    <xf numFmtId="0" fontId="17"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7"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13" fillId="0" borderId="0">
      <alignment horizontal="justify" vertical="top" wrapText="1"/>
    </xf>
    <xf numFmtId="0" fontId="8" fillId="0" borderId="0"/>
    <xf numFmtId="0" fontId="74" fillId="0" borderId="0"/>
    <xf numFmtId="0" fontId="7" fillId="0" borderId="0"/>
    <xf numFmtId="0" fontId="6" fillId="0" borderId="0"/>
    <xf numFmtId="0" fontId="74"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xf numFmtId="0" fontId="4" fillId="0" borderId="0"/>
    <xf numFmtId="0" fontId="3" fillId="0" borderId="0" applyNumberFormat="0" applyFont="0" applyFill="0" applyBorder="0" applyAlignment="0" applyProtection="0"/>
    <xf numFmtId="0" fontId="2" fillId="0" borderId="0"/>
    <xf numFmtId="0" fontId="2" fillId="0" borderId="0"/>
    <xf numFmtId="0" fontId="104" fillId="22" borderId="42" applyNumberFormat="0" applyAlignment="0" applyProtection="0"/>
    <xf numFmtId="0" fontId="1" fillId="0" borderId="0"/>
    <xf numFmtId="0" fontId="11" fillId="0" borderId="0" applyNumberFormat="0" applyFill="0" applyBorder="0" applyAlignment="0" applyProtection="0">
      <alignment vertical="top"/>
      <protection locked="0"/>
    </xf>
  </cellStyleXfs>
  <cellXfs count="1221">
    <xf numFmtId="0" fontId="0" fillId="0" borderId="0" xfId="0"/>
    <xf numFmtId="0" fontId="22" fillId="0" borderId="0" xfId="0" applyFont="1" applyProtection="1">
      <protection locked="0"/>
    </xf>
    <xf numFmtId="0" fontId="22" fillId="0" borderId="0" xfId="0" applyFont="1" applyAlignment="1" applyProtection="1">
      <alignment vertical="center"/>
      <protection locked="0"/>
    </xf>
    <xf numFmtId="0" fontId="22" fillId="0" borderId="0" xfId="0" applyFont="1" applyAlignment="1" applyProtection="1">
      <alignment vertical="top"/>
      <protection locked="0"/>
    </xf>
    <xf numFmtId="0" fontId="23" fillId="0" borderId="8" xfId="0" applyFont="1" applyBorder="1" applyProtection="1">
      <protection locked="0"/>
    </xf>
    <xf numFmtId="0" fontId="23" fillId="0" borderId="8" xfId="0" applyFont="1" applyBorder="1" applyAlignment="1" applyProtection="1">
      <alignment horizontal="center"/>
      <protection locked="0"/>
    </xf>
    <xf numFmtId="4" fontId="23" fillId="6" borderId="0" xfId="0" applyNumberFormat="1" applyFont="1" applyFill="1" applyAlignment="1" applyProtection="1">
      <alignment vertical="center"/>
      <protection locked="0"/>
    </xf>
    <xf numFmtId="4" fontId="23" fillId="0" borderId="0" xfId="0" applyNumberFormat="1" applyFont="1" applyAlignment="1" applyProtection="1">
      <alignment vertical="center"/>
      <protection locked="0"/>
    </xf>
    <xf numFmtId="4" fontId="23" fillId="2" borderId="0" xfId="0" applyNumberFormat="1" applyFont="1" applyFill="1" applyAlignment="1" applyProtection="1">
      <alignment vertical="center"/>
      <protection locked="0"/>
    </xf>
    <xf numFmtId="4" fontId="22" fillId="2" borderId="0" xfId="0" applyNumberFormat="1" applyFont="1" applyFill="1" applyAlignment="1" applyProtection="1">
      <alignment vertical="center"/>
      <protection locked="0"/>
    </xf>
    <xf numFmtId="4" fontId="22" fillId="6" borderId="0" xfId="0" applyNumberFormat="1" applyFont="1" applyFill="1" applyAlignment="1" applyProtection="1">
      <alignment vertical="center"/>
      <protection locked="0"/>
    </xf>
    <xf numFmtId="4" fontId="22" fillId="0" borderId="0" xfId="0" applyNumberFormat="1" applyFont="1" applyAlignment="1" applyProtection="1">
      <alignment vertical="center"/>
      <protection locked="0"/>
    </xf>
    <xf numFmtId="4" fontId="22" fillId="0" borderId="0" xfId="0" applyNumberFormat="1" applyFont="1" applyProtection="1">
      <protection locked="0"/>
    </xf>
    <xf numFmtId="4" fontId="22" fillId="0" borderId="8" xfId="0" applyNumberFormat="1" applyFont="1" applyBorder="1" applyProtection="1">
      <protection locked="0"/>
    </xf>
    <xf numFmtId="4" fontId="23" fillId="0" borderId="9" xfId="0" applyNumberFormat="1" applyFont="1" applyBorder="1" applyAlignment="1" applyProtection="1">
      <alignment vertical="center"/>
      <protection locked="0"/>
    </xf>
    <xf numFmtId="4" fontId="23" fillId="0" borderId="8" xfId="0" applyNumberFormat="1" applyFont="1" applyBorder="1" applyAlignment="1" applyProtection="1">
      <alignment vertical="center"/>
      <protection locked="0"/>
    </xf>
    <xf numFmtId="4" fontId="22" fillId="0" borderId="0" xfId="0" applyNumberFormat="1" applyFont="1" applyAlignment="1" applyProtection="1">
      <alignment horizontal="center" vertical="center"/>
      <protection locked="0"/>
    </xf>
    <xf numFmtId="4" fontId="13" fillId="2" borderId="0" xfId="6" applyNumberFormat="1" applyFont="1" applyFill="1" applyAlignment="1" applyProtection="1">
      <alignment vertical="top"/>
      <protection locked="0"/>
    </xf>
    <xf numFmtId="4" fontId="13" fillId="7" borderId="0" xfId="6" applyNumberFormat="1" applyFont="1" applyFill="1" applyAlignment="1" applyProtection="1">
      <alignment vertical="top"/>
      <protection locked="0"/>
    </xf>
    <xf numFmtId="4" fontId="13" fillId="5" borderId="0" xfId="6" applyNumberFormat="1" applyFont="1" applyFill="1" applyAlignment="1" applyProtection="1">
      <alignment vertical="top"/>
      <protection locked="0"/>
    </xf>
    <xf numFmtId="4" fontId="13" fillId="6" borderId="0" xfId="6" applyNumberFormat="1" applyFont="1" applyFill="1" applyAlignment="1" applyProtection="1">
      <alignment vertical="top"/>
      <protection locked="0"/>
    </xf>
    <xf numFmtId="4" fontId="13" fillId="0" borderId="0" xfId="6" applyNumberFormat="1" applyFont="1" applyAlignment="1" applyProtection="1">
      <alignment vertical="top"/>
      <protection locked="0"/>
    </xf>
    <xf numFmtId="0" fontId="13" fillId="0" borderId="0" xfId="6" applyFont="1" applyProtection="1">
      <protection locked="0"/>
    </xf>
    <xf numFmtId="0" fontId="14" fillId="0" borderId="0" xfId="6" applyFont="1" applyAlignment="1" applyProtection="1">
      <alignment horizontal="center"/>
      <protection locked="0"/>
    </xf>
    <xf numFmtId="1" fontId="14" fillId="2" borderId="0" xfId="6" applyNumberFormat="1" applyFont="1" applyFill="1" applyAlignment="1" applyProtection="1">
      <alignment horizontal="center" vertical="top"/>
      <protection locked="0"/>
    </xf>
    <xf numFmtId="166" fontId="13" fillId="4" borderId="0" xfId="6" applyNumberFormat="1" applyFont="1" applyFill="1" applyAlignment="1" applyProtection="1">
      <alignment horizontal="right" vertical="top"/>
      <protection locked="0"/>
    </xf>
    <xf numFmtId="1" fontId="13" fillId="2" borderId="0" xfId="6" applyNumberFormat="1" applyFont="1" applyFill="1" applyAlignment="1" applyProtection="1">
      <alignment vertical="top"/>
      <protection locked="0"/>
    </xf>
    <xf numFmtId="3" fontId="13" fillId="2" borderId="0" xfId="6" applyNumberFormat="1" applyFont="1" applyFill="1" applyAlignment="1" applyProtection="1">
      <alignment horizontal="right" vertical="top"/>
      <protection locked="0"/>
    </xf>
    <xf numFmtId="1" fontId="13" fillId="0" borderId="0" xfId="6" applyNumberFormat="1" applyFont="1" applyAlignment="1" applyProtection="1">
      <alignment vertical="top"/>
      <protection locked="0"/>
    </xf>
    <xf numFmtId="1" fontId="13" fillId="8" borderId="0" xfId="6" applyNumberFormat="1" applyFont="1" applyFill="1" applyAlignment="1" applyProtection="1">
      <alignment vertical="top"/>
      <protection locked="0"/>
    </xf>
    <xf numFmtId="3" fontId="13" fillId="8" borderId="0" xfId="6" applyNumberFormat="1" applyFont="1" applyFill="1" applyAlignment="1" applyProtection="1">
      <alignment horizontal="right" vertical="top"/>
      <protection locked="0"/>
    </xf>
    <xf numFmtId="1" fontId="13" fillId="8" borderId="0" xfId="6" applyNumberFormat="1" applyFont="1" applyFill="1" applyProtection="1">
      <protection locked="0"/>
    </xf>
    <xf numFmtId="3" fontId="13" fillId="8" borderId="0" xfId="6" applyNumberFormat="1" applyFont="1" applyFill="1" applyProtection="1">
      <protection locked="0"/>
    </xf>
    <xf numFmtId="0" fontId="13" fillId="2" borderId="0" xfId="6" applyFont="1" applyFill="1" applyProtection="1">
      <protection locked="0"/>
    </xf>
    <xf numFmtId="167" fontId="14" fillId="0" borderId="0" xfId="9" applyNumberFormat="1" applyFont="1" applyAlignment="1" applyProtection="1">
      <alignment vertical="center"/>
      <protection locked="0"/>
    </xf>
    <xf numFmtId="0" fontId="14" fillId="0" borderId="0" xfId="9" applyFont="1" applyAlignment="1" applyProtection="1">
      <alignment horizontal="left" vertical="center"/>
      <protection locked="0"/>
    </xf>
    <xf numFmtId="0" fontId="14" fillId="0" borderId="0" xfId="9" applyFont="1" applyAlignment="1" applyProtection="1">
      <alignment horizontal="left"/>
      <protection locked="0"/>
    </xf>
    <xf numFmtId="3" fontId="13" fillId="0" borderId="0" xfId="0" applyNumberFormat="1" applyFont="1" applyProtection="1">
      <protection locked="0"/>
    </xf>
    <xf numFmtId="4" fontId="13" fillId="0" borderId="0" xfId="0" applyNumberFormat="1" applyFont="1" applyProtection="1">
      <protection locked="0"/>
    </xf>
    <xf numFmtId="9" fontId="13" fillId="0" borderId="0" xfId="12" applyFont="1" applyAlignment="1" applyProtection="1">
      <protection locked="0"/>
    </xf>
    <xf numFmtId="4" fontId="23" fillId="9" borderId="0" xfId="0" applyNumberFormat="1" applyFont="1" applyFill="1" applyAlignment="1" applyProtection="1">
      <alignment vertical="center"/>
      <protection locked="0"/>
    </xf>
    <xf numFmtId="4" fontId="14" fillId="0" borderId="0" xfId="2225" applyFont="1" applyAlignment="1" applyProtection="1">
      <alignment horizontal="right" wrapText="1"/>
      <protection locked="0"/>
    </xf>
    <xf numFmtId="4" fontId="13" fillId="0" borderId="0" xfId="2225" applyAlignment="1" applyProtection="1">
      <alignment horizontal="right" vertical="top" wrapText="1"/>
      <protection locked="0"/>
    </xf>
    <xf numFmtId="4" fontId="61" fillId="0" borderId="0" xfId="2225" applyFont="1" applyAlignment="1" applyProtection="1">
      <alignment horizontal="right" vertical="top" wrapText="1"/>
      <protection locked="0"/>
    </xf>
    <xf numFmtId="0" fontId="62" fillId="0" borderId="0" xfId="1507" applyFont="1" applyAlignment="1" applyProtection="1">
      <alignment horizontal="left"/>
      <protection locked="0"/>
    </xf>
    <xf numFmtId="4" fontId="62" fillId="0" borderId="0" xfId="1507" applyNumberFormat="1" applyFont="1" applyAlignment="1" applyProtection="1">
      <alignment horizontal="left"/>
      <protection locked="0"/>
    </xf>
    <xf numFmtId="0" fontId="62" fillId="0" borderId="0" xfId="1507" applyFont="1" applyProtection="1">
      <protection locked="0"/>
    </xf>
    <xf numFmtId="4" fontId="62" fillId="0" borderId="0" xfId="1507" applyNumberFormat="1" applyFont="1" applyProtection="1">
      <protection locked="0"/>
    </xf>
    <xf numFmtId="0" fontId="52" fillId="0" borderId="0" xfId="1507" applyFont="1" applyProtection="1">
      <protection locked="0"/>
    </xf>
    <xf numFmtId="0" fontId="46" fillId="0" borderId="0" xfId="1507" applyFont="1" applyProtection="1">
      <protection locked="0"/>
    </xf>
    <xf numFmtId="0" fontId="14" fillId="0" borderId="0" xfId="1507" applyFont="1" applyProtection="1">
      <protection locked="0"/>
    </xf>
    <xf numFmtId="0" fontId="13" fillId="0" borderId="0" xfId="1507" applyFont="1" applyAlignment="1" applyProtection="1">
      <alignment horizontal="left"/>
      <protection locked="0"/>
    </xf>
    <xf numFmtId="0" fontId="13" fillId="0" borderId="0" xfId="1507" applyFont="1" applyProtection="1">
      <protection locked="0"/>
    </xf>
    <xf numFmtId="4" fontId="62" fillId="14" borderId="0" xfId="1507" applyNumberFormat="1" applyFont="1" applyFill="1" applyProtection="1">
      <protection locked="0"/>
    </xf>
    <xf numFmtId="0" fontId="62" fillId="14" borderId="0" xfId="1507" applyFont="1" applyFill="1" applyProtection="1">
      <protection locked="0"/>
    </xf>
    <xf numFmtId="0" fontId="62" fillId="0" borderId="0" xfId="1507" quotePrefix="1" applyFont="1" applyProtection="1">
      <protection locked="0"/>
    </xf>
    <xf numFmtId="4" fontId="13" fillId="0" borderId="0" xfId="1507" applyNumberFormat="1" applyFont="1" applyAlignment="1" applyProtection="1">
      <alignment horizontal="left"/>
      <protection locked="0"/>
    </xf>
    <xf numFmtId="4" fontId="13" fillId="0" borderId="0" xfId="1507" applyNumberFormat="1" applyFont="1" applyAlignment="1" applyProtection="1">
      <alignment horizontal="right"/>
      <protection locked="0"/>
    </xf>
    <xf numFmtId="4" fontId="13" fillId="0" borderId="0" xfId="1507" applyNumberFormat="1" applyFont="1" applyProtection="1">
      <protection locked="0"/>
    </xf>
    <xf numFmtId="0" fontId="13" fillId="14" borderId="0" xfId="1507" applyFont="1" applyFill="1" applyAlignment="1" applyProtection="1">
      <alignment horizontal="left"/>
      <protection locked="0"/>
    </xf>
    <xf numFmtId="0" fontId="62" fillId="14" borderId="0" xfId="1507" applyFont="1" applyFill="1" applyAlignment="1" applyProtection="1">
      <alignment horizontal="left"/>
      <protection locked="0"/>
    </xf>
    <xf numFmtId="4" fontId="62" fillId="14" borderId="0" xfId="1507" applyNumberFormat="1" applyFont="1" applyFill="1" applyAlignment="1" applyProtection="1">
      <alignment horizontal="left"/>
      <protection locked="0"/>
    </xf>
    <xf numFmtId="0" fontId="14" fillId="14" borderId="0" xfId="1507" applyFont="1" applyFill="1" applyProtection="1">
      <protection locked="0"/>
    </xf>
    <xf numFmtId="0" fontId="66" fillId="14" borderId="0" xfId="1507" applyFont="1" applyFill="1" applyAlignment="1" applyProtection="1">
      <alignment horizontal="left"/>
      <protection locked="0"/>
    </xf>
    <xf numFmtId="0" fontId="14" fillId="9" borderId="0" xfId="6" applyFont="1" applyFill="1" applyAlignment="1" applyProtection="1">
      <alignment horizontal="center"/>
      <protection locked="0"/>
    </xf>
    <xf numFmtId="0" fontId="13" fillId="0" borderId="3" xfId="0" applyFont="1" applyBorder="1" applyProtection="1">
      <protection locked="0"/>
    </xf>
    <xf numFmtId="0" fontId="13" fillId="0" borderId="0" xfId="0" applyFont="1" applyProtection="1">
      <protection locked="0"/>
    </xf>
    <xf numFmtId="0" fontId="0" fillId="0" borderId="0" xfId="0" applyProtection="1">
      <protection locked="0"/>
    </xf>
    <xf numFmtId="1" fontId="13" fillId="8" borderId="0" xfId="6" applyNumberFormat="1" applyFont="1" applyFill="1" applyAlignment="1" applyProtection="1">
      <alignment horizontal="right" vertical="top"/>
      <protection locked="0"/>
    </xf>
    <xf numFmtId="0" fontId="13" fillId="0" borderId="0" xfId="9" applyFont="1" applyAlignment="1" applyProtection="1">
      <alignment horizontal="left" vertical="top"/>
      <protection locked="0"/>
    </xf>
    <xf numFmtId="0" fontId="13" fillId="0" borderId="0" xfId="9" applyFont="1" applyAlignment="1" applyProtection="1">
      <alignment horizontal="left" vertical="top" wrapText="1"/>
      <protection locked="0"/>
    </xf>
    <xf numFmtId="4" fontId="13" fillId="18" borderId="0" xfId="6" applyNumberFormat="1" applyFont="1" applyFill="1" applyAlignment="1" applyProtection="1">
      <alignment vertical="top"/>
      <protection locked="0"/>
    </xf>
    <xf numFmtId="0" fontId="13" fillId="0" borderId="0" xfId="0" applyFont="1" applyAlignment="1" applyProtection="1">
      <alignment vertical="top"/>
      <protection locked="0"/>
    </xf>
    <xf numFmtId="0" fontId="13" fillId="9" borderId="0" xfId="6" applyFont="1" applyFill="1" applyProtection="1">
      <protection locked="0"/>
    </xf>
    <xf numFmtId="0" fontId="13" fillId="6" borderId="0" xfId="6" applyFont="1" applyFill="1" applyAlignment="1" applyProtection="1">
      <alignment vertical="top"/>
      <protection locked="0"/>
    </xf>
    <xf numFmtId="0" fontId="13" fillId="3" borderId="0" xfId="0" applyFont="1" applyFill="1" applyAlignment="1" applyProtection="1">
      <alignment vertical="top"/>
      <protection locked="0"/>
    </xf>
    <xf numFmtId="16" fontId="14" fillId="0" borderId="0" xfId="0" quotePrefix="1" applyNumberFormat="1" applyFont="1" applyAlignment="1" applyProtection="1">
      <alignment horizontal="right" vertical="top"/>
      <protection locked="0"/>
    </xf>
    <xf numFmtId="0" fontId="45" fillId="0" borderId="0" xfId="0" applyFont="1" applyAlignment="1" applyProtection="1">
      <alignment vertical="top"/>
      <protection locked="0"/>
    </xf>
    <xf numFmtId="0" fontId="87" fillId="3" borderId="0" xfId="0" applyFont="1" applyFill="1" applyAlignment="1" applyProtection="1">
      <alignment vertical="top"/>
      <protection locked="0"/>
    </xf>
    <xf numFmtId="0" fontId="44" fillId="0" borderId="0" xfId="0" applyFont="1" applyAlignment="1" applyProtection="1">
      <alignment vertical="top"/>
      <protection locked="0"/>
    </xf>
    <xf numFmtId="0" fontId="14" fillId="0" borderId="0" xfId="0" applyFont="1" applyAlignment="1" applyProtection="1">
      <alignment horizontal="right" vertical="top"/>
      <protection locked="0"/>
    </xf>
    <xf numFmtId="0" fontId="55" fillId="3" borderId="0" xfId="0" applyFont="1" applyFill="1" applyAlignment="1" applyProtection="1">
      <alignment vertical="top"/>
      <protection locked="0"/>
    </xf>
    <xf numFmtId="0" fontId="83" fillId="0" borderId="0" xfId="0" applyFont="1" applyAlignment="1" applyProtection="1">
      <alignment vertical="top"/>
      <protection locked="0"/>
    </xf>
    <xf numFmtId="0" fontId="13" fillId="2" borderId="0" xfId="0" applyFont="1" applyFill="1" applyAlignment="1" applyProtection="1">
      <alignment vertical="top" wrapText="1"/>
      <protection locked="0"/>
    </xf>
    <xf numFmtId="0" fontId="13" fillId="0" borderId="0" xfId="0" applyFont="1" applyAlignment="1" applyProtection="1">
      <alignment horizontal="left" vertical="top"/>
      <protection locked="0"/>
    </xf>
    <xf numFmtId="0" fontId="40" fillId="3" borderId="0" xfId="3" applyFont="1" applyFill="1" applyAlignment="1" applyProtection="1">
      <alignment vertical="top"/>
      <protection locked="0"/>
    </xf>
    <xf numFmtId="0" fontId="69" fillId="0" borderId="0" xfId="0" applyFont="1" applyAlignment="1" applyProtection="1">
      <alignment vertical="top"/>
      <protection locked="0"/>
    </xf>
    <xf numFmtId="0" fontId="69" fillId="0" borderId="0" xfId="0" applyFont="1" applyAlignment="1" applyProtection="1">
      <alignment horizontal="left" vertical="top" wrapText="1"/>
      <protection locked="0"/>
    </xf>
    <xf numFmtId="0" fontId="13" fillId="0" borderId="0" xfId="0" applyFont="1" applyAlignment="1" applyProtection="1">
      <alignment horizontal="right" vertical="top"/>
      <protection locked="0"/>
    </xf>
    <xf numFmtId="0" fontId="47" fillId="0" borderId="0" xfId="0" applyFont="1" applyAlignment="1" applyProtection="1">
      <alignment vertical="top"/>
      <protection locked="0"/>
    </xf>
    <xf numFmtId="0" fontId="55" fillId="0" borderId="0" xfId="0" applyFont="1" applyAlignment="1" applyProtection="1">
      <alignment vertical="top"/>
      <protection locked="0"/>
    </xf>
    <xf numFmtId="4" fontId="55" fillId="0" borderId="0" xfId="0" applyNumberFormat="1" applyFont="1" applyAlignment="1" applyProtection="1">
      <alignment vertical="top"/>
      <protection locked="0"/>
    </xf>
    <xf numFmtId="4" fontId="13" fillId="0" borderId="0" xfId="0" applyNumberFormat="1" applyFont="1" applyAlignment="1" applyProtection="1">
      <alignment vertical="top"/>
      <protection locked="0"/>
    </xf>
    <xf numFmtId="4" fontId="55" fillId="12" borderId="0" xfId="0" applyNumberFormat="1" applyFont="1" applyFill="1" applyAlignment="1" applyProtection="1">
      <alignment vertical="top"/>
      <protection locked="0"/>
    </xf>
    <xf numFmtId="0" fontId="55" fillId="12" borderId="0" xfId="0" applyFont="1" applyFill="1" applyAlignment="1" applyProtection="1">
      <alignment vertical="top"/>
      <protection locked="0"/>
    </xf>
    <xf numFmtId="4" fontId="28" fillId="0" borderId="0" xfId="6" applyNumberFormat="1" applyFont="1" applyAlignment="1" applyProtection="1">
      <alignment vertical="top" wrapText="1"/>
      <protection locked="0"/>
    </xf>
    <xf numFmtId="0" fontId="13" fillId="12" borderId="0" xfId="0" applyFont="1" applyFill="1" applyAlignment="1" applyProtection="1">
      <alignment vertical="top"/>
      <protection locked="0"/>
    </xf>
    <xf numFmtId="0" fontId="55" fillId="0" borderId="12" xfId="0" applyFont="1" applyBorder="1" applyAlignment="1" applyProtection="1">
      <alignment vertical="top"/>
      <protection locked="0"/>
    </xf>
    <xf numFmtId="0" fontId="47" fillId="3" borderId="0" xfId="0" applyFont="1" applyFill="1" applyAlignment="1" applyProtection="1">
      <alignment vertical="top"/>
      <protection locked="0"/>
    </xf>
    <xf numFmtId="0" fontId="13" fillId="0" borderId="0" xfId="0" applyFont="1" applyAlignment="1" applyProtection="1">
      <alignment vertical="top" wrapText="1"/>
      <protection locked="0"/>
    </xf>
    <xf numFmtId="0" fontId="69"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0" fontId="88" fillId="0" borderId="0" xfId="0" applyFont="1" applyAlignment="1" applyProtection="1">
      <alignment horizontal="center" vertical="top"/>
      <protection locked="0"/>
    </xf>
    <xf numFmtId="0" fontId="13" fillId="9" borderId="0" xfId="0" applyFont="1" applyFill="1" applyAlignment="1" applyProtection="1">
      <alignment vertical="top"/>
      <protection locked="0"/>
    </xf>
    <xf numFmtId="0" fontId="100" fillId="0" borderId="0" xfId="0" applyFont="1" applyAlignment="1" applyProtection="1">
      <alignment vertical="center" wrapText="1"/>
      <protection locked="0"/>
    </xf>
    <xf numFmtId="0" fontId="47" fillId="11" borderId="0" xfId="0" applyFont="1" applyFill="1" applyProtection="1">
      <protection locked="0"/>
    </xf>
    <xf numFmtId="0" fontId="13" fillId="0" borderId="0" xfId="0" applyFont="1" applyAlignment="1" applyProtection="1">
      <alignment horizontal="left"/>
      <protection locked="0"/>
    </xf>
    <xf numFmtId="0" fontId="14" fillId="0" borderId="9" xfId="0" applyFont="1" applyBorder="1" applyAlignment="1" applyProtection="1">
      <alignment horizontal="center" vertical="top"/>
      <protection locked="0"/>
    </xf>
    <xf numFmtId="4" fontId="13" fillId="0" borderId="0" xfId="0" applyNumberFormat="1" applyFont="1" applyAlignment="1" applyProtection="1">
      <alignment horizontal="center" vertical="top"/>
      <protection locked="0"/>
    </xf>
    <xf numFmtId="0" fontId="13" fillId="0" borderId="9" xfId="0" applyFont="1" applyBorder="1" applyAlignment="1" applyProtection="1">
      <alignment vertical="top"/>
      <protection locked="0"/>
    </xf>
    <xf numFmtId="0" fontId="13" fillId="0" borderId="9" xfId="0" applyFont="1" applyBorder="1" applyAlignment="1" applyProtection="1">
      <alignment horizontal="center" vertical="top"/>
      <protection locked="0"/>
    </xf>
    <xf numFmtId="0" fontId="14" fillId="0" borderId="0" xfId="0" applyFont="1" applyAlignment="1" applyProtection="1">
      <alignment vertical="top"/>
      <protection locked="0"/>
    </xf>
    <xf numFmtId="4" fontId="14" fillId="6" borderId="0" xfId="0" applyNumberFormat="1" applyFont="1" applyFill="1" applyAlignment="1" applyProtection="1">
      <alignment vertical="top"/>
      <protection locked="0"/>
    </xf>
    <xf numFmtId="4" fontId="14" fillId="2" borderId="0" xfId="0" applyNumberFormat="1" applyFont="1" applyFill="1" applyAlignment="1" applyProtection="1">
      <alignment vertical="top"/>
      <protection locked="0"/>
    </xf>
    <xf numFmtId="0" fontId="49" fillId="0" borderId="0" xfId="0" applyFont="1" applyAlignment="1" applyProtection="1">
      <alignment vertical="top"/>
      <protection locked="0"/>
    </xf>
    <xf numFmtId="4" fontId="13" fillId="2" borderId="0" xfId="0" applyNumberFormat="1" applyFont="1" applyFill="1" applyAlignment="1" applyProtection="1">
      <alignment vertical="top"/>
      <protection locked="0"/>
    </xf>
    <xf numFmtId="4" fontId="13" fillId="6" borderId="0" xfId="0" applyNumberFormat="1" applyFont="1" applyFill="1" applyAlignment="1" applyProtection="1">
      <alignment vertical="top"/>
      <protection locked="0"/>
    </xf>
    <xf numFmtId="0" fontId="14" fillId="0" borderId="0" xfId="0" applyFont="1" applyAlignment="1" applyProtection="1">
      <alignment vertical="top" wrapText="1"/>
      <protection locked="0"/>
    </xf>
    <xf numFmtId="4" fontId="14" fillId="0" borderId="0" xfId="0" applyNumberFormat="1" applyFont="1" applyAlignment="1" applyProtection="1">
      <alignment vertical="top"/>
      <protection locked="0"/>
    </xf>
    <xf numFmtId="4" fontId="13" fillId="9" borderId="0" xfId="0" applyNumberFormat="1" applyFont="1" applyFill="1" applyAlignment="1" applyProtection="1">
      <alignment vertical="top"/>
      <protection locked="0"/>
    </xf>
    <xf numFmtId="0" fontId="14" fillId="0" borderId="0" xfId="0" applyFont="1" applyAlignment="1" applyProtection="1">
      <alignment horizontal="left" vertical="top"/>
      <protection locked="0"/>
    </xf>
    <xf numFmtId="0" fontId="13" fillId="0" borderId="3" xfId="0" applyFont="1" applyBorder="1" applyAlignment="1" applyProtection="1">
      <alignment horizontal="center" vertical="top"/>
      <protection locked="0"/>
    </xf>
    <xf numFmtId="4" fontId="13" fillId="0" borderId="3" xfId="0" applyNumberFormat="1" applyFont="1" applyBorder="1" applyAlignment="1" applyProtection="1">
      <alignment horizontal="center" vertical="top"/>
      <protection locked="0"/>
    </xf>
    <xf numFmtId="4" fontId="14" fillId="5" borderId="3" xfId="0" applyNumberFormat="1" applyFont="1" applyFill="1" applyBorder="1" applyAlignment="1" applyProtection="1">
      <alignment vertical="top"/>
      <protection locked="0"/>
    </xf>
    <xf numFmtId="0" fontId="48" fillId="0" borderId="0" xfId="0" applyFont="1" applyAlignment="1" applyProtection="1">
      <alignment vertical="top"/>
      <protection locked="0"/>
    </xf>
    <xf numFmtId="0" fontId="14" fillId="0" borderId="9" xfId="0" applyFont="1" applyBorder="1" applyAlignment="1" applyProtection="1">
      <alignment vertical="top"/>
      <protection locked="0"/>
    </xf>
    <xf numFmtId="4" fontId="13" fillId="0" borderId="9" xfId="0" applyNumberFormat="1" applyFont="1" applyBorder="1" applyAlignment="1" applyProtection="1">
      <alignment vertical="top"/>
      <protection locked="0"/>
    </xf>
    <xf numFmtId="4" fontId="14" fillId="9" borderId="0" xfId="0" applyNumberFormat="1" applyFont="1" applyFill="1" applyAlignment="1" applyProtection="1">
      <alignment vertical="top"/>
      <protection locked="0"/>
    </xf>
    <xf numFmtId="0" fontId="13" fillId="0" borderId="10" xfId="0" applyFont="1" applyBorder="1" applyAlignment="1" applyProtection="1">
      <alignment vertical="top"/>
      <protection locked="0"/>
    </xf>
    <xf numFmtId="4" fontId="13" fillId="0" borderId="0" xfId="0" applyNumberFormat="1" applyFont="1" applyAlignment="1" applyProtection="1">
      <alignment horizontal="right" vertical="top"/>
      <protection locked="0"/>
    </xf>
    <xf numFmtId="0" fontId="44" fillId="0" borderId="0" xfId="3" applyFont="1" applyAlignment="1" applyProtection="1">
      <alignment vertical="top"/>
      <protection locked="0"/>
    </xf>
    <xf numFmtId="0" fontId="55" fillId="0" borderId="0" xfId="0" applyFont="1" applyProtection="1">
      <protection locked="0"/>
    </xf>
    <xf numFmtId="2" fontId="13" fillId="9" borderId="3" xfId="0" applyNumberFormat="1" applyFont="1" applyFill="1" applyBorder="1" applyAlignment="1" applyProtection="1">
      <alignment vertical="center"/>
      <protection locked="0"/>
    </xf>
    <xf numFmtId="0" fontId="13" fillId="9" borderId="3" xfId="0" applyFont="1" applyFill="1" applyBorder="1" applyAlignment="1" applyProtection="1">
      <alignment vertical="center"/>
      <protection locked="0"/>
    </xf>
    <xf numFmtId="0" fontId="13" fillId="0" borderId="0" xfId="0" applyFont="1" applyAlignment="1" applyProtection="1">
      <alignment horizontal="center" wrapText="1"/>
      <protection locked="0"/>
    </xf>
    <xf numFmtId="0" fontId="13" fillId="0" borderId="0" xfId="11" applyFont="1" applyAlignment="1" applyProtection="1">
      <alignment horizontal="left" vertical="center" wrapText="1"/>
      <protection locked="0"/>
    </xf>
    <xf numFmtId="4" fontId="13" fillId="0" borderId="0" xfId="11" applyNumberFormat="1" applyFont="1" applyAlignment="1" applyProtection="1">
      <alignment vertical="center" wrapText="1"/>
      <protection locked="0"/>
    </xf>
    <xf numFmtId="165" fontId="13" fillId="6" borderId="3" xfId="12" applyNumberFormat="1" applyFont="1" applyFill="1" applyBorder="1" applyAlignment="1" applyProtection="1">
      <alignment horizontal="center" vertical="center"/>
      <protection locked="0"/>
    </xf>
    <xf numFmtId="4" fontId="13" fillId="0" borderId="30" xfId="0" applyNumberFormat="1" applyFont="1" applyBorder="1" applyAlignment="1" applyProtection="1">
      <alignment horizontal="right" vertical="center"/>
      <protection locked="0"/>
    </xf>
    <xf numFmtId="4" fontId="13" fillId="0" borderId="0" xfId="0" applyNumberFormat="1" applyFont="1" applyAlignment="1" applyProtection="1">
      <alignment horizontal="right" vertical="center"/>
      <protection locked="0"/>
    </xf>
    <xf numFmtId="165" fontId="13" fillId="0" borderId="0" xfId="12" applyNumberFormat="1" applyFont="1" applyFill="1" applyBorder="1" applyAlignment="1" applyProtection="1">
      <alignment horizontal="center" vertical="center"/>
      <protection locked="0"/>
    </xf>
    <xf numFmtId="0" fontId="54" fillId="0" borderId="0" xfId="0" applyFont="1" applyAlignment="1" applyProtection="1">
      <alignment horizontal="left" wrapText="1"/>
      <protection locked="0"/>
    </xf>
    <xf numFmtId="0" fontId="83" fillId="3" borderId="14" xfId="3" applyFont="1" applyFill="1" applyBorder="1" applyAlignment="1" applyProtection="1">
      <alignment vertical="center"/>
      <protection locked="0"/>
    </xf>
    <xf numFmtId="0" fontId="83" fillId="3" borderId="0" xfId="3" applyFont="1" applyFill="1" applyBorder="1" applyAlignment="1" applyProtection="1">
      <alignment vertical="center"/>
      <protection locked="0"/>
    </xf>
    <xf numFmtId="0" fontId="13" fillId="0" borderId="3" xfId="0" applyFont="1" applyBorder="1" applyAlignment="1" applyProtection="1">
      <alignment horizontal="right"/>
      <protection locked="0"/>
    </xf>
    <xf numFmtId="4" fontId="13" fillId="2" borderId="0" xfId="0" applyNumberFormat="1" applyFont="1" applyFill="1" applyAlignment="1" applyProtection="1">
      <alignment horizontal="right" vertical="center"/>
      <protection locked="0"/>
    </xf>
    <xf numFmtId="4" fontId="13" fillId="2" borderId="3" xfId="0"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wrapText="1"/>
      <protection locked="0"/>
    </xf>
    <xf numFmtId="4" fontId="13" fillId="0" borderId="3" xfId="0" applyNumberFormat="1" applyFont="1" applyBorder="1" applyProtection="1">
      <protection locked="0"/>
    </xf>
    <xf numFmtId="0" fontId="55" fillId="0" borderId="0" xfId="0" applyFont="1" applyAlignment="1" applyProtection="1">
      <alignment vertical="center"/>
      <protection locked="0"/>
    </xf>
    <xf numFmtId="0" fontId="86" fillId="3" borderId="0" xfId="3"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4" fontId="13" fillId="0" borderId="0" xfId="0" applyNumberFormat="1" applyFont="1" applyAlignment="1" applyProtection="1">
      <alignment vertical="center"/>
      <protection locked="0"/>
    </xf>
    <xf numFmtId="49" fontId="79" fillId="0" borderId="9" xfId="0" applyNumberFormat="1" applyFont="1" applyBorder="1" applyAlignment="1" applyProtection="1">
      <alignment horizontal="left" vertical="center"/>
      <protection locked="0"/>
    </xf>
    <xf numFmtId="0" fontId="13" fillId="0" borderId="9" xfId="0" applyFont="1" applyBorder="1" applyProtection="1">
      <protection locked="0"/>
    </xf>
    <xf numFmtId="0" fontId="13" fillId="0" borderId="16" xfId="0" applyFont="1" applyBorder="1" applyProtection="1">
      <protection locked="0"/>
    </xf>
    <xf numFmtId="4" fontId="13" fillId="0" borderId="18" xfId="0" applyNumberFormat="1" applyFont="1" applyBorder="1" applyAlignment="1" applyProtection="1">
      <alignment vertical="center"/>
      <protection locked="0"/>
    </xf>
    <xf numFmtId="4" fontId="13" fillId="0" borderId="8" xfId="0" applyNumberFormat="1" applyFont="1" applyBorder="1" applyAlignment="1" applyProtection="1">
      <alignment vertical="center"/>
      <protection locked="0"/>
    </xf>
    <xf numFmtId="4" fontId="13" fillId="0" borderId="0" xfId="0" applyNumberFormat="1" applyFont="1" applyAlignment="1" applyProtection="1">
      <alignment wrapText="1"/>
      <protection locked="0"/>
    </xf>
    <xf numFmtId="0" fontId="50" fillId="0" borderId="0" xfId="0" applyFont="1" applyProtection="1">
      <protection locked="0"/>
    </xf>
    <xf numFmtId="0" fontId="42" fillId="0" borderId="0" xfId="0" applyFont="1" applyProtection="1">
      <protection locked="0"/>
    </xf>
    <xf numFmtId="0" fontId="42" fillId="0" borderId="0" xfId="0" applyFont="1" applyAlignment="1" applyProtection="1">
      <alignment horizontal="center" vertical="top"/>
      <protection locked="0"/>
    </xf>
    <xf numFmtId="0" fontId="44" fillId="0" borderId="0" xfId="0" applyFont="1" applyProtection="1">
      <protection locked="0"/>
    </xf>
    <xf numFmtId="4" fontId="13" fillId="0" borderId="3" xfId="0" applyNumberFormat="1" applyFont="1" applyBorder="1" applyAlignment="1" applyProtection="1">
      <alignment horizontal="center" vertical="center" wrapText="1"/>
      <protection locked="0"/>
    </xf>
    <xf numFmtId="0" fontId="13" fillId="0" borderId="0" xfId="11" applyFont="1" applyProtection="1">
      <protection locked="0"/>
    </xf>
    <xf numFmtId="4" fontId="13" fillId="9" borderId="30" xfId="0" applyNumberFormat="1" applyFont="1" applyFill="1" applyBorder="1" applyAlignment="1" applyProtection="1">
      <alignment horizontal="right" vertical="center"/>
      <protection locked="0"/>
    </xf>
    <xf numFmtId="4" fontId="13" fillId="0" borderId="17" xfId="0" applyNumberFormat="1" applyFont="1" applyBorder="1" applyAlignment="1" applyProtection="1">
      <alignment vertical="center"/>
      <protection locked="0"/>
    </xf>
    <xf numFmtId="4" fontId="13" fillId="0" borderId="4" xfId="0" applyNumberFormat="1" applyFont="1" applyBorder="1" applyAlignment="1" applyProtection="1">
      <alignment vertical="center"/>
      <protection locked="0"/>
    </xf>
    <xf numFmtId="4" fontId="13" fillId="9" borderId="2" xfId="0" applyNumberFormat="1" applyFont="1" applyFill="1" applyBorder="1" applyAlignment="1" applyProtection="1">
      <alignment horizontal="right" vertical="center"/>
      <protection locked="0"/>
    </xf>
    <xf numFmtId="0" fontId="13" fillId="0" borderId="0" xfId="11" applyFont="1" applyAlignment="1" applyProtection="1">
      <alignment horizontal="center" vertical="center" wrapText="1"/>
      <protection locked="0"/>
    </xf>
    <xf numFmtId="0" fontId="13" fillId="0" borderId="0" xfId="11" applyFont="1" applyAlignment="1" applyProtection="1">
      <alignment vertical="top"/>
      <protection locked="0"/>
    </xf>
    <xf numFmtId="0" fontId="13" fillId="0" borderId="0" xfId="11" applyFont="1" applyAlignment="1" applyProtection="1">
      <alignment vertical="top" wrapText="1"/>
      <protection locked="0"/>
    </xf>
    <xf numFmtId="0" fontId="13" fillId="0" borderId="0" xfId="11" applyFont="1" applyAlignment="1" applyProtection="1">
      <alignment vertical="center" wrapText="1"/>
      <protection locked="0"/>
    </xf>
    <xf numFmtId="0" fontId="14" fillId="0" borderId="0" xfId="0" quotePrefix="1" applyFont="1" applyAlignment="1" applyProtection="1">
      <alignment vertical="top"/>
      <protection locked="0"/>
    </xf>
    <xf numFmtId="0" fontId="13" fillId="12" borderId="0" xfId="11" applyFont="1" applyFill="1" applyProtection="1">
      <protection locked="0"/>
    </xf>
    <xf numFmtId="0" fontId="13" fillId="12" borderId="0" xfId="11" applyFont="1" applyFill="1" applyAlignment="1" applyProtection="1">
      <alignment vertical="top"/>
      <protection locked="0"/>
    </xf>
    <xf numFmtId="0" fontId="13" fillId="12" borderId="0" xfId="0" applyFont="1" applyFill="1" applyAlignment="1" applyProtection="1">
      <alignment horizontal="left"/>
      <protection locked="0"/>
    </xf>
    <xf numFmtId="0" fontId="55" fillId="12" borderId="0" xfId="0" applyFont="1" applyFill="1" applyProtection="1">
      <protection locked="0"/>
    </xf>
    <xf numFmtId="17" fontId="14" fillId="0" borderId="0" xfId="0" quotePrefix="1" applyNumberFormat="1" applyFont="1" applyAlignment="1" applyProtection="1">
      <alignment vertical="top"/>
      <protection locked="0"/>
    </xf>
    <xf numFmtId="0" fontId="60" fillId="0" borderId="0" xfId="0" applyFont="1" applyAlignment="1" applyProtection="1">
      <alignment horizontal="left" wrapText="1"/>
      <protection locked="0"/>
    </xf>
    <xf numFmtId="0" fontId="43" fillId="0" borderId="0" xfId="0" applyFont="1" applyProtection="1">
      <protection locked="0"/>
    </xf>
    <xf numFmtId="4" fontId="13" fillId="5" borderId="3" xfId="0" applyNumberFormat="1" applyFont="1" applyFill="1" applyBorder="1" applyProtection="1">
      <protection locked="0"/>
    </xf>
    <xf numFmtId="4" fontId="14" fillId="0" borderId="0" xfId="0" applyNumberFormat="1" applyFont="1" applyProtection="1">
      <protection locked="0"/>
    </xf>
    <xf numFmtId="0" fontId="13" fillId="0" borderId="11" xfId="0" applyFont="1" applyBorder="1" applyAlignment="1" applyProtection="1">
      <alignment vertical="center"/>
      <protection locked="0"/>
    </xf>
    <xf numFmtId="0" fontId="13" fillId="12" borderId="0" xfId="0" applyFont="1" applyFill="1" applyAlignment="1" applyProtection="1">
      <alignment horizontal="left" wrapText="1"/>
      <protection locked="0"/>
    </xf>
    <xf numFmtId="0" fontId="13" fillId="12" borderId="0" xfId="0" applyFont="1" applyFill="1" applyAlignment="1" applyProtection="1">
      <alignment horizontal="left" vertical="center" wrapText="1"/>
      <protection locked="0"/>
    </xf>
    <xf numFmtId="0" fontId="13" fillId="12" borderId="0" xfId="0" applyFont="1" applyFill="1" applyProtection="1">
      <protection locked="0"/>
    </xf>
    <xf numFmtId="0" fontId="13" fillId="0" borderId="0" xfId="0" applyFont="1" applyAlignment="1" applyProtection="1">
      <alignment horizontal="left" vertical="center" wrapText="1"/>
      <protection locked="0"/>
    </xf>
    <xf numFmtId="4" fontId="13" fillId="0" borderId="0" xfId="11" applyNumberFormat="1" applyFont="1" applyAlignment="1" applyProtection="1">
      <alignment horizontal="center" vertical="center" wrapText="1"/>
      <protection locked="0"/>
    </xf>
    <xf numFmtId="4" fontId="14" fillId="0" borderId="0" xfId="0" applyNumberFormat="1" applyFont="1" applyAlignment="1" applyProtection="1">
      <alignment horizontal="center" vertical="center"/>
      <protection locked="0"/>
    </xf>
    <xf numFmtId="4" fontId="13" fillId="0" borderId="0" xfId="11" applyNumberFormat="1" applyFont="1" applyAlignment="1" applyProtection="1">
      <alignment horizontal="right" vertical="center" wrapText="1"/>
      <protection locked="0"/>
    </xf>
    <xf numFmtId="4" fontId="14" fillId="0" borderId="0" xfId="0" applyNumberFormat="1" applyFont="1" applyAlignment="1" applyProtection="1">
      <alignment horizontal="right" vertical="center"/>
      <protection locked="0"/>
    </xf>
    <xf numFmtId="0" fontId="13" fillId="0" borderId="0" xfId="5" applyFont="1" applyAlignment="1" applyProtection="1">
      <alignment vertical="top"/>
      <protection locked="0"/>
    </xf>
    <xf numFmtId="0" fontId="14" fillId="0" borderId="3" xfId="0" applyFont="1" applyBorder="1" applyAlignment="1" applyProtection="1">
      <alignment horizontal="center" vertical="top" wrapText="1"/>
      <protection locked="0"/>
    </xf>
    <xf numFmtId="0" fontId="14" fillId="0" borderId="3" xfId="0" applyFont="1" applyBorder="1" applyAlignment="1" applyProtection="1">
      <alignment horizontal="right" vertical="top"/>
      <protection locked="0"/>
    </xf>
    <xf numFmtId="0" fontId="64" fillId="0" borderId="0" xfId="0" applyFont="1" applyAlignment="1" applyProtection="1">
      <alignment vertical="top"/>
      <protection locked="0"/>
    </xf>
    <xf numFmtId="0" fontId="65" fillId="0" borderId="0" xfId="5" applyFont="1" applyAlignment="1" applyProtection="1">
      <alignment vertical="top"/>
      <protection locked="0"/>
    </xf>
    <xf numFmtId="0" fontId="65" fillId="0" borderId="0" xfId="0" applyFont="1" applyAlignment="1" applyProtection="1">
      <alignment vertical="top"/>
      <protection locked="0"/>
    </xf>
    <xf numFmtId="4" fontId="13" fillId="9" borderId="3" xfId="0" applyNumberFormat="1" applyFont="1" applyFill="1" applyBorder="1" applyAlignment="1" applyProtection="1">
      <alignment horizontal="right" vertical="top"/>
      <protection locked="0"/>
    </xf>
    <xf numFmtId="4" fontId="14" fillId="6" borderId="3" xfId="5" applyNumberFormat="1" applyFont="1" applyFill="1" applyBorder="1" applyAlignment="1" applyProtection="1">
      <alignment horizontal="right" vertical="top"/>
      <protection locked="0"/>
    </xf>
    <xf numFmtId="4" fontId="65" fillId="0" borderId="0" xfId="5" applyNumberFormat="1" applyFont="1" applyAlignment="1" applyProtection="1">
      <alignment vertical="top"/>
      <protection locked="0"/>
    </xf>
    <xf numFmtId="4" fontId="14" fillId="0" borderId="0" xfId="5" applyNumberFormat="1" applyFont="1" applyAlignment="1" applyProtection="1">
      <alignment horizontal="right" vertical="top"/>
      <protection locked="0"/>
    </xf>
    <xf numFmtId="4" fontId="13" fillId="2" borderId="3" xfId="5" applyNumberFormat="1" applyFont="1" applyFill="1" applyBorder="1" applyAlignment="1" applyProtection="1">
      <alignment vertical="top"/>
      <protection locked="0"/>
    </xf>
    <xf numFmtId="4" fontId="13" fillId="6" borderId="3" xfId="5" applyNumberFormat="1" applyFont="1" applyFill="1" applyBorder="1" applyAlignment="1" applyProtection="1">
      <alignment horizontal="right" vertical="top"/>
      <protection locked="0"/>
    </xf>
    <xf numFmtId="0" fontId="82" fillId="3" borderId="0" xfId="3" applyFont="1" applyFill="1" applyAlignment="1" applyProtection="1">
      <protection locked="0"/>
    </xf>
    <xf numFmtId="0" fontId="64" fillId="0" borderId="0" xfId="5" applyFont="1" applyAlignment="1" applyProtection="1">
      <alignment vertical="top"/>
      <protection locked="0"/>
    </xf>
    <xf numFmtId="0" fontId="14" fillId="0" borderId="3" xfId="0" applyFont="1" applyBorder="1" applyAlignment="1" applyProtection="1">
      <alignment horizontal="center" vertical="top"/>
      <protection locked="0"/>
    </xf>
    <xf numFmtId="4" fontId="64" fillId="0" borderId="0" xfId="0" applyNumberFormat="1" applyFont="1" applyAlignment="1" applyProtection="1">
      <alignment vertical="top"/>
      <protection locked="0"/>
    </xf>
    <xf numFmtId="0" fontId="14" fillId="0" borderId="0" xfId="5" applyFont="1" applyAlignment="1" applyProtection="1">
      <alignment vertical="top"/>
      <protection locked="0"/>
    </xf>
    <xf numFmtId="4" fontId="14" fillId="0" borderId="0" xfId="5" applyNumberFormat="1" applyFont="1" applyAlignment="1" applyProtection="1">
      <alignment vertical="top"/>
      <protection locked="0"/>
    </xf>
    <xf numFmtId="4" fontId="13" fillId="0" borderId="0" xfId="5" applyNumberFormat="1" applyFont="1" applyAlignment="1" applyProtection="1">
      <alignment horizontal="right" vertical="top"/>
      <protection locked="0"/>
    </xf>
    <xf numFmtId="0" fontId="13" fillId="0" borderId="0" xfId="5" applyFont="1" applyProtection="1">
      <protection locked="0"/>
    </xf>
    <xf numFmtId="4" fontId="13" fillId="0" borderId="0" xfId="5" applyNumberFormat="1" applyFont="1" applyProtection="1">
      <protection locked="0"/>
    </xf>
    <xf numFmtId="4" fontId="13" fillId="9" borderId="3" xfId="0" applyNumberFormat="1" applyFont="1" applyFill="1" applyBorder="1" applyAlignment="1" applyProtection="1">
      <alignment vertical="top"/>
      <protection locked="0"/>
    </xf>
    <xf numFmtId="0" fontId="83" fillId="0" borderId="0" xfId="0" applyFont="1" applyProtection="1">
      <protection locked="0"/>
    </xf>
    <xf numFmtId="4" fontId="13" fillId="5" borderId="0" xfId="0" applyNumberFormat="1" applyFont="1" applyFill="1" applyProtection="1">
      <protection locked="0"/>
    </xf>
    <xf numFmtId="4" fontId="14" fillId="0" borderId="0" xfId="0" applyNumberFormat="1" applyFont="1" applyAlignment="1" applyProtection="1">
      <alignment horizontal="right"/>
      <protection locked="0"/>
    </xf>
    <xf numFmtId="0" fontId="69" fillId="12" borderId="0" xfId="0" applyFont="1" applyFill="1" applyAlignment="1" applyProtection="1">
      <alignment vertical="top"/>
      <protection locked="0"/>
    </xf>
    <xf numFmtId="0" fontId="69" fillId="12" borderId="0" xfId="0" applyFont="1" applyFill="1" applyAlignment="1" applyProtection="1">
      <alignment horizontal="left"/>
      <protection locked="0"/>
    </xf>
    <xf numFmtId="0" fontId="69" fillId="12" borderId="0" xfId="0" applyFont="1" applyFill="1" applyProtection="1">
      <protection locked="0"/>
    </xf>
    <xf numFmtId="0" fontId="56" fillId="9" borderId="0" xfId="0" applyFont="1" applyFill="1" applyAlignment="1" applyProtection="1">
      <alignment vertical="top" wrapText="1"/>
      <protection locked="0"/>
    </xf>
    <xf numFmtId="0" fontId="53" fillId="9" borderId="0" xfId="0" applyFont="1" applyFill="1" applyAlignment="1" applyProtection="1">
      <alignment vertical="top" wrapText="1"/>
      <protection locked="0"/>
    </xf>
    <xf numFmtId="0" fontId="53" fillId="0" borderId="0" xfId="0" applyFont="1" applyAlignment="1" applyProtection="1">
      <alignment vertical="top" wrapText="1"/>
      <protection locked="0"/>
    </xf>
    <xf numFmtId="4" fontId="13" fillId="2" borderId="0" xfId="0" applyNumberFormat="1" applyFont="1" applyFill="1" applyAlignment="1" applyProtection="1">
      <alignment vertical="center"/>
      <protection locked="0"/>
    </xf>
    <xf numFmtId="164" fontId="13" fillId="0" borderId="3" xfId="0" applyNumberFormat="1" applyFont="1" applyBorder="1" applyProtection="1">
      <protection locked="0"/>
    </xf>
    <xf numFmtId="0" fontId="13" fillId="0" borderId="0" xfId="9" applyFont="1" applyAlignment="1" applyProtection="1">
      <alignment horizontal="left"/>
      <protection locked="0"/>
    </xf>
    <xf numFmtId="164" fontId="13" fillId="0" borderId="0" xfId="9" applyNumberFormat="1" applyFont="1" applyProtection="1">
      <protection locked="0"/>
    </xf>
    <xf numFmtId="164" fontId="13" fillId="0" borderId="0" xfId="0" applyNumberFormat="1" applyFont="1" applyProtection="1">
      <protection locked="0"/>
    </xf>
    <xf numFmtId="0" fontId="40" fillId="3" borderId="0" xfId="3" applyFont="1" applyFill="1" applyAlignment="1" applyProtection="1">
      <alignment vertical="center"/>
      <protection locked="0"/>
    </xf>
    <xf numFmtId="3" fontId="13" fillId="2" borderId="3" xfId="0" applyNumberFormat="1" applyFont="1" applyFill="1" applyBorder="1" applyAlignment="1" applyProtection="1">
      <alignment horizontal="right" vertical="center"/>
      <protection locked="0"/>
    </xf>
    <xf numFmtId="0" fontId="69" fillId="0" borderId="0" xfId="0" applyFont="1" applyAlignment="1" applyProtection="1">
      <alignment vertical="center"/>
      <protection locked="0"/>
    </xf>
    <xf numFmtId="3" fontId="13" fillId="6" borderId="3" xfId="0" applyNumberFormat="1" applyFont="1" applyFill="1" applyBorder="1" applyAlignment="1" applyProtection="1">
      <alignment horizontal="right" vertical="center"/>
      <protection locked="0"/>
    </xf>
    <xf numFmtId="0" fontId="40" fillId="3" borderId="0" xfId="3" applyFont="1" applyFill="1" applyAlignment="1" applyProtection="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wrapText="1"/>
      <protection locked="0"/>
    </xf>
    <xf numFmtId="0" fontId="44" fillId="0" borderId="0" xfId="0" applyFont="1" applyAlignment="1" applyProtection="1">
      <alignment horizontal="left" vertical="center" wrapText="1"/>
      <protection locked="0"/>
    </xf>
    <xf numFmtId="0" fontId="49" fillId="0" borderId="0" xfId="0" applyFont="1" applyAlignment="1" applyProtection="1">
      <alignment horizontal="left" vertical="top"/>
      <protection locked="0"/>
    </xf>
    <xf numFmtId="4" fontId="13" fillId="0" borderId="32" xfId="0" applyNumberFormat="1" applyFont="1" applyBorder="1" applyAlignment="1" applyProtection="1">
      <alignment vertical="top"/>
      <protection locked="0"/>
    </xf>
    <xf numFmtId="4" fontId="13" fillId="0" borderId="15" xfId="0" applyNumberFormat="1" applyFont="1" applyBorder="1" applyAlignment="1" applyProtection="1">
      <alignment vertical="top"/>
      <protection locked="0"/>
    </xf>
    <xf numFmtId="4" fontId="13" fillId="0" borderId="32" xfId="0" applyNumberFormat="1" applyFont="1" applyBorder="1" applyProtection="1">
      <protection locked="0"/>
    </xf>
    <xf numFmtId="4" fontId="13" fillId="0" borderId="15" xfId="0" applyNumberFormat="1" applyFont="1" applyBorder="1" applyProtection="1">
      <protection locked="0"/>
    </xf>
    <xf numFmtId="0" fontId="14" fillId="0" borderId="0" xfId="0" applyFont="1" applyAlignment="1" applyProtection="1">
      <alignment horizontal="left" vertical="center"/>
      <protection locked="0"/>
    </xf>
    <xf numFmtId="0" fontId="13" fillId="2" borderId="3" xfId="0" applyFont="1" applyFill="1" applyBorder="1" applyAlignment="1" applyProtection="1">
      <alignment horizontal="center" vertical="center"/>
      <protection locked="0"/>
    </xf>
    <xf numFmtId="0" fontId="14" fillId="0" borderId="0" xfId="0" applyFont="1" applyProtection="1">
      <protection locked="0"/>
    </xf>
    <xf numFmtId="0" fontId="13" fillId="0" borderId="18" xfId="0" applyFont="1" applyBorder="1" applyProtection="1">
      <protection locked="0"/>
    </xf>
    <xf numFmtId="0" fontId="13" fillId="0" borderId="8" xfId="0" applyFont="1" applyBorder="1" applyProtection="1">
      <protection locked="0"/>
    </xf>
    <xf numFmtId="4" fontId="13" fillId="0" borderId="8" xfId="0" applyNumberFormat="1" applyFont="1" applyBorder="1" applyProtection="1">
      <protection locked="0"/>
    </xf>
    <xf numFmtId="4" fontId="13" fillId="0" borderId="19" xfId="0" applyNumberFormat="1" applyFont="1" applyBorder="1" applyProtection="1">
      <protection locked="0"/>
    </xf>
    <xf numFmtId="0" fontId="13" fillId="0" borderId="32" xfId="0" applyFont="1" applyBorder="1" applyProtection="1">
      <protection locked="0"/>
    </xf>
    <xf numFmtId="0" fontId="13" fillId="0" borderId="20" xfId="0" applyFont="1" applyBorder="1" applyProtection="1">
      <protection locked="0"/>
    </xf>
    <xf numFmtId="4" fontId="13" fillId="0" borderId="9" xfId="0" applyNumberFormat="1" applyFont="1" applyBorder="1" applyProtection="1">
      <protection locked="0"/>
    </xf>
    <xf numFmtId="4" fontId="13" fillId="0" borderId="16" xfId="0" applyNumberFormat="1" applyFont="1" applyBorder="1" applyProtection="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protection locked="0"/>
    </xf>
    <xf numFmtId="0" fontId="13" fillId="9" borderId="3" xfId="0" applyFont="1" applyFill="1" applyBorder="1" applyAlignment="1" applyProtection="1">
      <alignment horizontal="right" vertical="center"/>
      <protection locked="0"/>
    </xf>
    <xf numFmtId="0" fontId="44" fillId="9" borderId="0" xfId="0" applyFont="1" applyFill="1" applyAlignment="1" applyProtection="1">
      <alignment vertical="top"/>
      <protection locked="0"/>
    </xf>
    <xf numFmtId="0" fontId="69" fillId="0" borderId="0" xfId="0" applyFont="1" applyProtection="1">
      <protection locked="0"/>
    </xf>
    <xf numFmtId="0" fontId="69" fillId="0" borderId="0" xfId="0" applyFont="1" applyAlignment="1" applyProtection="1">
      <alignment horizontal="center" wrapText="1"/>
      <protection locked="0"/>
    </xf>
    <xf numFmtId="0" fontId="69" fillId="0" borderId="0" xfId="0" applyFont="1" applyAlignment="1" applyProtection="1">
      <alignment wrapText="1"/>
      <protection locked="0"/>
    </xf>
    <xf numFmtId="0" fontId="13" fillId="12" borderId="0" xfId="0" applyFont="1" applyFill="1" applyAlignment="1" applyProtection="1">
      <alignment wrapText="1"/>
      <protection locked="0"/>
    </xf>
    <xf numFmtId="4" fontId="13" fillId="12" borderId="8" xfId="0" applyNumberFormat="1" applyFont="1" applyFill="1" applyBorder="1" applyAlignment="1" applyProtection="1">
      <alignment wrapText="1"/>
      <protection locked="0"/>
    </xf>
    <xf numFmtId="4" fontId="13" fillId="12" borderId="0" xfId="0" applyNumberFormat="1" applyFont="1" applyFill="1" applyAlignment="1" applyProtection="1">
      <alignment horizontal="left"/>
      <protection locked="0"/>
    </xf>
    <xf numFmtId="0" fontId="13" fillId="10" borderId="0" xfId="0" applyFont="1" applyFill="1" applyProtection="1">
      <protection locked="0"/>
    </xf>
    <xf numFmtId="16" fontId="14" fillId="0" borderId="0" xfId="0" quotePrefix="1" applyNumberFormat="1" applyFont="1" applyAlignment="1" applyProtection="1">
      <alignment vertical="top"/>
      <protection locked="0"/>
    </xf>
    <xf numFmtId="16" fontId="14" fillId="0" borderId="0" xfId="0" quotePrefix="1" applyNumberFormat="1" applyFont="1" applyAlignment="1" applyProtection="1">
      <alignment vertical="center"/>
      <protection locked="0"/>
    </xf>
    <xf numFmtId="0" fontId="14" fillId="0" borderId="17" xfId="0" applyFont="1" applyBorder="1" applyAlignment="1" applyProtection="1">
      <alignment horizontal="left" vertical="center"/>
      <protection locked="0"/>
    </xf>
    <xf numFmtId="0" fontId="14" fillId="0" borderId="0" xfId="0" applyFont="1" applyAlignment="1" applyProtection="1">
      <alignment horizontal="right" vertical="top" wrapText="1"/>
      <protection locked="0"/>
    </xf>
    <xf numFmtId="0" fontId="13" fillId="9" borderId="3" xfId="0" applyFont="1" applyFill="1" applyBorder="1" applyAlignment="1" applyProtection="1">
      <alignment vertical="center" wrapText="1"/>
      <protection locked="0"/>
    </xf>
    <xf numFmtId="0" fontId="13" fillId="0" borderId="8" xfId="0" applyFont="1" applyBorder="1" applyAlignment="1" applyProtection="1">
      <alignment vertical="top" wrapText="1"/>
      <protection locked="0"/>
    </xf>
    <xf numFmtId="0" fontId="14" fillId="0" borderId="0" xfId="0" applyFont="1" applyAlignment="1" applyProtection="1">
      <alignment horizontal="right" vertical="center"/>
      <protection locked="0"/>
    </xf>
    <xf numFmtId="0" fontId="13" fillId="0" borderId="8" xfId="0" applyFont="1" applyBorder="1" applyAlignment="1" applyProtection="1">
      <alignment vertical="center" wrapText="1"/>
      <protection locked="0"/>
    </xf>
    <xf numFmtId="9" fontId="55" fillId="0" borderId="3" xfId="12" applyFont="1" applyFill="1" applyBorder="1" applyProtection="1">
      <protection locked="0"/>
    </xf>
    <xf numFmtId="0" fontId="14" fillId="0" borderId="0" xfId="0" quotePrefix="1" applyFont="1" applyAlignment="1" applyProtection="1">
      <alignment horizontal="right" vertical="top"/>
      <protection locked="0"/>
    </xf>
    <xf numFmtId="9" fontId="13" fillId="9" borderId="0" xfId="12" applyFont="1" applyFill="1" applyAlignment="1" applyProtection="1">
      <alignment horizontal="left" vertical="top"/>
      <protection locked="0"/>
    </xf>
    <xf numFmtId="0" fontId="13" fillId="9" borderId="0" xfId="0" applyFont="1" applyFill="1" applyProtection="1">
      <protection locked="0"/>
    </xf>
    <xf numFmtId="9" fontId="64" fillId="9" borderId="0" xfId="12" applyFont="1" applyFill="1" applyAlignment="1" applyProtection="1">
      <alignment horizontal="left" vertical="top"/>
      <protection locked="0"/>
    </xf>
    <xf numFmtId="0" fontId="43" fillId="0" borderId="0" xfId="0" applyFont="1" applyAlignment="1" applyProtection="1">
      <alignment horizontal="left"/>
      <protection locked="0"/>
    </xf>
    <xf numFmtId="0" fontId="13" fillId="0" borderId="0" xfId="11" applyFont="1" applyAlignment="1" applyProtection="1">
      <alignment horizontal="center" vertical="center"/>
      <protection locked="0"/>
    </xf>
    <xf numFmtId="0" fontId="13" fillId="9" borderId="0" xfId="0" applyFont="1" applyFill="1" applyAlignment="1" applyProtection="1">
      <alignment vertical="top" wrapText="1"/>
      <protection locked="0"/>
    </xf>
    <xf numFmtId="0" fontId="83" fillId="3" borderId="0" xfId="0" applyFont="1" applyFill="1" applyAlignment="1" applyProtection="1">
      <alignment vertical="top"/>
      <protection locked="0"/>
    </xf>
    <xf numFmtId="0" fontId="13" fillId="0" borderId="41" xfId="13" applyFont="1" applyBorder="1" applyProtection="1">
      <protection locked="0"/>
    </xf>
    <xf numFmtId="0" fontId="10" fillId="0" borderId="41" xfId="13" applyBorder="1" applyProtection="1">
      <protection locked="0"/>
    </xf>
    <xf numFmtId="0" fontId="13" fillId="0" borderId="23" xfId="13" applyFont="1" applyBorder="1" applyProtection="1">
      <protection locked="0"/>
    </xf>
    <xf numFmtId="0" fontId="13" fillId="0" borderId="7" xfId="13" applyFont="1" applyBorder="1" applyProtection="1">
      <protection locked="0"/>
    </xf>
    <xf numFmtId="0" fontId="10" fillId="0" borderId="0" xfId="9" applyFont="1" applyAlignment="1" applyProtection="1">
      <alignment vertical="top" wrapText="1"/>
      <protection locked="0"/>
    </xf>
    <xf numFmtId="0" fontId="23" fillId="0" borderId="22" xfId="9" applyFont="1" applyBorder="1" applyAlignment="1" applyProtection="1">
      <alignment horizontal="left" vertical="top" wrapText="1"/>
      <protection locked="0"/>
    </xf>
    <xf numFmtId="0" fontId="18" fillId="0" borderId="0" xfId="9" applyFont="1" applyAlignment="1" applyProtection="1">
      <alignment vertical="top" wrapText="1"/>
      <protection locked="0"/>
    </xf>
    <xf numFmtId="0" fontId="13" fillId="0" borderId="3" xfId="11" applyFont="1" applyBorder="1" applyAlignment="1" applyProtection="1">
      <alignment vertical="center" wrapText="1"/>
      <protection locked="0"/>
    </xf>
    <xf numFmtId="0" fontId="52" fillId="0" borderId="3" xfId="11" applyFont="1" applyBorder="1" applyAlignment="1" applyProtection="1">
      <alignment vertical="center" wrapText="1"/>
      <protection locked="0"/>
    </xf>
    <xf numFmtId="4" fontId="52" fillId="6" borderId="3" xfId="11" applyNumberFormat="1" applyFont="1" applyFill="1" applyBorder="1" applyAlignment="1" applyProtection="1">
      <alignment vertical="center" wrapText="1"/>
      <protection locked="0"/>
    </xf>
    <xf numFmtId="4" fontId="52" fillId="2" borderId="3" xfId="11" applyNumberFormat="1" applyFont="1" applyFill="1" applyBorder="1" applyAlignment="1" applyProtection="1">
      <alignment vertical="center" wrapText="1"/>
      <protection locked="0"/>
    </xf>
    <xf numFmtId="0" fontId="28" fillId="0" borderId="0" xfId="6" applyFont="1" applyAlignment="1" applyProtection="1">
      <alignment vertical="top" wrapText="1"/>
      <protection locked="0"/>
    </xf>
    <xf numFmtId="49" fontId="10" fillId="0" borderId="0" xfId="6" applyNumberFormat="1" applyFont="1" applyAlignment="1" applyProtection="1">
      <alignment vertical="top" wrapText="1"/>
      <protection locked="0"/>
    </xf>
    <xf numFmtId="0" fontId="10" fillId="0" borderId="0" xfId="6" applyFont="1" applyAlignment="1" applyProtection="1">
      <alignment vertical="top" wrapText="1"/>
      <protection locked="0"/>
    </xf>
    <xf numFmtId="4" fontId="13" fillId="0" borderId="0" xfId="0" applyNumberFormat="1" applyFont="1" applyAlignment="1" applyProtection="1">
      <alignment horizontal="center" vertical="center" wrapText="1"/>
      <protection locked="0"/>
    </xf>
    <xf numFmtId="0" fontId="40" fillId="0" borderId="0" xfId="3" applyFont="1" applyFill="1" applyAlignment="1" applyProtection="1">
      <protection locked="0"/>
    </xf>
    <xf numFmtId="4" fontId="13" fillId="0" borderId="0" xfId="0" applyNumberFormat="1" applyFont="1" applyAlignment="1" applyProtection="1">
      <alignment horizontal="center"/>
      <protection locked="0"/>
    </xf>
    <xf numFmtId="4" fontId="13" fillId="0" borderId="0" xfId="0" applyNumberFormat="1" applyFont="1" applyAlignment="1" applyProtection="1">
      <alignment horizontal="center" wrapText="1"/>
      <protection locked="0"/>
    </xf>
    <xf numFmtId="0" fontId="14" fillId="0" borderId="8" xfId="0" applyFont="1" applyBorder="1" applyProtection="1">
      <protection locked="0"/>
    </xf>
    <xf numFmtId="0" fontId="14" fillId="0" borderId="8" xfId="0" applyFont="1" applyBorder="1" applyAlignment="1" applyProtection="1">
      <alignment vertical="top"/>
      <protection locked="0"/>
    </xf>
    <xf numFmtId="4" fontId="14" fillId="6" borderId="0" xfId="0" applyNumberFormat="1" applyFont="1" applyFill="1" applyProtection="1">
      <protection locked="0"/>
    </xf>
    <xf numFmtId="4" fontId="14" fillId="6" borderId="0" xfId="0" applyNumberFormat="1" applyFont="1" applyFill="1" applyAlignment="1" applyProtection="1">
      <alignment horizontal="right" wrapText="1"/>
      <protection locked="0"/>
    </xf>
    <xf numFmtId="4" fontId="13" fillId="2" borderId="0" xfId="0" applyNumberFormat="1" applyFont="1" applyFill="1" applyAlignment="1" applyProtection="1">
      <alignment horizontal="right" wrapText="1"/>
      <protection locked="0"/>
    </xf>
    <xf numFmtId="4" fontId="13" fillId="9" borderId="0" xfId="0" applyNumberFormat="1" applyFont="1" applyFill="1" applyProtection="1">
      <protection locked="0"/>
    </xf>
    <xf numFmtId="4" fontId="13" fillId="2" borderId="0" xfId="0" applyNumberFormat="1" applyFont="1" applyFill="1" applyAlignment="1" applyProtection="1">
      <alignment wrapText="1"/>
      <protection locked="0"/>
    </xf>
    <xf numFmtId="4" fontId="13" fillId="9" borderId="0" xfId="0" applyNumberFormat="1" applyFont="1" applyFill="1" applyAlignment="1" applyProtection="1">
      <alignment horizontal="center"/>
      <protection locked="0"/>
    </xf>
    <xf numFmtId="4" fontId="13" fillId="0" borderId="0" xfId="0" applyNumberFormat="1" applyFont="1" applyAlignment="1" applyProtection="1">
      <alignment horizontal="right" wrapText="1"/>
      <protection locked="0"/>
    </xf>
    <xf numFmtId="4" fontId="13" fillId="0" borderId="0" xfId="0" applyNumberFormat="1" applyFont="1" applyAlignment="1" applyProtection="1">
      <alignment horizontal="left" wrapText="1"/>
      <protection locked="0"/>
    </xf>
    <xf numFmtId="4" fontId="13" fillId="7" borderId="0" xfId="0" applyNumberFormat="1" applyFont="1" applyFill="1" applyProtection="1">
      <protection locked="0"/>
    </xf>
    <xf numFmtId="4" fontId="13" fillId="2" borderId="0" xfId="0" applyNumberFormat="1" applyFont="1" applyFill="1" applyProtection="1">
      <protection locked="0"/>
    </xf>
    <xf numFmtId="4" fontId="13" fillId="2" borderId="9" xfId="0" applyNumberFormat="1" applyFont="1" applyFill="1" applyBorder="1" applyProtection="1">
      <protection locked="0"/>
    </xf>
    <xf numFmtId="4" fontId="13" fillId="6" borderId="0" xfId="0" applyNumberFormat="1" applyFont="1" applyFill="1" applyAlignment="1" applyProtection="1">
      <alignment horizontal="right" wrapText="1"/>
      <protection locked="0"/>
    </xf>
    <xf numFmtId="4" fontId="14" fillId="0" borderId="0" xfId="0" applyNumberFormat="1" applyFont="1" applyAlignment="1" applyProtection="1">
      <alignment horizontal="left" wrapText="1"/>
      <protection locked="0"/>
    </xf>
    <xf numFmtId="4" fontId="13" fillId="2" borderId="0" xfId="0" applyNumberFormat="1" applyFont="1" applyFill="1" applyAlignment="1" applyProtection="1">
      <alignment vertical="top" wrapText="1"/>
      <protection locked="0"/>
    </xf>
    <xf numFmtId="4" fontId="13" fillId="6" borderId="0" xfId="0" applyNumberFormat="1" applyFont="1" applyFill="1" applyProtection="1">
      <protection locked="0"/>
    </xf>
    <xf numFmtId="4" fontId="13" fillId="2" borderId="9" xfId="0" applyNumberFormat="1" applyFont="1" applyFill="1" applyBorder="1" applyAlignment="1" applyProtection="1">
      <alignment horizontal="right" wrapText="1"/>
      <protection locked="0"/>
    </xf>
    <xf numFmtId="0" fontId="77" fillId="0" borderId="0" xfId="0" applyFont="1" applyProtection="1">
      <protection locked="0"/>
    </xf>
    <xf numFmtId="0" fontId="13" fillId="0" borderId="0" xfId="0" applyFont="1" applyAlignment="1" applyProtection="1">
      <alignment wrapText="1"/>
      <protection locked="0"/>
    </xf>
    <xf numFmtId="0" fontId="77" fillId="9" borderId="0" xfId="0" applyFont="1" applyFill="1" applyProtection="1">
      <protection locked="0"/>
    </xf>
    <xf numFmtId="4" fontId="14" fillId="2" borderId="0" xfId="0" applyNumberFormat="1" applyFont="1" applyFill="1" applyProtection="1">
      <protection locked="0"/>
    </xf>
    <xf numFmtId="0" fontId="14" fillId="0" borderId="9" xfId="0" applyFont="1" applyBorder="1" applyProtection="1">
      <protection locked="0"/>
    </xf>
    <xf numFmtId="4" fontId="14" fillId="0" borderId="9" xfId="0" applyNumberFormat="1" applyFont="1" applyBorder="1" applyAlignment="1" applyProtection="1">
      <alignment vertical="top"/>
      <protection locked="0"/>
    </xf>
    <xf numFmtId="0" fontId="13" fillId="0" borderId="10" xfId="0" applyFont="1" applyBorder="1" applyProtection="1">
      <protection locked="0"/>
    </xf>
    <xf numFmtId="4" fontId="13" fillId="0" borderId="10" xfId="0" applyNumberFormat="1" applyFont="1" applyBorder="1" applyProtection="1">
      <protection locked="0"/>
    </xf>
    <xf numFmtId="4" fontId="48" fillId="0" borderId="0" xfId="0" applyNumberFormat="1" applyFont="1" applyProtection="1">
      <protection locked="0"/>
    </xf>
    <xf numFmtId="0" fontId="14" fillId="0" borderId="9" xfId="0" applyFont="1" applyBorder="1" applyAlignment="1" applyProtection="1">
      <alignment horizontal="centerContinuous"/>
      <protection locked="0"/>
    </xf>
    <xf numFmtId="0" fontId="13" fillId="0" borderId="9" xfId="0" applyFont="1" applyBorder="1" applyAlignment="1" applyProtection="1">
      <alignment horizontal="centerContinuous"/>
      <protection locked="0"/>
    </xf>
    <xf numFmtId="4" fontId="13" fillId="0" borderId="9" xfId="0" applyNumberFormat="1" applyFont="1" applyBorder="1" applyAlignment="1" applyProtection="1">
      <alignment horizontal="centerContinuous"/>
      <protection locked="0"/>
    </xf>
    <xf numFmtId="0" fontId="13" fillId="0" borderId="0" xfId="0" applyFont="1" applyAlignment="1" applyProtection="1">
      <alignment horizontal="right"/>
      <protection locked="0"/>
    </xf>
    <xf numFmtId="0" fontId="13" fillId="0" borderId="9" xfId="0" applyFont="1" applyBorder="1" applyAlignment="1" applyProtection="1">
      <alignment horizontal="right"/>
      <protection locked="0"/>
    </xf>
    <xf numFmtId="4" fontId="13" fillId="0" borderId="9" xfId="0" applyNumberFormat="1" applyFont="1" applyBorder="1" applyAlignment="1" applyProtection="1">
      <alignment horizontal="center" wrapText="1"/>
      <protection locked="0"/>
    </xf>
    <xf numFmtId="4" fontId="13" fillId="0" borderId="0" xfId="0" applyNumberFormat="1" applyFont="1" applyAlignment="1" applyProtection="1">
      <alignment horizontal="right"/>
      <protection locked="0"/>
    </xf>
    <xf numFmtId="4" fontId="44" fillId="2" borderId="0" xfId="0" applyNumberFormat="1" applyFont="1" applyFill="1" applyAlignment="1" applyProtection="1">
      <alignment horizontal="right"/>
      <protection locked="0"/>
    </xf>
    <xf numFmtId="4" fontId="13" fillId="2" borderId="0" xfId="0" applyNumberFormat="1" applyFont="1" applyFill="1" applyAlignment="1" applyProtection="1">
      <alignment horizontal="right"/>
      <protection locked="0"/>
    </xf>
    <xf numFmtId="4" fontId="14" fillId="6" borderId="0" xfId="0" applyNumberFormat="1" applyFont="1" applyFill="1" applyAlignment="1" applyProtection="1">
      <alignment horizontal="right"/>
      <protection locked="0"/>
    </xf>
    <xf numFmtId="4" fontId="14" fillId="0" borderId="0" xfId="0" applyNumberFormat="1" applyFont="1" applyAlignment="1" applyProtection="1">
      <alignment horizontal="left" vertical="top"/>
      <protection locked="0"/>
    </xf>
    <xf numFmtId="0" fontId="14" fillId="0" borderId="9"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4" fillId="0" borderId="0" xfId="0" applyFont="1" applyAlignment="1" applyProtection="1">
      <alignment wrapText="1"/>
      <protection locked="0"/>
    </xf>
    <xf numFmtId="4" fontId="13" fillId="0" borderId="3" xfId="0" applyNumberFormat="1" applyFont="1" applyBorder="1" applyAlignment="1" applyProtection="1">
      <alignment horizontal="center"/>
      <protection locked="0"/>
    </xf>
    <xf numFmtId="0" fontId="23" fillId="0" borderId="0" xfId="0" applyFont="1" applyProtection="1">
      <protection locked="0"/>
    </xf>
    <xf numFmtId="0" fontId="22" fillId="0" borderId="8" xfId="0" applyFont="1" applyBorder="1" applyProtection="1">
      <protection locked="0"/>
    </xf>
    <xf numFmtId="0" fontId="23" fillId="0" borderId="0" xfId="0" applyFont="1" applyAlignment="1" applyProtection="1">
      <alignment horizontal="center" vertical="center"/>
      <protection locked="0"/>
    </xf>
    <xf numFmtId="0" fontId="11" fillId="3" borderId="0" xfId="3" applyFill="1" applyAlignment="1" applyProtection="1">
      <protection locked="0"/>
    </xf>
    <xf numFmtId="0" fontId="22" fillId="0" borderId="9" xfId="0" applyFont="1" applyBorder="1" applyProtection="1">
      <protection locked="0"/>
    </xf>
    <xf numFmtId="0" fontId="23" fillId="0" borderId="9" xfId="0" applyFont="1" applyBorder="1" applyAlignment="1" applyProtection="1">
      <alignment horizontal="center" vertical="center"/>
      <protection locked="0"/>
    </xf>
    <xf numFmtId="0" fontId="23" fillId="0" borderId="0" xfId="0" applyFont="1" applyAlignment="1" applyProtection="1">
      <alignment vertical="center"/>
      <protection locked="0"/>
    </xf>
    <xf numFmtId="0" fontId="23" fillId="0" borderId="0" xfId="0" applyFont="1" applyAlignment="1" applyProtection="1">
      <alignment horizontal="left" vertical="center" indent="2"/>
      <protection locked="0"/>
    </xf>
    <xf numFmtId="0" fontId="22" fillId="0" borderId="0" xfId="0" applyFont="1" applyAlignment="1" applyProtection="1">
      <alignment horizontal="left" vertical="center" indent="4"/>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2" fillId="0" borderId="0" xfId="0" applyFont="1" applyAlignment="1" applyProtection="1">
      <alignment horizontal="left"/>
      <protection locked="0"/>
    </xf>
    <xf numFmtId="0" fontId="23" fillId="0" borderId="0" xfId="0" applyFont="1" applyAlignment="1" applyProtection="1">
      <alignment horizontal="left"/>
      <protection locked="0"/>
    </xf>
    <xf numFmtId="0" fontId="23" fillId="0" borderId="0" xfId="0" applyFont="1" applyAlignment="1" applyProtection="1">
      <alignment horizontal="left" vertical="top"/>
      <protection locked="0"/>
    </xf>
    <xf numFmtId="0" fontId="17" fillId="0" borderId="3" xfId="0" applyFont="1" applyBorder="1" applyProtection="1">
      <protection locked="0"/>
    </xf>
    <xf numFmtId="4" fontId="17" fillId="0" borderId="3" xfId="0" applyNumberFormat="1" applyFont="1" applyBorder="1" applyProtection="1">
      <protection locked="0"/>
    </xf>
    <xf numFmtId="0" fontId="23" fillId="0" borderId="8" xfId="0" applyFont="1" applyBorder="1" applyAlignment="1" applyProtection="1">
      <alignment horizontal="left"/>
      <protection locked="0"/>
    </xf>
    <xf numFmtId="0" fontId="23" fillId="0" borderId="8" xfId="0" applyFont="1" applyBorder="1" applyAlignment="1" applyProtection="1">
      <alignment horizontal="left" vertical="center"/>
      <protection locked="0"/>
    </xf>
    <xf numFmtId="0" fontId="23" fillId="0" borderId="8" xfId="0" applyFont="1" applyBorder="1" applyAlignment="1" applyProtection="1">
      <alignment horizontal="center" vertical="center"/>
      <protection locked="0"/>
    </xf>
    <xf numFmtId="0" fontId="22" fillId="0" borderId="21" xfId="0" applyFont="1" applyBorder="1" applyAlignment="1" applyProtection="1">
      <alignment horizontal="left"/>
      <protection locked="0"/>
    </xf>
    <xf numFmtId="0" fontId="22" fillId="0" borderId="21" xfId="0" applyFont="1" applyBorder="1" applyAlignment="1" applyProtection="1">
      <alignment horizontal="center"/>
      <protection locked="0"/>
    </xf>
    <xf numFmtId="4" fontId="22" fillId="0" borderId="21" xfId="0" applyNumberFormat="1" applyFont="1"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4" fontId="21" fillId="0" borderId="0" xfId="0" applyNumberFormat="1" applyFont="1" applyAlignment="1" applyProtection="1">
      <alignment horizontal="right"/>
      <protection locked="0"/>
    </xf>
    <xf numFmtId="0" fontId="50" fillId="0" borderId="0" xfId="0" applyFont="1" applyAlignment="1" applyProtection="1">
      <alignment vertical="top"/>
      <protection locked="0"/>
    </xf>
    <xf numFmtId="0" fontId="13" fillId="0" borderId="0" xfId="11" applyFont="1" applyAlignment="1" applyProtection="1">
      <alignment horizontal="left" vertical="top" wrapText="1"/>
      <protection locked="0"/>
    </xf>
    <xf numFmtId="0" fontId="42" fillId="0" borderId="0" xfId="0" applyFont="1" applyAlignment="1" applyProtection="1">
      <alignment horizontal="center"/>
      <protection locked="0"/>
    </xf>
    <xf numFmtId="0" fontId="13" fillId="2" borderId="3" xfId="11" applyFont="1" applyFill="1" applyBorder="1" applyAlignment="1" applyProtection="1">
      <alignment vertical="center" wrapText="1"/>
      <protection locked="0"/>
    </xf>
    <xf numFmtId="0" fontId="13" fillId="0" borderId="0" xfId="11" applyFont="1" applyAlignment="1" applyProtection="1">
      <alignment vertical="center"/>
      <protection locked="0"/>
    </xf>
    <xf numFmtId="4" fontId="13" fillId="5" borderId="3" xfId="0" applyNumberFormat="1" applyFont="1" applyFill="1" applyBorder="1" applyAlignment="1" applyProtection="1">
      <alignment horizontal="center"/>
      <protection locked="0"/>
    </xf>
    <xf numFmtId="4" fontId="13" fillId="5" borderId="3" xfId="11" applyNumberFormat="1" applyFont="1" applyFill="1" applyBorder="1" applyProtection="1">
      <protection locked="0"/>
    </xf>
    <xf numFmtId="0" fontId="51" fillId="0" borderId="0" xfId="11" applyFont="1" applyAlignment="1" applyProtection="1">
      <alignment horizontal="center" vertical="center"/>
      <protection locked="0"/>
    </xf>
    <xf numFmtId="0" fontId="46" fillId="0" borderId="0" xfId="11" applyFont="1" applyAlignment="1" applyProtection="1">
      <alignment horizontal="right" vertical="top" wrapText="1"/>
      <protection locked="0"/>
    </xf>
    <xf numFmtId="0" fontId="14" fillId="0" borderId="0" xfId="11" applyFont="1" applyAlignment="1" applyProtection="1">
      <alignment horizontal="center" wrapText="1"/>
      <protection locked="0"/>
    </xf>
    <xf numFmtId="0" fontId="51" fillId="0" borderId="0" xfId="11" applyFont="1" applyAlignment="1" applyProtection="1">
      <alignment horizontal="center"/>
      <protection locked="0"/>
    </xf>
    <xf numFmtId="0" fontId="51" fillId="0" borderId="0" xfId="11" applyFont="1" applyAlignment="1" applyProtection="1">
      <alignment vertical="center"/>
      <protection locked="0"/>
    </xf>
    <xf numFmtId="0" fontId="53" fillId="0" borderId="0" xfId="11" applyFont="1" applyProtection="1">
      <protection locked="0"/>
    </xf>
    <xf numFmtId="0" fontId="13" fillId="0" borderId="0" xfId="11" applyFont="1" applyAlignment="1" applyProtection="1">
      <alignment horizontal="center" vertical="top"/>
      <protection locked="0"/>
    </xf>
    <xf numFmtId="0" fontId="13" fillId="0" borderId="3" xfId="11" applyFont="1" applyBorder="1" applyAlignment="1" applyProtection="1">
      <alignment horizontal="center" vertical="center" wrapText="1"/>
      <protection locked="0"/>
    </xf>
    <xf numFmtId="0" fontId="13" fillId="0" borderId="2" xfId="0" applyFont="1" applyBorder="1" applyProtection="1">
      <protection locked="0"/>
    </xf>
    <xf numFmtId="4" fontId="13" fillId="2" borderId="3" xfId="11" applyNumberFormat="1" applyFont="1" applyFill="1" applyBorder="1" applyAlignment="1" applyProtection="1">
      <alignment vertical="center" wrapText="1"/>
      <protection locked="0"/>
    </xf>
    <xf numFmtId="0" fontId="13" fillId="2" borderId="0" xfId="0" applyFont="1" applyFill="1" applyAlignment="1" applyProtection="1">
      <alignment wrapText="1"/>
      <protection locked="0"/>
    </xf>
    <xf numFmtId="0" fontId="44" fillId="0" borderId="0" xfId="0" applyFont="1" applyAlignment="1" applyProtection="1">
      <alignment wrapText="1"/>
      <protection locked="0"/>
    </xf>
    <xf numFmtId="0" fontId="13" fillId="9" borderId="3" xfId="11" applyFont="1" applyFill="1" applyBorder="1" applyAlignment="1" applyProtection="1">
      <alignment horizontal="left" vertical="center" wrapText="1"/>
      <protection locked="0"/>
    </xf>
    <xf numFmtId="14" fontId="13" fillId="0" borderId="3" xfId="0" applyNumberFormat="1" applyFont="1" applyBorder="1" applyAlignment="1" applyProtection="1">
      <alignment horizontal="center"/>
      <protection locked="0"/>
    </xf>
    <xf numFmtId="0" fontId="14" fillId="0" borderId="0" xfId="0" quotePrefix="1" applyFont="1" applyAlignment="1" applyProtection="1">
      <alignment horizontal="left" vertical="top"/>
      <protection locked="0"/>
    </xf>
    <xf numFmtId="0" fontId="51" fillId="4" borderId="0" xfId="10" applyNumberFormat="1" applyFont="1" applyFill="1" applyAlignment="1" applyProtection="1">
      <alignment vertical="center"/>
      <protection locked="0"/>
    </xf>
    <xf numFmtId="0" fontId="13" fillId="9" borderId="3" xfId="11" applyFont="1" applyFill="1" applyBorder="1" applyAlignment="1" applyProtection="1">
      <alignment vertical="center" wrapText="1"/>
      <protection locked="0"/>
    </xf>
    <xf numFmtId="4" fontId="13" fillId="14" borderId="0" xfId="1507" applyNumberFormat="1" applyFont="1" applyFill="1" applyAlignment="1" applyProtection="1">
      <alignment horizontal="left"/>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40" fillId="0" borderId="0" xfId="3" applyFont="1" applyAlignment="1" applyProtection="1">
      <alignment horizontal="center"/>
      <protection locked="0"/>
    </xf>
    <xf numFmtId="4" fontId="13" fillId="2" borderId="0" xfId="0" applyNumberFormat="1" applyFont="1" applyFill="1" applyAlignment="1" applyProtection="1">
      <alignment horizontal="right" vertical="top"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left" vertical="top"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44" fillId="0" borderId="0" xfId="0" applyFont="1" applyAlignment="1" applyProtection="1">
      <alignment horizontal="left" vertical="top" wrapText="1"/>
      <protection locked="0"/>
    </xf>
    <xf numFmtId="4" fontId="13" fillId="6" borderId="3" xfId="11" applyNumberFormat="1"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protection locked="0"/>
    </xf>
    <xf numFmtId="0" fontId="13" fillId="2" borderId="3" xfId="0" applyFont="1" applyFill="1" applyBorder="1" applyAlignment="1" applyProtection="1">
      <alignment horizontal="left" vertical="center"/>
      <protection locked="0"/>
    </xf>
    <xf numFmtId="0" fontId="40" fillId="0" borderId="0" xfId="3" applyNumberFormat="1" applyFont="1" applyAlignment="1" applyProtection="1">
      <alignment horizontal="center"/>
      <protection locked="0"/>
    </xf>
    <xf numFmtId="0" fontId="44" fillId="0" borderId="0" xfId="0" applyFont="1" applyAlignment="1" applyProtection="1">
      <alignment horizontal="left" wrapText="1"/>
      <protection locked="0"/>
    </xf>
    <xf numFmtId="0" fontId="44" fillId="0" borderId="0" xfId="0" applyFont="1" applyAlignment="1" applyProtection="1">
      <alignment horizontal="justify" vertical="top" wrapText="1"/>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wrapText="1"/>
      <protection locked="0"/>
    </xf>
    <xf numFmtId="0" fontId="64" fillId="0" borderId="0" xfId="5" applyFont="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3" fillId="0" borderId="0" xfId="9" applyFont="1" applyAlignment="1" applyProtection="1">
      <alignment horizontal="left" vertical="center"/>
      <protection locked="0"/>
    </xf>
    <xf numFmtId="167" fontId="13" fillId="6" borderId="3" xfId="9" applyNumberFormat="1" applyFont="1" applyFill="1" applyBorder="1" applyAlignment="1" applyProtection="1">
      <alignment horizontal="center" vertical="center"/>
      <protection locked="0"/>
    </xf>
    <xf numFmtId="0" fontId="13" fillId="0" borderId="0" xfId="9" applyFont="1" applyAlignment="1" applyProtection="1">
      <alignment vertical="center"/>
      <protection locked="0"/>
    </xf>
    <xf numFmtId="9" fontId="13" fillId="2" borderId="3" xfId="12" applyFont="1" applyFill="1" applyBorder="1" applyAlignment="1" applyProtection="1">
      <alignment horizontal="center" vertical="center"/>
      <protection locked="0"/>
    </xf>
    <xf numFmtId="0" fontId="44" fillId="0" borderId="0" xfId="0" applyFont="1" applyAlignment="1" applyProtection="1">
      <alignment vertical="top" wrapText="1"/>
      <protection locked="0"/>
    </xf>
    <xf numFmtId="0" fontId="60" fillId="0" borderId="0" xfId="0" applyFont="1" applyAlignment="1" applyProtection="1">
      <alignment horizontal="left" vertical="top" wrapText="1"/>
      <protection locked="0"/>
    </xf>
    <xf numFmtId="0" fontId="13" fillId="9" borderId="3" xfId="0" quotePrefix="1" applyFont="1" applyFill="1" applyBorder="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4" fontId="13" fillId="9" borderId="3" xfId="0" applyNumberFormat="1" applyFont="1" applyFill="1" applyBorder="1" applyAlignment="1" applyProtection="1">
      <alignment horizontal="right" vertical="center" wrapText="1"/>
      <protection locked="0"/>
    </xf>
    <xf numFmtId="0" fontId="99" fillId="19" borderId="35" xfId="0" applyFont="1" applyFill="1" applyBorder="1" applyProtection="1">
      <protection locked="0"/>
    </xf>
    <xf numFmtId="0" fontId="10" fillId="0" borderId="0" xfId="1332" applyProtection="1">
      <protection locked="0"/>
    </xf>
    <xf numFmtId="0" fontId="0" fillId="0" borderId="35" xfId="0" applyBorder="1" applyProtection="1">
      <protection locked="0"/>
    </xf>
    <xf numFmtId="0" fontId="10" fillId="0" borderId="0" xfId="0" applyFont="1" applyProtection="1">
      <protection locked="0"/>
    </xf>
    <xf numFmtId="0" fontId="0" fillId="0" borderId="38" xfId="0" applyBorder="1" applyProtection="1">
      <protection locked="0"/>
    </xf>
    <xf numFmtId="0" fontId="0" fillId="0" borderId="36" xfId="0" applyBorder="1" applyProtection="1">
      <protection locked="0"/>
    </xf>
    <xf numFmtId="0" fontId="0" fillId="0" borderId="39" xfId="0" applyBorder="1" applyProtection="1">
      <protection locked="0"/>
    </xf>
    <xf numFmtId="0" fontId="10" fillId="0" borderId="37" xfId="0" applyFont="1" applyBorder="1" applyProtection="1">
      <protection locked="0"/>
    </xf>
    <xf numFmtId="0" fontId="0" fillId="0" borderId="37" xfId="0" applyBorder="1" applyProtection="1">
      <protection locked="0"/>
    </xf>
    <xf numFmtId="0" fontId="0" fillId="0" borderId="40" xfId="0" applyBorder="1" applyProtection="1">
      <protection locked="0"/>
    </xf>
    <xf numFmtId="0" fontId="14" fillId="0" borderId="0" xfId="0" applyFont="1" applyAlignment="1" applyProtection="1">
      <alignment horizontal="justify" wrapText="1"/>
      <protection locked="0"/>
    </xf>
    <xf numFmtId="0" fontId="48" fillId="0" borderId="0" xfId="0" applyFont="1" applyAlignment="1" applyProtection="1">
      <alignment horizontal="justify" wrapText="1"/>
      <protection locked="0"/>
    </xf>
    <xf numFmtId="0" fontId="13" fillId="0" borderId="0" xfId="0" applyFont="1" applyAlignment="1" applyProtection="1">
      <alignment horizontal="justify" wrapText="1"/>
      <protection locked="0"/>
    </xf>
    <xf numFmtId="0" fontId="14" fillId="0" borderId="0" xfId="0" applyFont="1" applyAlignment="1" applyProtection="1">
      <alignment horizontal="center" wrapText="1"/>
      <protection locked="0"/>
    </xf>
    <xf numFmtId="0" fontId="103" fillId="0" borderId="0" xfId="0" applyFont="1" applyAlignment="1" applyProtection="1">
      <alignment horizontal="left" wrapText="1"/>
      <protection locked="0"/>
    </xf>
    <xf numFmtId="0" fontId="103" fillId="0" borderId="0" xfId="3" applyFont="1" applyFill="1" applyAlignment="1" applyProtection="1">
      <alignment horizontal="left" vertical="top" wrapText="1"/>
      <protection locked="0"/>
    </xf>
    <xf numFmtId="0" fontId="41" fillId="0" borderId="0" xfId="3" applyFont="1" applyAlignment="1" applyProtection="1">
      <alignment vertical="top" wrapText="1"/>
      <protection locked="0"/>
    </xf>
    <xf numFmtId="4" fontId="14" fillId="0" borderId="0" xfId="6" applyNumberFormat="1" applyFont="1" applyAlignment="1" applyProtection="1">
      <alignment vertical="top"/>
      <protection locked="0"/>
    </xf>
    <xf numFmtId="0" fontId="40" fillId="0" borderId="0" xfId="3" applyFont="1" applyBorder="1" applyAlignment="1" applyProtection="1">
      <protection locked="0"/>
    </xf>
    <xf numFmtId="0" fontId="13" fillId="0" borderId="0" xfId="6" applyFont="1" applyAlignment="1" applyProtection="1">
      <alignment vertical="top"/>
      <protection locked="0"/>
    </xf>
    <xf numFmtId="14" fontId="13" fillId="0" borderId="0" xfId="6" applyNumberFormat="1" applyFont="1" applyProtection="1">
      <protection locked="0"/>
    </xf>
    <xf numFmtId="4" fontId="13" fillId="0" borderId="0" xfId="6" applyNumberFormat="1" applyFont="1" applyProtection="1">
      <protection locked="0"/>
    </xf>
    <xf numFmtId="0" fontId="14" fillId="0" borderId="26" xfId="6" applyFont="1" applyBorder="1" applyProtection="1">
      <protection locked="0"/>
    </xf>
    <xf numFmtId="0" fontId="13" fillId="0" borderId="27" xfId="6" applyFont="1" applyBorder="1" applyProtection="1">
      <protection locked="0"/>
    </xf>
    <xf numFmtId="0" fontId="14" fillId="0" borderId="31" xfId="6" applyFont="1" applyBorder="1" applyProtection="1">
      <protection locked="0"/>
    </xf>
    <xf numFmtId="0" fontId="14" fillId="0" borderId="29" xfId="6" applyFont="1" applyBorder="1" applyProtection="1">
      <protection locked="0"/>
    </xf>
    <xf numFmtId="0" fontId="13" fillId="0" borderId="1" xfId="6" applyFont="1" applyBorder="1" applyProtection="1">
      <protection locked="0"/>
    </xf>
    <xf numFmtId="0" fontId="13" fillId="0" borderId="3" xfId="6" applyFont="1" applyBorder="1" applyProtection="1">
      <protection locked="0"/>
    </xf>
    <xf numFmtId="0" fontId="13" fillId="0" borderId="4" xfId="6" applyFont="1" applyBorder="1" applyAlignment="1" applyProtection="1">
      <alignment wrapText="1"/>
      <protection locked="0"/>
    </xf>
    <xf numFmtId="0" fontId="13" fillId="0" borderId="3" xfId="6" applyFont="1" applyBorder="1" applyAlignment="1" applyProtection="1">
      <alignment wrapText="1"/>
      <protection locked="0"/>
    </xf>
    <xf numFmtId="0" fontId="13" fillId="0" borderId="5" xfId="6" applyFont="1" applyBorder="1" applyAlignment="1" applyProtection="1">
      <alignment wrapText="1"/>
      <protection locked="0"/>
    </xf>
    <xf numFmtId="0" fontId="13" fillId="0" borderId="6" xfId="6" applyFont="1" applyBorder="1" applyAlignment="1" applyProtection="1">
      <alignment horizontal="right"/>
      <protection locked="0"/>
    </xf>
    <xf numFmtId="0" fontId="13" fillId="2" borderId="0" xfId="6" applyFont="1" applyFill="1" applyAlignment="1" applyProtection="1">
      <alignment horizontal="right"/>
      <protection locked="0"/>
    </xf>
    <xf numFmtId="0" fontId="14" fillId="9" borderId="0" xfId="6" applyFont="1" applyFill="1" applyAlignment="1" applyProtection="1">
      <alignment horizontal="left"/>
      <protection locked="0"/>
    </xf>
    <xf numFmtId="0" fontId="83" fillId="0" borderId="0" xfId="6" applyFont="1" applyProtection="1">
      <protection locked="0"/>
    </xf>
    <xf numFmtId="0" fontId="14" fillId="0" borderId="0" xfId="6" applyFont="1" applyProtection="1">
      <protection locked="0"/>
    </xf>
    <xf numFmtId="0" fontId="14" fillId="0" borderId="0" xfId="11" applyFont="1" applyProtection="1">
      <protection locked="0"/>
    </xf>
    <xf numFmtId="0" fontId="55" fillId="0" borderId="0" xfId="6" applyFont="1" applyProtection="1">
      <protection locked="0"/>
    </xf>
    <xf numFmtId="0" fontId="0" fillId="9" borderId="0" xfId="0" applyFill="1" applyProtection="1">
      <protection locked="0"/>
    </xf>
    <xf numFmtId="0" fontId="40" fillId="14" borderId="0" xfId="3" applyFont="1" applyFill="1" applyBorder="1" applyAlignment="1" applyProtection="1">
      <protection locked="0"/>
    </xf>
    <xf numFmtId="0" fontId="13" fillId="9" borderId="0" xfId="1332" applyFont="1" applyFill="1" applyProtection="1">
      <protection locked="0"/>
    </xf>
    <xf numFmtId="0" fontId="8" fillId="0" borderId="0" xfId="2226" applyProtection="1">
      <protection locked="0"/>
    </xf>
    <xf numFmtId="0" fontId="44" fillId="0" borderId="0" xfId="3" applyFont="1" applyAlignment="1" applyProtection="1">
      <alignment horizontal="left"/>
      <protection locked="0"/>
    </xf>
    <xf numFmtId="0" fontId="40" fillId="0" borderId="0" xfId="3" applyFont="1" applyBorder="1" applyAlignment="1" applyProtection="1">
      <alignment horizontal="center"/>
      <protection locked="0"/>
    </xf>
    <xf numFmtId="0" fontId="44" fillId="0" borderId="0" xfId="3" applyFont="1" applyBorder="1" applyAlignment="1" applyProtection="1">
      <alignment vertical="top"/>
      <protection locked="0"/>
    </xf>
    <xf numFmtId="0" fontId="52" fillId="0" borderId="0" xfId="11" applyFont="1" applyAlignment="1" applyProtection="1">
      <alignment vertical="center"/>
      <protection locked="0"/>
    </xf>
    <xf numFmtId="0" fontId="52" fillId="12" borderId="3" xfId="11" applyFont="1" applyFill="1" applyBorder="1" applyAlignment="1" applyProtection="1">
      <alignment vertical="center" wrapText="1"/>
      <protection locked="0"/>
    </xf>
    <xf numFmtId="4" fontId="13" fillId="0" borderId="4" xfId="0" applyNumberFormat="1" applyFont="1" applyBorder="1" applyAlignment="1" applyProtection="1">
      <alignment horizontal="center"/>
      <protection locked="0"/>
    </xf>
    <xf numFmtId="4" fontId="13" fillId="5" borderId="4" xfId="11" applyNumberFormat="1" applyFont="1" applyFill="1" applyBorder="1" applyAlignment="1" applyProtection="1">
      <alignment vertical="center" wrapText="1"/>
      <protection locked="0"/>
    </xf>
    <xf numFmtId="4" fontId="13" fillId="5" borderId="0" xfId="11" applyNumberFormat="1" applyFont="1" applyFill="1" applyAlignment="1" applyProtection="1">
      <alignment vertical="center" wrapText="1"/>
      <protection locked="0"/>
    </xf>
    <xf numFmtId="0" fontId="52" fillId="0" borderId="0" xfId="11" applyFont="1" applyProtection="1">
      <protection locked="0"/>
    </xf>
    <xf numFmtId="4" fontId="13" fillId="5" borderId="3" xfId="11" applyNumberFormat="1" applyFont="1" applyFill="1" applyBorder="1" applyAlignment="1" applyProtection="1">
      <alignment vertical="center" wrapText="1"/>
      <protection locked="0"/>
    </xf>
    <xf numFmtId="4" fontId="52" fillId="0" borderId="3" xfId="11" applyNumberFormat="1" applyFont="1" applyBorder="1" applyAlignment="1" applyProtection="1">
      <alignment vertical="center" wrapText="1"/>
      <protection locked="0"/>
    </xf>
    <xf numFmtId="4" fontId="13" fillId="0" borderId="0" xfId="11" applyNumberFormat="1" applyFont="1" applyProtection="1">
      <protection locked="0"/>
    </xf>
    <xf numFmtId="0" fontId="13" fillId="0" borderId="0" xfId="11" applyFont="1" applyAlignment="1" applyProtection="1">
      <alignment wrapText="1"/>
      <protection locked="0"/>
    </xf>
    <xf numFmtId="0" fontId="65" fillId="0" borderId="0" xfId="11" applyFont="1" applyProtection="1">
      <protection locked="0"/>
    </xf>
    <xf numFmtId="0" fontId="13" fillId="9" borderId="0" xfId="11" applyFont="1" applyFill="1" applyProtection="1">
      <protection locked="0"/>
    </xf>
    <xf numFmtId="0" fontId="52" fillId="2" borderId="3" xfId="11" applyFont="1" applyFill="1" applyBorder="1" applyAlignment="1" applyProtection="1">
      <alignment vertical="center" wrapText="1"/>
      <protection locked="0"/>
    </xf>
    <xf numFmtId="0" fontId="28" fillId="0" borderId="0" xfId="6" applyFont="1" applyAlignment="1" applyProtection="1">
      <alignment horizontal="left" vertical="top" wrapText="1"/>
      <protection locked="0"/>
    </xf>
    <xf numFmtId="0" fontId="21" fillId="0" borderId="0" xfId="6" applyFont="1" applyAlignment="1" applyProtection="1">
      <alignment vertical="top"/>
      <protection locked="0"/>
    </xf>
    <xf numFmtId="0" fontId="21" fillId="0" borderId="0" xfId="6" applyFont="1" applyAlignment="1" applyProtection="1">
      <alignment vertical="top" wrapText="1"/>
      <protection locked="0"/>
    </xf>
    <xf numFmtId="0" fontId="13" fillId="0" borderId="0" xfId="2225" applyNumberFormat="1" applyAlignment="1" applyProtection="1">
      <alignment vertical="top" wrapText="1"/>
      <protection locked="0"/>
    </xf>
    <xf numFmtId="0" fontId="13" fillId="0" borderId="0" xfId="2225" applyNumberFormat="1" applyAlignment="1" applyProtection="1">
      <alignment horizontal="left" vertical="top" wrapText="1"/>
      <protection locked="0"/>
    </xf>
    <xf numFmtId="0" fontId="13" fillId="21" borderId="0" xfId="2225" applyNumberFormat="1" applyFill="1" applyAlignment="1" applyProtection="1">
      <alignment vertical="top" wrapText="1"/>
      <protection locked="0"/>
    </xf>
    <xf numFmtId="0" fontId="28" fillId="0" borderId="0" xfId="0" applyFont="1" applyAlignment="1" applyProtection="1">
      <alignment vertical="top"/>
      <protection locked="0"/>
    </xf>
    <xf numFmtId="0" fontId="67" fillId="0" borderId="0" xfId="0" applyFont="1" applyAlignment="1" applyProtection="1">
      <alignment vertical="top" wrapText="1"/>
      <protection locked="0"/>
    </xf>
    <xf numFmtId="0" fontId="10" fillId="0" borderId="0" xfId="6" applyFont="1" applyAlignment="1" applyProtection="1">
      <alignment vertical="top"/>
      <protection locked="0"/>
    </xf>
    <xf numFmtId="0" fontId="28" fillId="0" borderId="0" xfId="6" applyFont="1" applyAlignment="1" applyProtection="1">
      <alignment horizontal="right" vertical="top" wrapText="1"/>
      <protection locked="0"/>
    </xf>
    <xf numFmtId="0" fontId="76" fillId="0" borderId="0" xfId="6" applyFont="1" applyAlignment="1" applyProtection="1">
      <alignment vertical="top" wrapText="1"/>
      <protection locked="0"/>
    </xf>
    <xf numFmtId="0" fontId="28" fillId="0" borderId="0" xfId="6" applyFont="1" applyAlignment="1" applyProtection="1">
      <alignment wrapText="1"/>
      <protection locked="0"/>
    </xf>
    <xf numFmtId="0" fontId="44" fillId="0" borderId="0" xfId="0" applyFont="1" applyAlignment="1" applyProtection="1">
      <alignment horizontal="left" vertical="top"/>
      <protection locked="0"/>
    </xf>
    <xf numFmtId="0" fontId="76" fillId="0" borderId="0" xfId="6" applyFont="1" applyAlignment="1" applyProtection="1">
      <alignment wrapText="1"/>
      <protection locked="0"/>
    </xf>
    <xf numFmtId="0" fontId="10" fillId="0" borderId="0" xfId="6" applyFont="1" applyAlignment="1" applyProtection="1">
      <alignment wrapText="1"/>
      <protection locked="0"/>
    </xf>
    <xf numFmtId="0" fontId="28" fillId="0" borderId="0" xfId="6" quotePrefix="1" applyFont="1" applyAlignment="1" applyProtection="1">
      <alignment wrapText="1"/>
      <protection locked="0"/>
    </xf>
    <xf numFmtId="0" fontId="28" fillId="0" borderId="0" xfId="6" quotePrefix="1" applyFont="1" applyAlignment="1" applyProtection="1">
      <alignment vertical="top" wrapText="1"/>
      <protection locked="0"/>
    </xf>
    <xf numFmtId="0" fontId="28" fillId="21" borderId="0" xfId="6" applyFont="1" applyFill="1" applyAlignment="1" applyProtection="1">
      <alignment vertical="top" wrapText="1"/>
      <protection locked="0"/>
    </xf>
    <xf numFmtId="0" fontId="13" fillId="21" borderId="0" xfId="0" applyFont="1" applyFill="1" applyAlignment="1" applyProtection="1">
      <alignment vertical="top" wrapText="1"/>
      <protection locked="0"/>
    </xf>
    <xf numFmtId="0" fontId="0" fillId="0" borderId="0" xfId="0" applyAlignment="1" applyProtection="1">
      <alignment vertical="top"/>
      <protection locked="0"/>
    </xf>
    <xf numFmtId="0" fontId="13" fillId="0" borderId="0" xfId="0" applyFont="1" applyAlignment="1" applyProtection="1">
      <alignment horizontal="justify" vertical="top"/>
      <protection locked="0"/>
    </xf>
    <xf numFmtId="0" fontId="96" fillId="0" borderId="0" xfId="6" applyFont="1" applyAlignment="1" applyProtection="1">
      <alignment vertical="top" wrapText="1"/>
      <protection locked="0"/>
    </xf>
    <xf numFmtId="0" fontId="13" fillId="0" borderId="0" xfId="0" applyFont="1" applyAlignment="1" applyProtection="1">
      <alignment horizontal="justify" vertical="top" wrapText="1"/>
      <protection locked="0"/>
    </xf>
    <xf numFmtId="9" fontId="13" fillId="0" borderId="0" xfId="0" applyNumberFormat="1" applyFont="1" applyAlignment="1" applyProtection="1">
      <alignment horizontal="justify" vertical="top" wrapText="1"/>
      <protection locked="0"/>
    </xf>
    <xf numFmtId="4" fontId="10" fillId="0" borderId="0" xfId="6" applyNumberFormat="1" applyFont="1" applyAlignment="1" applyProtection="1">
      <alignment vertical="top" wrapText="1"/>
      <protection locked="0"/>
    </xf>
    <xf numFmtId="4" fontId="28" fillId="0" borderId="0" xfId="6" quotePrefix="1" applyNumberFormat="1" applyFont="1" applyAlignment="1" applyProtection="1">
      <alignment vertical="top" wrapText="1"/>
      <protection locked="0"/>
    </xf>
    <xf numFmtId="0" fontId="14" fillId="0" borderId="0" xfId="0" applyFont="1" applyAlignment="1" applyProtection="1">
      <alignment horizontal="justify" vertical="top"/>
      <protection locked="0"/>
    </xf>
    <xf numFmtId="0" fontId="28" fillId="9" borderId="0" xfId="6" applyFont="1" applyFill="1" applyAlignment="1" applyProtection="1">
      <alignment vertical="top" wrapText="1"/>
      <protection locked="0"/>
    </xf>
    <xf numFmtId="0" fontId="67" fillId="0" borderId="0" xfId="0" applyFont="1" applyProtection="1">
      <protection locked="0"/>
    </xf>
    <xf numFmtId="0" fontId="28" fillId="18" borderId="0" xfId="6" applyFont="1" applyFill="1" applyAlignment="1" applyProtection="1">
      <alignment vertical="top" wrapText="1"/>
      <protection locked="0"/>
    </xf>
    <xf numFmtId="0" fontId="10" fillId="18" borderId="0" xfId="6" applyFont="1" applyFill="1" applyAlignment="1" applyProtection="1">
      <alignment vertical="top" wrapText="1"/>
      <protection locked="0"/>
    </xf>
    <xf numFmtId="49" fontId="28" fillId="0" borderId="0" xfId="6" applyNumberFormat="1" applyFont="1" applyAlignment="1" applyProtection="1">
      <alignment vertical="top" wrapText="1"/>
      <protection locked="0"/>
    </xf>
    <xf numFmtId="49" fontId="31" fillId="0" borderId="0" xfId="6" applyNumberFormat="1" applyFont="1" applyAlignment="1" applyProtection="1">
      <alignment vertical="top" wrapText="1"/>
      <protection locked="0"/>
    </xf>
    <xf numFmtId="0" fontId="31" fillId="0" borderId="0" xfId="6" applyFont="1" applyAlignment="1" applyProtection="1">
      <alignment vertical="top" wrapText="1"/>
      <protection locked="0"/>
    </xf>
    <xf numFmtId="0" fontId="10"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10" fillId="0" borderId="0" xfId="0" quotePrefix="1" applyFont="1" applyAlignment="1" applyProtection="1">
      <alignment vertical="top" wrapText="1"/>
      <protection locked="0"/>
    </xf>
    <xf numFmtId="4" fontId="31" fillId="0" borderId="0" xfId="6" applyNumberFormat="1" applyFont="1" applyAlignment="1" applyProtection="1">
      <alignment vertical="top" wrapText="1"/>
      <protection locked="0"/>
    </xf>
    <xf numFmtId="0" fontId="65" fillId="0" borderId="34" xfId="0" applyFont="1" applyBorder="1" applyAlignment="1" applyProtection="1">
      <alignment horizontal="left" vertical="top" wrapText="1"/>
      <protection locked="0"/>
    </xf>
    <xf numFmtId="0" fontId="10" fillId="0" borderId="0" xfId="6" applyFont="1" applyAlignment="1" applyProtection="1">
      <alignment horizontal="left" vertical="top" wrapText="1"/>
      <protection locked="0"/>
    </xf>
    <xf numFmtId="0" fontId="95" fillId="0" borderId="0" xfId="2230" applyFont="1" applyAlignment="1" applyProtection="1">
      <alignment vertical="top" wrapText="1"/>
      <protection locked="0"/>
    </xf>
    <xf numFmtId="0" fontId="95" fillId="0" borderId="0" xfId="2230" applyFont="1" applyAlignment="1" applyProtection="1">
      <alignment horizontal="justify" vertical="top" wrapText="1"/>
      <protection locked="0"/>
    </xf>
    <xf numFmtId="0" fontId="75" fillId="0" borderId="0" xfId="6" applyFont="1" applyAlignment="1" applyProtection="1">
      <alignment vertical="top" wrapText="1"/>
      <protection locked="0"/>
    </xf>
    <xf numFmtId="0" fontId="65" fillId="0" borderId="34" xfId="0" applyFont="1" applyBorder="1" applyAlignment="1" applyProtection="1">
      <alignment horizontal="left" vertical="center" wrapText="1"/>
      <protection locked="0"/>
    </xf>
    <xf numFmtId="0" fontId="60" fillId="0" borderId="0" xfId="0" applyFont="1" applyAlignment="1" applyProtection="1">
      <alignment vertical="top" wrapText="1"/>
      <protection locked="0"/>
    </xf>
    <xf numFmtId="4" fontId="48" fillId="0" borderId="0" xfId="0" applyNumberFormat="1" applyFont="1" applyAlignment="1" applyProtection="1">
      <alignment vertical="top" wrapText="1"/>
      <protection locked="0"/>
    </xf>
    <xf numFmtId="4" fontId="48" fillId="0" borderId="15" xfId="0" applyNumberFormat="1" applyFont="1" applyBorder="1" applyAlignment="1" applyProtection="1">
      <alignment vertical="top" wrapText="1"/>
      <protection locked="0"/>
    </xf>
    <xf numFmtId="4" fontId="21" fillId="0" borderId="0" xfId="6" applyNumberFormat="1" applyFont="1" applyAlignment="1" applyProtection="1">
      <alignment vertical="top" wrapText="1"/>
      <protection locked="0"/>
    </xf>
    <xf numFmtId="0" fontId="67" fillId="0" borderId="0" xfId="0" applyFont="1" applyAlignment="1" applyProtection="1">
      <alignment wrapText="1"/>
      <protection locked="0"/>
    </xf>
    <xf numFmtId="0" fontId="28" fillId="0" borderId="0" xfId="6" applyFont="1" applyAlignment="1" applyProtection="1">
      <alignment horizontal="left" wrapText="1"/>
      <protection locked="0"/>
    </xf>
    <xf numFmtId="0" fontId="6" fillId="0" borderId="0" xfId="6" applyFont="1" applyAlignment="1" applyProtection="1">
      <alignment vertical="top" wrapText="1"/>
      <protection locked="0"/>
    </xf>
    <xf numFmtId="0" fontId="10" fillId="0" borderId="0" xfId="6" quotePrefix="1" applyFont="1" applyAlignment="1" applyProtection="1">
      <alignment vertical="top" wrapText="1"/>
      <protection locked="0"/>
    </xf>
    <xf numFmtId="0" fontId="28"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96" fillId="0" borderId="0" xfId="0" applyFont="1" applyAlignment="1" applyProtection="1">
      <alignment vertical="top" wrapText="1"/>
      <protection locked="0"/>
    </xf>
    <xf numFmtId="172" fontId="89" fillId="0" borderId="0" xfId="2230" applyNumberFormat="1" applyFont="1" applyAlignment="1" applyProtection="1">
      <alignment vertical="top"/>
      <protection locked="0"/>
    </xf>
    <xf numFmtId="172" fontId="90" fillId="0" borderId="0" xfId="2230" applyNumberFormat="1" applyFont="1" applyAlignment="1" applyProtection="1">
      <alignment vertical="top"/>
      <protection locked="0"/>
    </xf>
    <xf numFmtId="172" fontId="91" fillId="0" borderId="0" xfId="2230" applyNumberFormat="1" applyFont="1" applyAlignment="1" applyProtection="1">
      <alignment vertical="top"/>
      <protection locked="0"/>
    </xf>
    <xf numFmtId="172" fontId="92" fillId="0" borderId="0" xfId="2230" applyNumberFormat="1" applyFont="1" applyAlignment="1" applyProtection="1">
      <alignment vertical="top"/>
      <protection locked="0"/>
    </xf>
    <xf numFmtId="172" fontId="93" fillId="0" borderId="0" xfId="2230" applyNumberFormat="1" applyFont="1" applyAlignment="1" applyProtection="1">
      <alignment vertical="top" wrapText="1"/>
      <protection locked="0"/>
    </xf>
    <xf numFmtId="172" fontId="93" fillId="0" borderId="0" xfId="2230" applyNumberFormat="1" applyFont="1" applyAlignment="1" applyProtection="1">
      <alignment horizontal="left" vertical="top" wrapText="1"/>
      <protection locked="0"/>
    </xf>
    <xf numFmtId="0" fontId="94" fillId="0" borderId="0" xfId="0" applyFont="1" applyAlignment="1" applyProtection="1">
      <alignment vertical="top" wrapText="1"/>
      <protection locked="0"/>
    </xf>
    <xf numFmtId="0" fontId="94" fillId="0" borderId="0" xfId="0" applyFont="1" applyAlignment="1" applyProtection="1">
      <alignment horizontal="justify" vertical="top" wrapText="1"/>
      <protection locked="0"/>
    </xf>
    <xf numFmtId="0" fontId="67" fillId="0" borderId="0" xfId="0" applyFont="1" applyAlignment="1" applyProtection="1">
      <alignment horizontal="justify" vertical="center"/>
      <protection locked="0"/>
    </xf>
    <xf numFmtId="0" fontId="67" fillId="0" borderId="0" xfId="0" quotePrefix="1" applyFont="1" applyAlignment="1" applyProtection="1">
      <alignment horizontal="justify" vertical="center"/>
      <protection locked="0"/>
    </xf>
    <xf numFmtId="0" fontId="6" fillId="0" borderId="0" xfId="6" quotePrefix="1" applyFont="1" applyAlignment="1" applyProtection="1">
      <alignment vertical="top" wrapText="1"/>
      <protection locked="0"/>
    </xf>
    <xf numFmtId="0" fontId="67" fillId="0" borderId="0" xfId="0" applyFont="1" applyAlignment="1" applyProtection="1">
      <alignment vertical="top"/>
      <protection locked="0"/>
    </xf>
    <xf numFmtId="0" fontId="67" fillId="0" borderId="0" xfId="0" quotePrefix="1" applyFont="1" applyAlignment="1" applyProtection="1">
      <alignment wrapText="1"/>
      <protection locked="0"/>
    </xf>
    <xf numFmtId="0" fontId="73" fillId="0" borderId="0" xfId="6" applyFont="1" applyAlignment="1" applyProtection="1">
      <alignment vertical="top" wrapText="1"/>
      <protection locked="0"/>
    </xf>
    <xf numFmtId="4" fontId="28" fillId="0" borderId="0" xfId="6" applyNumberFormat="1" applyFont="1" applyAlignment="1" applyProtection="1">
      <alignment vertical="top"/>
      <protection locked="0"/>
    </xf>
    <xf numFmtId="49" fontId="10" fillId="0" borderId="0" xfId="6" applyNumberFormat="1" applyFont="1" applyAlignment="1" applyProtection="1">
      <alignment vertical="top"/>
      <protection locked="0"/>
    </xf>
    <xf numFmtId="0" fontId="28" fillId="0" borderId="0" xfId="6" applyFont="1" applyAlignment="1" applyProtection="1">
      <alignment vertical="top"/>
      <protection locked="0"/>
    </xf>
    <xf numFmtId="0" fontId="25" fillId="0" borderId="0" xfId="6" applyFont="1" applyAlignment="1" applyProtection="1">
      <alignment vertical="top" wrapText="1"/>
      <protection locked="0"/>
    </xf>
    <xf numFmtId="0" fontId="22" fillId="0" borderId="22" xfId="9" applyFont="1" applyBorder="1" applyAlignment="1" applyProtection="1">
      <alignment horizontal="left" vertical="top" wrapText="1"/>
      <protection locked="0"/>
    </xf>
    <xf numFmtId="0" fontId="21" fillId="0" borderId="0" xfId="9" applyFont="1" applyAlignment="1" applyProtection="1">
      <alignment vertical="top" wrapText="1"/>
      <protection locked="0"/>
    </xf>
    <xf numFmtId="0" fontId="23" fillId="0" borderId="0" xfId="9" applyFont="1" applyAlignment="1" applyProtection="1">
      <alignment horizontal="left" vertical="top" wrapText="1"/>
      <protection locked="0"/>
    </xf>
    <xf numFmtId="0" fontId="22" fillId="0" borderId="0" xfId="9" applyFont="1" applyAlignment="1" applyProtection="1">
      <alignment horizontal="left" vertical="top" wrapText="1"/>
      <protection locked="0"/>
    </xf>
    <xf numFmtId="0" fontId="25" fillId="0" borderId="0" xfId="0" applyFont="1" applyAlignment="1" applyProtection="1">
      <alignment vertical="top"/>
      <protection locked="0"/>
    </xf>
    <xf numFmtId="0" fontId="16" fillId="0" borderId="0" xfId="7" applyFont="1" applyAlignment="1" applyProtection="1">
      <alignment vertical="top" wrapText="1"/>
      <protection locked="0"/>
    </xf>
    <xf numFmtId="0" fontId="32" fillId="0" borderId="0" xfId="0" applyFont="1" applyAlignment="1" applyProtection="1">
      <alignment vertical="top" wrapText="1"/>
      <protection locked="0"/>
    </xf>
    <xf numFmtId="0" fontId="32" fillId="0" borderId="0" xfId="0" applyFont="1" applyAlignment="1" applyProtection="1">
      <alignment vertical="top"/>
      <protection locked="0"/>
    </xf>
    <xf numFmtId="0" fontId="0" fillId="0" borderId="0" xfId="0" applyAlignment="1" applyProtection="1">
      <alignment vertical="top" wrapText="1"/>
      <protection locked="0"/>
    </xf>
    <xf numFmtId="0" fontId="73" fillId="0" borderId="0" xfId="0" applyFont="1" applyAlignment="1" applyProtection="1">
      <alignment vertical="top" wrapText="1"/>
      <protection locked="0"/>
    </xf>
    <xf numFmtId="4" fontId="14" fillId="0" borderId="0" xfId="8" applyFont="1" applyAlignment="1" applyProtection="1">
      <alignment horizontal="right" vertical="top" wrapText="1"/>
      <protection locked="0"/>
    </xf>
    <xf numFmtId="4" fontId="14" fillId="0" borderId="0" xfId="8" applyFont="1" applyAlignment="1" applyProtection="1">
      <alignment horizontal="right" wrapText="1"/>
      <protection locked="0"/>
    </xf>
    <xf numFmtId="4" fontId="13" fillId="0" borderId="0" xfId="8" applyFont="1" applyAlignment="1" applyProtection="1">
      <alignment horizontal="right" vertical="top" wrapText="1"/>
      <protection locked="0"/>
    </xf>
    <xf numFmtId="0" fontId="13" fillId="0" borderId="0" xfId="7" applyFont="1" applyAlignment="1" applyProtection="1">
      <alignment horizontal="left" vertical="top"/>
      <protection locked="0"/>
    </xf>
    <xf numFmtId="0" fontId="13" fillId="0" borderId="0" xfId="7" applyFont="1" applyAlignment="1" applyProtection="1">
      <alignment horizontal="left"/>
      <protection locked="0"/>
    </xf>
    <xf numFmtId="4" fontId="13" fillId="0" borderId="0" xfId="7" applyNumberFormat="1" applyFont="1" applyAlignment="1" applyProtection="1">
      <alignment horizontal="left"/>
      <protection locked="0"/>
    </xf>
    <xf numFmtId="0" fontId="13" fillId="0" borderId="0" xfId="7" applyFont="1" applyProtection="1">
      <protection locked="0"/>
    </xf>
    <xf numFmtId="4" fontId="13" fillId="0" borderId="0" xfId="7" applyNumberFormat="1" applyFont="1" applyProtection="1">
      <protection locked="0"/>
    </xf>
    <xf numFmtId="49" fontId="41" fillId="0" borderId="0" xfId="4" applyNumberFormat="1" applyFont="1" applyAlignment="1" applyProtection="1">
      <protection locked="0"/>
    </xf>
    <xf numFmtId="0" fontId="14" fillId="0" borderId="0" xfId="7" applyFont="1" applyAlignment="1" applyProtection="1">
      <alignment vertical="center" wrapText="1"/>
      <protection locked="0"/>
    </xf>
    <xf numFmtId="49" fontId="13" fillId="0" borderId="0" xfId="7" applyNumberFormat="1" applyFont="1" applyProtection="1">
      <protection locked="0"/>
    </xf>
    <xf numFmtId="0" fontId="14" fillId="0" borderId="0" xfId="7" applyFont="1" applyAlignment="1" applyProtection="1">
      <alignment vertical="top"/>
      <protection locked="0"/>
    </xf>
    <xf numFmtId="0" fontId="14" fillId="0" borderId="0" xfId="7" applyFont="1" applyAlignment="1" applyProtection="1">
      <alignment horizontal="right"/>
      <protection locked="0"/>
    </xf>
    <xf numFmtId="49" fontId="13" fillId="2" borderId="0" xfId="7" applyNumberFormat="1" applyFont="1" applyFill="1" applyProtection="1">
      <protection locked="0"/>
    </xf>
    <xf numFmtId="0" fontId="14" fillId="0" borderId="0" xfId="7" applyFont="1" applyAlignment="1" applyProtection="1">
      <alignment horizontal="left"/>
      <protection locked="0"/>
    </xf>
    <xf numFmtId="0" fontId="14" fillId="0" borderId="0" xfId="4" applyNumberFormat="1" applyFont="1" applyAlignment="1" applyProtection="1">
      <protection locked="0"/>
    </xf>
    <xf numFmtId="0" fontId="14" fillId="0" borderId="0" xfId="4" applyNumberFormat="1" applyFont="1" applyFill="1" applyAlignment="1" applyProtection="1">
      <alignment horizontal="right"/>
      <protection locked="0"/>
    </xf>
    <xf numFmtId="0" fontId="57" fillId="0" borderId="0" xfId="4" applyNumberFormat="1" applyFont="1" applyAlignment="1" applyProtection="1">
      <protection locked="0"/>
    </xf>
    <xf numFmtId="0" fontId="14" fillId="0" borderId="0" xfId="3" applyNumberFormat="1" applyFont="1" applyAlignment="1" applyProtection="1">
      <protection locked="0"/>
    </xf>
    <xf numFmtId="0" fontId="14" fillId="0" borderId="0" xfId="3" applyNumberFormat="1" applyFont="1" applyFill="1" applyAlignment="1" applyProtection="1">
      <protection locked="0"/>
    </xf>
    <xf numFmtId="0" fontId="14" fillId="0" borderId="0" xfId="4" applyNumberFormat="1" applyFont="1" applyFill="1" applyAlignment="1" applyProtection="1">
      <protection locked="0"/>
    </xf>
    <xf numFmtId="0" fontId="57" fillId="0" borderId="0" xfId="4" applyNumberFormat="1" applyFont="1" applyFill="1" applyAlignment="1" applyProtection="1">
      <protection locked="0"/>
    </xf>
    <xf numFmtId="0" fontId="14" fillId="0" borderId="0" xfId="4" applyNumberFormat="1" applyFont="1" applyAlignment="1" applyProtection="1">
      <alignment horizontal="left"/>
      <protection locked="0"/>
    </xf>
    <xf numFmtId="0" fontId="14" fillId="0" borderId="0" xfId="4" applyNumberFormat="1" applyFont="1" applyFill="1" applyAlignment="1" applyProtection="1">
      <alignment horizontal="left"/>
      <protection locked="0"/>
    </xf>
    <xf numFmtId="0" fontId="57" fillId="0" borderId="0" xfId="4" applyNumberFormat="1" applyFont="1" applyFill="1" applyAlignment="1" applyProtection="1">
      <alignment horizontal="left"/>
      <protection locked="0"/>
    </xf>
    <xf numFmtId="0" fontId="14" fillId="0" borderId="0" xfId="7" applyFont="1" applyAlignment="1" applyProtection="1">
      <alignment horizontal="left" vertical="top"/>
      <protection locked="0"/>
    </xf>
    <xf numFmtId="0" fontId="14" fillId="0" borderId="0" xfId="7" applyFont="1" applyProtection="1">
      <protection locked="0"/>
    </xf>
    <xf numFmtId="0" fontId="27" fillId="0" borderId="0" xfId="7" applyFont="1" applyProtection="1">
      <protection locked="0"/>
    </xf>
    <xf numFmtId="4" fontId="13" fillId="2" borderId="0" xfId="7" applyNumberFormat="1" applyFont="1" applyFill="1" applyProtection="1">
      <protection locked="0"/>
    </xf>
    <xf numFmtId="0" fontId="13" fillId="2" borderId="0" xfId="7" applyFont="1" applyFill="1" applyProtection="1">
      <protection locked="0"/>
    </xf>
    <xf numFmtId="0" fontId="13" fillId="0" borderId="0" xfId="7" applyFont="1" applyAlignment="1" applyProtection="1">
      <alignment horizontal="right"/>
      <protection locked="0"/>
    </xf>
    <xf numFmtId="0" fontId="15" fillId="0" borderId="0" xfId="7" applyFont="1" applyProtection="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protection locked="0"/>
    </xf>
    <xf numFmtId="0" fontId="13" fillId="0" borderId="0" xfId="7" applyFont="1" applyAlignment="1" applyProtection="1">
      <alignment horizontal="center" vertical="center"/>
      <protection locked="0"/>
    </xf>
    <xf numFmtId="0" fontId="13" fillId="0" borderId="0" xfId="7" applyFont="1" applyAlignment="1" applyProtection="1">
      <alignment vertical="top" wrapText="1"/>
      <protection locked="0"/>
    </xf>
    <xf numFmtId="4" fontId="13" fillId="0" borderId="0" xfId="7" applyNumberFormat="1" applyFont="1" applyAlignment="1" applyProtection="1">
      <alignment horizontal="right"/>
      <protection locked="0"/>
    </xf>
    <xf numFmtId="0" fontId="13" fillId="0" borderId="0" xfId="7" applyFont="1" applyAlignment="1" applyProtection="1">
      <alignment horizontal="left"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wrapText="1"/>
      <protection locked="0"/>
    </xf>
    <xf numFmtId="0" fontId="13" fillId="0" borderId="0" xfId="7" applyFont="1" applyAlignment="1" applyProtection="1">
      <alignment horizontal="left" wrapText="1"/>
      <protection locked="0"/>
    </xf>
    <xf numFmtId="4" fontId="13" fillId="2" borderId="0" xfId="7" applyNumberFormat="1" applyFont="1" applyFill="1" applyAlignment="1" applyProtection="1">
      <alignment horizontal="left"/>
      <protection locked="0"/>
    </xf>
    <xf numFmtId="0" fontId="13" fillId="2" borderId="0" xfId="7" applyFont="1" applyFill="1" applyAlignment="1" applyProtection="1">
      <alignment horizontal="left"/>
      <protection locked="0"/>
    </xf>
    <xf numFmtId="0" fontId="14" fillId="0" borderId="0" xfId="7" quotePrefix="1" applyFont="1" applyAlignment="1" applyProtection="1">
      <alignment horizontal="right"/>
      <protection locked="0"/>
    </xf>
    <xf numFmtId="0" fontId="14" fillId="0" borderId="0" xfId="4" applyNumberFormat="1" applyFont="1" applyAlignment="1" applyProtection="1">
      <alignment horizontal="right"/>
      <protection locked="0"/>
    </xf>
    <xf numFmtId="0" fontId="14" fillId="0" borderId="0" xfId="4" quotePrefix="1" applyNumberFormat="1" applyFont="1" applyAlignment="1" applyProtection="1">
      <alignment horizontal="right"/>
      <protection locked="0"/>
    </xf>
    <xf numFmtId="0" fontId="14" fillId="0" borderId="0" xfId="4" quotePrefix="1" applyNumberFormat="1" applyFont="1" applyFill="1" applyAlignment="1" applyProtection="1">
      <alignment horizontal="right"/>
      <protection locked="0"/>
    </xf>
    <xf numFmtId="0" fontId="14" fillId="11" borderId="0" xfId="3" applyNumberFormat="1" applyFont="1" applyFill="1" applyAlignment="1" applyProtection="1">
      <protection locked="0"/>
    </xf>
    <xf numFmtId="0" fontId="14" fillId="11" borderId="0" xfId="4" applyNumberFormat="1" applyFont="1" applyFill="1" applyAlignment="1" applyProtection="1">
      <protection locked="0"/>
    </xf>
    <xf numFmtId="0" fontId="14" fillId="0" borderId="0" xfId="3" applyNumberFormat="1" applyFont="1" applyAlignment="1" applyProtection="1">
      <alignment horizontal="left"/>
      <protection locked="0"/>
    </xf>
    <xf numFmtId="0" fontId="57" fillId="0" borderId="0" xfId="4" applyNumberFormat="1" applyFont="1" applyAlignment="1" applyProtection="1">
      <alignment horizontal="left"/>
      <protection locked="0"/>
    </xf>
    <xf numFmtId="14" fontId="13" fillId="0" borderId="3" xfId="0" applyNumberFormat="1" applyFont="1" applyBorder="1" applyAlignment="1" applyProtection="1">
      <alignment horizontal="center" vertical="center" wrapText="1"/>
      <protection locked="0"/>
    </xf>
    <xf numFmtId="0" fontId="13" fillId="0" borderId="3" xfId="11" applyFont="1" applyBorder="1" applyAlignment="1" applyProtection="1">
      <alignment horizontal="center" vertical="center"/>
      <protection locked="0"/>
    </xf>
    <xf numFmtId="0" fontId="14" fillId="0" borderId="0" xfId="11" applyFont="1" applyAlignment="1" applyProtection="1">
      <alignment vertical="top"/>
      <protection locked="0"/>
    </xf>
    <xf numFmtId="0" fontId="69" fillId="0" borderId="0" xfId="6" applyFont="1" applyProtection="1">
      <protection locked="0"/>
    </xf>
    <xf numFmtId="0" fontId="67" fillId="0" borderId="0" xfId="0" applyFont="1"/>
    <xf numFmtId="0" fontId="106" fillId="0" borderId="0" xfId="0" applyFont="1" applyAlignment="1">
      <alignment wrapText="1"/>
    </xf>
    <xf numFmtId="0" fontId="67" fillId="0" borderId="0" xfId="0" applyFont="1" applyAlignment="1">
      <alignment vertical="center" wrapText="1"/>
    </xf>
    <xf numFmtId="0" fontId="69" fillId="0" borderId="0" xfId="11" applyFont="1" applyProtection="1">
      <protection locked="0"/>
    </xf>
    <xf numFmtId="0" fontId="28" fillId="11" borderId="0" xfId="6" applyFont="1" applyFill="1" applyAlignment="1" applyProtection="1">
      <alignment vertical="top" wrapText="1"/>
      <protection locked="0"/>
    </xf>
    <xf numFmtId="0" fontId="28" fillId="23" borderId="0" xfId="6" applyFont="1" applyFill="1" applyAlignment="1" applyProtection="1">
      <alignment vertical="top" wrapText="1"/>
      <protection locked="0"/>
    </xf>
    <xf numFmtId="0" fontId="28" fillId="16" borderId="0" xfId="6" applyFont="1" applyFill="1" applyAlignment="1" applyProtection="1">
      <alignment vertical="top" wrapText="1"/>
      <protection locked="0"/>
    </xf>
    <xf numFmtId="0" fontId="10" fillId="16" borderId="0" xfId="6" applyFont="1" applyFill="1" applyAlignment="1" applyProtection="1">
      <alignment vertical="top" wrapText="1"/>
      <protection locked="0"/>
    </xf>
    <xf numFmtId="0" fontId="106" fillId="11" borderId="0" xfId="0" applyFont="1" applyFill="1" applyAlignment="1">
      <alignment wrapText="1"/>
    </xf>
    <xf numFmtId="0" fontId="28" fillId="11" borderId="0" xfId="6" quotePrefix="1" applyFont="1" applyFill="1" applyAlignment="1" applyProtection="1">
      <alignment vertical="top" wrapText="1"/>
      <protection locked="0"/>
    </xf>
    <xf numFmtId="0" fontId="83" fillId="0" borderId="0" xfId="0" applyFont="1" applyAlignment="1" applyProtection="1">
      <alignment vertical="center"/>
      <protection locked="0"/>
    </xf>
    <xf numFmtId="0" fontId="106" fillId="11" borderId="0" xfId="0" applyFont="1" applyFill="1" applyAlignment="1">
      <alignment vertical="top" wrapText="1"/>
    </xf>
    <xf numFmtId="0" fontId="28" fillId="24" borderId="25" xfId="6" applyFont="1" applyFill="1" applyBorder="1" applyAlignment="1" applyProtection="1">
      <alignment vertical="top" wrapText="1"/>
      <protection locked="0"/>
    </xf>
    <xf numFmtId="0" fontId="28" fillId="24" borderId="13" xfId="6" applyFont="1" applyFill="1" applyBorder="1" applyAlignment="1" applyProtection="1">
      <alignment vertical="top" wrapText="1"/>
      <protection locked="0"/>
    </xf>
    <xf numFmtId="0" fontId="28" fillId="24" borderId="25" xfId="6" applyFont="1" applyFill="1" applyBorder="1" applyAlignment="1" applyProtection="1">
      <alignment horizontal="center" vertical="top" wrapText="1"/>
      <protection locked="0"/>
    </xf>
    <xf numFmtId="0" fontId="28" fillId="24" borderId="11" xfId="6" applyFont="1" applyFill="1" applyBorder="1" applyAlignment="1" applyProtection="1">
      <alignment vertical="top" wrapText="1"/>
      <protection locked="0"/>
    </xf>
    <xf numFmtId="0" fontId="28" fillId="24" borderId="17" xfId="6" applyFont="1" applyFill="1" applyBorder="1" applyAlignment="1" applyProtection="1">
      <alignment vertical="top" wrapText="1"/>
      <protection locked="0"/>
    </xf>
    <xf numFmtId="0" fontId="28" fillId="24" borderId="4" xfId="6" applyFont="1" applyFill="1" applyBorder="1" applyAlignment="1" applyProtection="1">
      <alignment vertical="top" wrapText="1"/>
      <protection locked="0"/>
    </xf>
    <xf numFmtId="0" fontId="10" fillId="24" borderId="0" xfId="6" applyFont="1" applyFill="1" applyAlignment="1" applyProtection="1">
      <alignment vertical="top" wrapText="1"/>
      <protection locked="0"/>
    </xf>
    <xf numFmtId="0" fontId="28" fillId="24" borderId="24" xfId="6" applyFont="1" applyFill="1" applyBorder="1" applyAlignment="1" applyProtection="1">
      <alignment vertical="top" wrapText="1"/>
      <protection locked="0"/>
    </xf>
    <xf numFmtId="0" fontId="106" fillId="17" borderId="0" xfId="0" applyFont="1" applyFill="1" applyAlignment="1">
      <alignment wrapText="1"/>
    </xf>
    <xf numFmtId="0" fontId="28" fillId="17" borderId="0" xfId="6" quotePrefix="1" applyFont="1" applyFill="1" applyAlignment="1" applyProtection="1">
      <alignment vertical="top" wrapText="1"/>
      <protection locked="0"/>
    </xf>
    <xf numFmtId="0" fontId="28" fillId="17" borderId="0" xfId="6" applyFont="1" applyFill="1" applyAlignment="1" applyProtection="1">
      <alignment vertical="top" wrapText="1"/>
      <protection locked="0"/>
    </xf>
    <xf numFmtId="0" fontId="6" fillId="0" borderId="0" xfId="6" applyFont="1" applyAlignment="1" applyProtection="1">
      <alignment wrapText="1"/>
      <protection locked="0"/>
    </xf>
    <xf numFmtId="0" fontId="10" fillId="9" borderId="0" xfId="6" applyFont="1" applyFill="1" applyAlignment="1" applyProtection="1">
      <alignment vertical="top" wrapText="1"/>
      <protection locked="0"/>
    </xf>
    <xf numFmtId="0" fontId="13" fillId="11" borderId="0" xfId="0" applyFont="1" applyFill="1" applyAlignment="1" applyProtection="1">
      <alignment vertical="top" wrapText="1"/>
      <protection locked="0"/>
    </xf>
    <xf numFmtId="4" fontId="44" fillId="12" borderId="17" xfId="0" applyNumberFormat="1" applyFont="1" applyFill="1" applyBorder="1" applyAlignment="1" applyProtection="1">
      <alignment horizontal="right" vertical="top" wrapText="1"/>
      <protection locked="0"/>
    </xf>
    <xf numFmtId="4" fontId="13" fillId="12" borderId="0" xfId="0" applyNumberFormat="1" applyFont="1" applyFill="1" applyProtection="1">
      <protection locked="0"/>
    </xf>
    <xf numFmtId="0" fontId="13" fillId="12" borderId="9" xfId="0" applyFont="1" applyFill="1" applyBorder="1" applyAlignment="1" applyProtection="1">
      <alignment horizontal="left" vertical="center" wrapText="1"/>
      <protection locked="0"/>
    </xf>
    <xf numFmtId="4" fontId="44" fillId="12" borderId="0" xfId="0" applyNumberFormat="1" applyFont="1" applyFill="1" applyAlignment="1" applyProtection="1">
      <alignment horizontal="right" vertical="top" wrapText="1"/>
      <protection locked="0"/>
    </xf>
    <xf numFmtId="0" fontId="13" fillId="12" borderId="8" xfId="0" applyFont="1" applyFill="1" applyBorder="1" applyAlignment="1" applyProtection="1">
      <alignment horizontal="left" vertical="center" wrapText="1"/>
      <protection locked="0"/>
    </xf>
    <xf numFmtId="4" fontId="44" fillId="12" borderId="8" xfId="0" applyNumberFormat="1" applyFont="1" applyFill="1" applyBorder="1" applyAlignment="1" applyProtection="1">
      <alignment horizontal="right" vertical="top" wrapText="1"/>
      <protection locked="0"/>
    </xf>
    <xf numFmtId="4" fontId="44" fillId="12" borderId="9" xfId="0" applyNumberFormat="1" applyFont="1" applyFill="1" applyBorder="1" applyAlignment="1" applyProtection="1">
      <alignment horizontal="right" vertical="top" wrapText="1"/>
      <protection locked="0"/>
    </xf>
    <xf numFmtId="0" fontId="10" fillId="11" borderId="0" xfId="6" applyFont="1" applyFill="1" applyAlignment="1" applyProtection="1">
      <alignment wrapText="1"/>
      <protection locked="0"/>
    </xf>
    <xf numFmtId="0" fontId="55" fillId="0" borderId="0" xfId="0" applyFont="1" applyAlignment="1" applyProtection="1">
      <alignment horizontal="left" vertical="top"/>
      <protection locked="0"/>
    </xf>
    <xf numFmtId="0" fontId="13" fillId="2" borderId="0" xfId="0" applyFont="1" applyFill="1" applyAlignment="1" applyProtection="1">
      <alignment horizontal="left"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wrapText="1"/>
      <protection locked="0"/>
    </xf>
    <xf numFmtId="0" fontId="14" fillId="0" borderId="0" xfId="11" applyFont="1" applyAlignment="1" applyProtection="1">
      <alignment horizontal="left" vertical="center"/>
      <protection locked="0"/>
    </xf>
    <xf numFmtId="0" fontId="13" fillId="0" borderId="30" xfId="11" applyFont="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28" fillId="13" borderId="0" xfId="6" applyFont="1" applyFill="1" applyAlignment="1" applyProtection="1">
      <alignment vertical="top" wrapText="1"/>
      <protection locked="0"/>
    </xf>
    <xf numFmtId="0" fontId="10" fillId="13" borderId="0" xfId="6" applyFont="1" applyFill="1" applyAlignment="1" applyProtection="1">
      <alignment vertical="top" wrapText="1"/>
      <protection locked="0"/>
    </xf>
    <xf numFmtId="0" fontId="10" fillId="13" borderId="0" xfId="6" applyFont="1" applyFill="1" applyAlignment="1" applyProtection="1">
      <alignment horizontal="left" vertical="top" wrapText="1"/>
      <protection locked="0"/>
    </xf>
    <xf numFmtId="0" fontId="96" fillId="13" borderId="0" xfId="6" applyFont="1" applyFill="1" applyAlignment="1" applyProtection="1">
      <alignment vertical="top" wrapText="1"/>
      <protection locked="0"/>
    </xf>
    <xf numFmtId="0" fontId="28" fillId="13" borderId="0" xfId="6" applyFont="1" applyFill="1" applyAlignment="1" applyProtection="1">
      <alignment horizontal="left" vertical="top" wrapText="1"/>
      <protection locked="0"/>
    </xf>
    <xf numFmtId="0" fontId="6" fillId="13" borderId="0" xfId="6" applyFont="1" applyFill="1" applyAlignment="1" applyProtection="1">
      <alignment vertical="top" wrapText="1"/>
      <protection locked="0"/>
    </xf>
    <xf numFmtId="0" fontId="28" fillId="13" borderId="0" xfId="6" applyFont="1" applyFill="1" applyAlignment="1" applyProtection="1">
      <alignment wrapText="1"/>
      <protection locked="0"/>
    </xf>
    <xf numFmtId="0" fontId="6" fillId="13" borderId="0" xfId="6" applyFont="1" applyFill="1" applyAlignment="1" applyProtection="1">
      <alignment wrapText="1"/>
      <protection locked="0"/>
    </xf>
    <xf numFmtId="0" fontId="10" fillId="13" borderId="0" xfId="0" applyFont="1" applyFill="1" applyAlignment="1" applyProtection="1">
      <alignment vertical="top" wrapText="1"/>
      <protection locked="0"/>
    </xf>
    <xf numFmtId="0" fontId="67" fillId="13" borderId="0" xfId="0" applyFont="1" applyFill="1" applyAlignment="1" applyProtection="1">
      <alignment horizontal="justify" vertical="center"/>
      <protection locked="0"/>
    </xf>
    <xf numFmtId="0" fontId="14" fillId="0" borderId="28" xfId="6" applyFont="1" applyBorder="1" applyProtection="1">
      <protection locked="0"/>
    </xf>
    <xf numFmtId="0" fontId="13" fillId="0" borderId="31" xfId="6" applyFont="1" applyBorder="1" applyProtection="1">
      <protection locked="0"/>
    </xf>
    <xf numFmtId="0" fontId="13" fillId="0" borderId="29" xfId="6" applyFont="1" applyBorder="1" applyProtection="1">
      <protection locked="0"/>
    </xf>
    <xf numFmtId="0" fontId="13" fillId="0" borderId="6" xfId="6" applyFont="1" applyBorder="1" applyProtection="1">
      <protection locked="0"/>
    </xf>
    <xf numFmtId="14" fontId="28" fillId="0" borderId="0" xfId="6" quotePrefix="1" applyNumberFormat="1" applyFont="1" applyAlignment="1" applyProtection="1">
      <alignment vertical="top" wrapText="1"/>
      <protection locked="0"/>
    </xf>
    <xf numFmtId="4" fontId="13" fillId="0" borderId="0" xfId="5" applyNumberFormat="1" applyFont="1" applyAlignment="1" applyProtection="1">
      <alignment vertical="top"/>
      <protection locked="0"/>
    </xf>
    <xf numFmtId="4" fontId="13" fillId="9" borderId="3" xfId="5" applyNumberFormat="1" applyFont="1" applyFill="1" applyBorder="1" applyAlignment="1" applyProtection="1">
      <alignment horizontal="right" vertical="top"/>
      <protection locked="0"/>
    </xf>
    <xf numFmtId="14" fontId="13" fillId="9" borderId="0" xfId="6" applyNumberFormat="1" applyFont="1" applyFill="1" applyProtection="1">
      <protection locked="0"/>
    </xf>
    <xf numFmtId="170" fontId="13" fillId="2" borderId="0" xfId="0" applyNumberFormat="1" applyFont="1" applyFill="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4" fontId="44" fillId="2" borderId="0" xfId="0" applyNumberFormat="1" applyFont="1" applyFill="1" applyAlignment="1" applyProtection="1">
      <alignment horizontal="right"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0" fillId="0" borderId="0" xfId="0" applyAlignment="1">
      <alignment wrapText="1"/>
    </xf>
    <xf numFmtId="14" fontId="0" fillId="0" borderId="0" xfId="0" applyNumberFormat="1"/>
    <xf numFmtId="14" fontId="13" fillId="0" borderId="0" xfId="6" quotePrefix="1" applyNumberFormat="1" applyFont="1" applyProtection="1">
      <protection locked="0"/>
    </xf>
    <xf numFmtId="0" fontId="13" fillId="0" borderId="9" xfId="6" applyFont="1" applyBorder="1" applyProtection="1">
      <protection locked="0"/>
    </xf>
    <xf numFmtId="0" fontId="10" fillId="0" borderId="9" xfId="0" applyFont="1" applyBorder="1"/>
    <xf numFmtId="0" fontId="10" fillId="0" borderId="0" xfId="0" applyFont="1" applyAlignment="1">
      <alignment wrapText="1"/>
    </xf>
    <xf numFmtId="14" fontId="13" fillId="0" borderId="3" xfId="6" applyNumberFormat="1" applyFont="1" applyBorder="1" applyProtection="1">
      <protection locked="0"/>
    </xf>
    <xf numFmtId="173" fontId="0" fillId="0" borderId="0" xfId="0" applyNumberFormat="1"/>
    <xf numFmtId="0" fontId="14" fillId="25" borderId="0" xfId="6" applyFont="1" applyFill="1" applyAlignment="1" applyProtection="1">
      <alignment vertical="top"/>
      <protection locked="0"/>
    </xf>
    <xf numFmtId="4" fontId="47" fillId="0" borderId="0" xfId="6" applyNumberFormat="1" applyFont="1" applyAlignment="1" applyProtection="1">
      <alignment vertical="top"/>
      <protection locked="0"/>
    </xf>
    <xf numFmtId="0" fontId="108" fillId="9" borderId="0" xfId="0" applyFont="1" applyFill="1" applyAlignment="1" applyProtection="1">
      <alignment vertical="top"/>
      <protection locked="0"/>
    </xf>
    <xf numFmtId="0" fontId="109" fillId="9" borderId="0" xfId="0" applyFont="1" applyFill="1" applyAlignment="1" applyProtection="1">
      <alignment horizontal="left" vertical="center"/>
      <protection locked="0"/>
    </xf>
    <xf numFmtId="0" fontId="107" fillId="9" borderId="0" xfId="0" applyFont="1" applyFill="1" applyAlignment="1" applyProtection="1">
      <alignment horizontal="center" vertical="center"/>
      <protection locked="0"/>
    </xf>
    <xf numFmtId="4" fontId="110" fillId="6" borderId="3" xfId="11" applyNumberFormat="1" applyFont="1" applyFill="1" applyBorder="1" applyAlignment="1" applyProtection="1">
      <alignment vertical="center" wrapText="1"/>
      <protection locked="0"/>
    </xf>
    <xf numFmtId="14" fontId="10" fillId="0" borderId="0" xfId="0" applyNumberFormat="1" applyFont="1"/>
    <xf numFmtId="0" fontId="14" fillId="0" borderId="9" xfId="11" applyFont="1" applyBorder="1" applyAlignment="1" applyProtection="1">
      <alignment horizontal="center" vertical="top" wrapText="1"/>
      <protection locked="0"/>
    </xf>
    <xf numFmtId="0" fontId="65" fillId="0" borderId="0" xfId="11" applyFont="1" applyAlignment="1" applyProtection="1">
      <alignment horizontal="left" vertical="center" wrapText="1"/>
      <protection locked="0"/>
    </xf>
    <xf numFmtId="4" fontId="13" fillId="9" borderId="0" xfId="0" applyNumberFormat="1" applyFont="1" applyFill="1" applyAlignment="1" applyProtection="1">
      <alignment horizontal="right"/>
      <protection locked="0"/>
    </xf>
    <xf numFmtId="4" fontId="44" fillId="9" borderId="0" xfId="0" applyNumberFormat="1" applyFont="1" applyFill="1" applyAlignment="1" applyProtection="1">
      <alignment horizontal="right"/>
      <protection locked="0"/>
    </xf>
    <xf numFmtId="0" fontId="70" fillId="0" borderId="0" xfId="0" applyFont="1" applyProtection="1">
      <protection locked="0"/>
    </xf>
    <xf numFmtId="0" fontId="71" fillId="0" borderId="0" xfId="0" applyFont="1" applyProtection="1">
      <protection locked="0"/>
    </xf>
    <xf numFmtId="0" fontId="18" fillId="0" borderId="0" xfId="0" applyFont="1" applyProtection="1">
      <protection locked="0"/>
    </xf>
    <xf numFmtId="0" fontId="55" fillId="0" borderId="0" xfId="0" applyFont="1" applyAlignment="1" applyProtection="1">
      <alignment horizontal="right" vertical="top"/>
      <protection locked="0"/>
    </xf>
    <xf numFmtId="173" fontId="13" fillId="0" borderId="0" xfId="6" applyNumberFormat="1" applyFont="1" applyProtection="1">
      <protection locked="0"/>
    </xf>
    <xf numFmtId="0" fontId="111" fillId="0" borderId="0" xfId="11" applyFont="1" applyAlignment="1" applyProtection="1">
      <alignment horizontal="center"/>
      <protection locked="0"/>
    </xf>
    <xf numFmtId="0" fontId="112" fillId="0" borderId="0" xfId="6" applyFont="1" applyProtection="1">
      <protection locked="0"/>
    </xf>
    <xf numFmtId="0" fontId="14" fillId="0" borderId="9" xfId="6" applyFont="1" applyBorder="1" applyProtection="1">
      <protection locked="0"/>
    </xf>
    <xf numFmtId="0" fontId="14" fillId="0" borderId="9" xfId="6" applyFont="1" applyBorder="1" applyAlignment="1" applyProtection="1">
      <alignment horizontal="center"/>
      <protection locked="0"/>
    </xf>
    <xf numFmtId="0" fontId="112" fillId="0" borderId="0" xfId="11" applyFont="1" applyProtection="1">
      <protection locked="0"/>
    </xf>
    <xf numFmtId="0" fontId="112" fillId="0" borderId="0" xfId="6" applyFont="1" applyAlignment="1" applyProtection="1">
      <alignment horizontal="center"/>
      <protection locked="0"/>
    </xf>
    <xf numFmtId="0" fontId="113" fillId="0" borderId="0" xfId="6" applyFont="1" applyProtection="1">
      <protection locked="0"/>
    </xf>
    <xf numFmtId="0" fontId="13" fillId="6" borderId="0" xfId="6" applyFont="1" applyFill="1" applyAlignment="1" applyProtection="1">
      <alignment vertical="center"/>
      <protection locked="0"/>
    </xf>
    <xf numFmtId="4" fontId="13" fillId="9" borderId="3" xfId="11"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right" vertical="center"/>
      <protection locked="0"/>
    </xf>
    <xf numFmtId="0" fontId="40" fillId="0" borderId="0" xfId="3" applyFont="1" applyBorder="1" applyAlignment="1" applyProtection="1">
      <alignment horizontal="center"/>
      <protection locked="0"/>
    </xf>
    <xf numFmtId="4" fontId="15" fillId="0" borderId="0" xfId="6" applyNumberFormat="1" applyFont="1" applyAlignment="1" applyProtection="1">
      <alignment horizontal="center" vertical="top"/>
      <protection locked="0"/>
    </xf>
    <xf numFmtId="4" fontId="63" fillId="14" borderId="0" xfId="1507" applyNumberFormat="1" applyFont="1" applyFill="1" applyAlignment="1" applyProtection="1">
      <alignment horizontal="left" wrapText="1"/>
      <protection locked="0"/>
    </xf>
    <xf numFmtId="4" fontId="13" fillId="14" borderId="0" xfId="1507" applyNumberFormat="1" applyFont="1" applyFill="1" applyAlignment="1" applyProtection="1">
      <alignment horizontal="left"/>
      <protection locked="0"/>
    </xf>
    <xf numFmtId="0" fontId="13" fillId="0" borderId="0" xfId="1507" applyFont="1" applyAlignment="1" applyProtection="1">
      <alignment horizontal="left"/>
      <protection locked="0"/>
    </xf>
    <xf numFmtId="0" fontId="13" fillId="15" borderId="0" xfId="1507" applyFont="1" applyFill="1" applyAlignment="1" applyProtection="1">
      <alignment vertical="top" wrapText="1"/>
      <protection locked="0"/>
    </xf>
    <xf numFmtId="0" fontId="13" fillId="15" borderId="0" xfId="1507" applyFont="1" applyFill="1" applyAlignment="1" applyProtection="1">
      <alignment horizontal="left" vertical="top" wrapText="1"/>
      <protection locked="0"/>
    </xf>
    <xf numFmtId="0" fontId="28" fillId="0" borderId="25" xfId="6" applyFont="1" applyBorder="1" applyAlignment="1" applyProtection="1">
      <alignment horizontal="center" vertical="top" wrapText="1"/>
      <protection locked="0"/>
    </xf>
    <xf numFmtId="0" fontId="28" fillId="0" borderId="13" xfId="6" applyFont="1" applyBorder="1" applyAlignment="1" applyProtection="1">
      <alignment horizontal="center" vertical="top" wrapText="1"/>
      <protection locked="0"/>
    </xf>
    <xf numFmtId="0" fontId="13" fillId="0" borderId="0" xfId="6" applyFont="1" applyAlignment="1" applyProtection="1">
      <alignment vertical="center" wrapText="1"/>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center" vertical="top" wrapText="1"/>
      <protection locked="0"/>
    </xf>
    <xf numFmtId="0" fontId="13" fillId="12" borderId="0" xfId="0" applyFont="1" applyFill="1" applyAlignment="1" applyProtection="1">
      <alignment horizontal="left" vertical="top" wrapText="1"/>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9" borderId="0" xfId="0" applyFont="1" applyFill="1" applyAlignment="1" applyProtection="1">
      <alignment horizontal="left" vertical="top"/>
      <protection locked="0"/>
    </xf>
    <xf numFmtId="0" fontId="13" fillId="9" borderId="0" xfId="0" applyFont="1" applyFill="1" applyAlignment="1" applyProtection="1">
      <alignment horizontal="center" vertical="top"/>
      <protection locked="0"/>
    </xf>
    <xf numFmtId="0" fontId="13" fillId="11" borderId="0" xfId="0" applyFont="1" applyFill="1" applyAlignment="1" applyProtection="1">
      <alignment horizontal="left" vertical="top" wrapText="1"/>
      <protection locked="0"/>
    </xf>
    <xf numFmtId="0" fontId="13" fillId="11" borderId="0" xfId="0" applyFont="1" applyFill="1" applyAlignment="1" applyProtection="1">
      <alignment horizontal="left" vertical="top"/>
      <protection locked="0"/>
    </xf>
    <xf numFmtId="0" fontId="13" fillId="20" borderId="0" xfId="0" applyFont="1" applyFill="1" applyAlignment="1" applyProtection="1">
      <alignment horizontal="left" vertical="top" wrapText="1"/>
      <protection locked="0"/>
    </xf>
    <xf numFmtId="0" fontId="13" fillId="20" borderId="0" xfId="0" applyFont="1" applyFill="1" applyAlignment="1" applyProtection="1">
      <alignment horizontal="left" vertical="top"/>
      <protection locked="0"/>
    </xf>
    <xf numFmtId="0" fontId="13" fillId="0" borderId="0" xfId="0" applyFont="1" applyAlignment="1" applyProtection="1">
      <alignment horizontal="left" vertical="top"/>
      <protection locked="0"/>
    </xf>
    <xf numFmtId="0" fontId="13" fillId="13" borderId="0" xfId="0" applyFont="1" applyFill="1" applyAlignment="1" applyProtection="1">
      <alignment horizontal="left" vertical="top" wrapText="1"/>
      <protection locked="0"/>
    </xf>
    <xf numFmtId="0" fontId="13" fillId="11" borderId="0" xfId="0" applyFont="1" applyFill="1" applyAlignment="1" applyProtection="1">
      <alignment horizontal="left" wrapText="1"/>
      <protection locked="0"/>
    </xf>
    <xf numFmtId="0" fontId="13" fillId="11" borderId="0" xfId="0" applyFont="1" applyFill="1" applyAlignment="1" applyProtection="1">
      <alignment horizontal="left"/>
      <protection locked="0"/>
    </xf>
    <xf numFmtId="14" fontId="13" fillId="2" borderId="0" xfId="0" applyNumberFormat="1" applyFont="1" applyFill="1" applyAlignment="1" applyProtection="1">
      <alignment horizontal="left" vertical="top"/>
      <protection locked="0"/>
    </xf>
    <xf numFmtId="4" fontId="13" fillId="9" borderId="0" xfId="0" applyNumberFormat="1" applyFont="1" applyFill="1" applyAlignment="1" applyProtection="1">
      <alignment horizontal="left" vertical="top"/>
      <protection locked="0"/>
    </xf>
    <xf numFmtId="2" fontId="13" fillId="7" borderId="0" xfId="0" applyNumberFormat="1" applyFont="1" applyFill="1" applyAlignment="1" applyProtection="1">
      <alignment horizontal="center" vertical="top"/>
      <protection locked="0"/>
    </xf>
    <xf numFmtId="171" fontId="13" fillId="2" borderId="0" xfId="0" applyNumberFormat="1" applyFont="1" applyFill="1" applyAlignment="1" applyProtection="1">
      <alignment horizontal="left" vertical="top" wrapText="1"/>
      <protection locked="0"/>
    </xf>
    <xf numFmtId="170" fontId="13" fillId="2" borderId="0" xfId="0" applyNumberFormat="1" applyFont="1" applyFill="1" applyAlignment="1" applyProtection="1">
      <alignment horizontal="left" vertical="top" wrapText="1"/>
      <protection locked="0"/>
    </xf>
    <xf numFmtId="0" fontId="44" fillId="0" borderId="0" xfId="0" applyFont="1" applyAlignment="1" applyProtection="1">
      <alignment horizontal="justify" vertical="top" wrapText="1"/>
      <protection locked="0"/>
    </xf>
    <xf numFmtId="0" fontId="60" fillId="2" borderId="0" xfId="0" applyFont="1" applyFill="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42" fillId="0" borderId="0" xfId="0" applyFont="1" applyAlignment="1" applyProtection="1">
      <alignment horizontal="center" vertical="top"/>
      <protection locked="0"/>
    </xf>
    <xf numFmtId="4" fontId="13" fillId="6" borderId="0" xfId="0" applyNumberFormat="1" applyFont="1" applyFill="1" applyAlignment="1" applyProtection="1">
      <alignment horizontal="left"/>
      <protection locked="0"/>
    </xf>
    <xf numFmtId="0" fontId="13" fillId="0" borderId="0" xfId="0" applyFont="1" applyAlignment="1" applyProtection="1">
      <alignment horizontal="center" vertical="top"/>
      <protection locked="0"/>
    </xf>
    <xf numFmtId="4" fontId="68" fillId="2" borderId="0" xfId="0" applyNumberFormat="1" applyFont="1" applyFill="1" applyAlignment="1" applyProtection="1">
      <alignment horizontal="center" vertical="top" wrapText="1"/>
      <protection locked="0"/>
    </xf>
    <xf numFmtId="4" fontId="14" fillId="0" borderId="0" xfId="0" applyNumberFormat="1" applyFont="1" applyAlignment="1" applyProtection="1">
      <alignment horizontal="left" vertical="top" wrapText="1"/>
      <protection locked="0"/>
    </xf>
    <xf numFmtId="4" fontId="13" fillId="0" borderId="0" xfId="0" applyNumberFormat="1" applyFont="1" applyAlignment="1" applyProtection="1">
      <alignment horizontal="left" vertical="top" wrapText="1"/>
      <protection locked="0"/>
    </xf>
    <xf numFmtId="0" fontId="40" fillId="0" borderId="0" xfId="3"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top"/>
      <protection locked="0"/>
    </xf>
    <xf numFmtId="0" fontId="27" fillId="0" borderId="9" xfId="0" applyFont="1" applyBorder="1" applyAlignment="1" applyProtection="1">
      <alignment horizontal="center" vertical="top"/>
      <protection locked="0"/>
    </xf>
    <xf numFmtId="4" fontId="14" fillId="0" borderId="0" xfId="0" applyNumberFormat="1" applyFont="1" applyAlignment="1" applyProtection="1">
      <alignment horizontal="left"/>
      <protection locked="0"/>
    </xf>
    <xf numFmtId="4" fontId="14" fillId="0" borderId="0" xfId="0" applyNumberFormat="1" applyFont="1" applyAlignment="1" applyProtection="1">
      <alignment horizontal="center"/>
      <protection locked="0"/>
    </xf>
    <xf numFmtId="0" fontId="13" fillId="0" borderId="0" xfId="1507" applyFont="1" applyAlignment="1" applyProtection="1">
      <alignment horizontal="right"/>
      <protection locked="0"/>
    </xf>
    <xf numFmtId="0" fontId="14" fillId="14" borderId="0" xfId="1507" applyFont="1" applyFill="1" applyAlignment="1" applyProtection="1">
      <alignment horizontal="right"/>
      <protection locked="0"/>
    </xf>
    <xf numFmtId="0" fontId="13" fillId="14" borderId="0" xfId="1507" applyFont="1" applyFill="1" applyAlignment="1" applyProtection="1">
      <alignment horizontal="right"/>
      <protection locked="0"/>
    </xf>
    <xf numFmtId="0" fontId="62" fillId="0" borderId="0" xfId="1507" applyFont="1" applyAlignment="1" applyProtection="1">
      <alignment horizontal="right"/>
      <protection locked="0"/>
    </xf>
    <xf numFmtId="0" fontId="52" fillId="0" borderId="3" xfId="11" applyFont="1" applyBorder="1" applyAlignment="1" applyProtection="1">
      <alignment horizontal="center" vertical="center" wrapText="1"/>
      <protection locked="0"/>
    </xf>
    <xf numFmtId="0" fontId="52" fillId="12" borderId="30" xfId="11" applyFont="1" applyFill="1" applyBorder="1" applyAlignment="1" applyProtection="1">
      <alignment horizontal="center" vertical="center" wrapText="1"/>
      <protection locked="0"/>
    </xf>
    <xf numFmtId="0" fontId="52" fillId="12" borderId="2" xfId="11" applyFont="1" applyFill="1" applyBorder="1" applyAlignment="1" applyProtection="1">
      <alignment horizontal="center" vertical="center" wrapText="1"/>
      <protection locked="0"/>
    </xf>
    <xf numFmtId="0" fontId="52" fillId="0" borderId="30" xfId="11" applyFont="1" applyBorder="1" applyAlignment="1" applyProtection="1">
      <alignment horizontal="center" vertical="center" wrapText="1"/>
      <protection locked="0"/>
    </xf>
    <xf numFmtId="0" fontId="52" fillId="0" borderId="2" xfId="11" applyFont="1" applyBorder="1" applyAlignment="1" applyProtection="1">
      <alignment horizontal="center" vertical="center" wrapText="1"/>
      <protection locked="0"/>
    </xf>
    <xf numFmtId="0" fontId="52" fillId="0" borderId="33" xfId="11" applyFont="1" applyBorder="1" applyAlignment="1" applyProtection="1">
      <alignment horizontal="center" vertical="center" wrapText="1"/>
      <protection locked="0"/>
    </xf>
    <xf numFmtId="0" fontId="52" fillId="0" borderId="11" xfId="11" applyFont="1" applyBorder="1" applyAlignment="1" applyProtection="1">
      <alignment horizontal="center" vertical="top" wrapText="1"/>
      <protection locked="0"/>
    </xf>
    <xf numFmtId="0" fontId="52" fillId="0" borderId="17" xfId="11" applyFont="1" applyBorder="1" applyAlignment="1" applyProtection="1">
      <alignment horizontal="center" vertical="top" wrapText="1"/>
      <protection locked="0"/>
    </xf>
    <xf numFmtId="0" fontId="52" fillId="0" borderId="4" xfId="11" applyFont="1" applyBorder="1" applyAlignment="1" applyProtection="1">
      <alignment horizontal="center" vertical="top" wrapText="1"/>
      <protection locked="0"/>
    </xf>
    <xf numFmtId="0" fontId="52" fillId="12" borderId="3" xfId="11" applyFont="1" applyFill="1" applyBorder="1" applyAlignment="1" applyProtection="1">
      <alignment horizontal="center" vertical="center" wrapText="1"/>
      <protection locked="0"/>
    </xf>
    <xf numFmtId="0" fontId="52" fillId="0" borderId="3" xfId="11" applyFont="1" applyBorder="1" applyAlignment="1" applyProtection="1">
      <alignment horizontal="center" vertical="top" wrapText="1"/>
      <protection locked="0"/>
    </xf>
    <xf numFmtId="0" fontId="13" fillId="9" borderId="0" xfId="11" applyFont="1" applyFill="1" applyAlignment="1" applyProtection="1">
      <alignment horizontal="left"/>
      <protection locked="0"/>
    </xf>
    <xf numFmtId="4" fontId="52" fillId="6" borderId="3" xfId="11" applyNumberFormat="1" applyFont="1" applyFill="1" applyBorder="1" applyAlignment="1" applyProtection="1">
      <alignment horizontal="right" vertical="center" wrapText="1"/>
      <protection locked="0"/>
    </xf>
    <xf numFmtId="4" fontId="52" fillId="0" borderId="3" xfId="11" applyNumberFormat="1" applyFont="1" applyBorder="1" applyAlignment="1" applyProtection="1">
      <alignment horizontal="left" vertical="center" wrapText="1"/>
      <protection locked="0"/>
    </xf>
    <xf numFmtId="0" fontId="51" fillId="0" borderId="0" xfId="11" applyFont="1" applyAlignment="1" applyProtection="1">
      <alignment horizontal="left" vertical="center"/>
      <protection locked="0"/>
    </xf>
    <xf numFmtId="0" fontId="14" fillId="0" borderId="11" xfId="11" applyFont="1" applyBorder="1" applyAlignment="1" applyProtection="1">
      <alignment horizontal="center" vertical="center" wrapText="1"/>
      <protection locked="0"/>
    </xf>
    <xf numFmtId="0" fontId="14" fillId="0" borderId="4" xfId="11" applyFont="1" applyBorder="1" applyAlignment="1" applyProtection="1">
      <alignment horizontal="center" vertical="center" wrapText="1"/>
      <protection locked="0"/>
    </xf>
    <xf numFmtId="0" fontId="42" fillId="0" borderId="0" xfId="0" applyFont="1" applyAlignment="1" applyProtection="1">
      <alignment horizontal="center"/>
      <protection locked="0"/>
    </xf>
    <xf numFmtId="0" fontId="13" fillId="2" borderId="0" xfId="0" applyFont="1" applyFill="1" applyAlignment="1" applyProtection="1">
      <alignment horizontal="left" wrapText="1"/>
      <protection locked="0"/>
    </xf>
    <xf numFmtId="0" fontId="52" fillId="12" borderId="18" xfId="11" applyFont="1" applyFill="1" applyBorder="1" applyAlignment="1" applyProtection="1">
      <alignment horizontal="center" vertical="center" wrapText="1"/>
      <protection locked="0"/>
    </xf>
    <xf numFmtId="0" fontId="52" fillId="12" borderId="20" xfId="11" applyFont="1" applyFill="1" applyBorder="1" applyAlignment="1" applyProtection="1">
      <alignment horizontal="center" vertical="center" wrapText="1"/>
      <protection locked="0"/>
    </xf>
    <xf numFmtId="0" fontId="60" fillId="9" borderId="0" xfId="11" applyFont="1" applyFill="1" applyAlignment="1" applyProtection="1">
      <alignment horizontal="left" vertical="top" wrapText="1"/>
      <protection locked="0"/>
    </xf>
    <xf numFmtId="0" fontId="13" fillId="9" borderId="0" xfId="11" applyFont="1" applyFill="1" applyAlignment="1" applyProtection="1">
      <alignment horizontal="left" vertical="top"/>
      <protection locked="0"/>
    </xf>
    <xf numFmtId="0" fontId="51" fillId="0" borderId="0" xfId="11" applyFont="1" applyAlignment="1" applyProtection="1">
      <alignment horizontal="left" vertical="center" wrapText="1"/>
      <protection locked="0"/>
    </xf>
    <xf numFmtId="4" fontId="79" fillId="9" borderId="11" xfId="0" applyNumberFormat="1" applyFont="1" applyFill="1" applyBorder="1" applyAlignment="1" applyProtection="1">
      <alignment horizontal="center" vertical="center"/>
      <protection locked="0"/>
    </xf>
    <xf numFmtId="4" fontId="79" fillId="9" borderId="4" xfId="0" applyNumberFormat="1" applyFont="1" applyFill="1" applyBorder="1" applyAlignment="1" applyProtection="1">
      <alignment horizontal="center" vertical="center"/>
      <protection locked="0"/>
    </xf>
    <xf numFmtId="4" fontId="13" fillId="6" borderId="3" xfId="0" applyNumberFormat="1"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center" vertical="center"/>
      <protection locked="0"/>
    </xf>
    <xf numFmtId="4" fontId="13" fillId="0" borderId="19" xfId="0" applyNumberFormat="1" applyFont="1" applyBorder="1" applyAlignment="1" applyProtection="1">
      <alignment horizontal="center" vertical="center"/>
      <protection locked="0"/>
    </xf>
    <xf numFmtId="4" fontId="79" fillId="9" borderId="32" xfId="0" applyNumberFormat="1" applyFont="1" applyFill="1" applyBorder="1" applyAlignment="1" applyProtection="1">
      <alignment horizontal="center" vertical="center"/>
      <protection locked="0"/>
    </xf>
    <xf numFmtId="4" fontId="79" fillId="9" borderId="15" xfId="0" applyNumberFormat="1" applyFont="1" applyFill="1" applyBorder="1" applyAlignment="1" applyProtection="1">
      <alignment horizontal="center" vertical="center"/>
      <protection locked="0"/>
    </xf>
    <xf numFmtId="4" fontId="79" fillId="9" borderId="20" xfId="0" applyNumberFormat="1" applyFont="1" applyFill="1" applyBorder="1" applyAlignment="1" applyProtection="1">
      <alignment horizontal="center" vertical="center"/>
      <protection locked="0"/>
    </xf>
    <xf numFmtId="4" fontId="79" fillId="9" borderId="16" xfId="0" applyNumberFormat="1" applyFont="1" applyFill="1" applyBorder="1" applyAlignment="1" applyProtection="1">
      <alignment horizontal="center" vertical="center"/>
      <protection locked="0"/>
    </xf>
    <xf numFmtId="4" fontId="13" fillId="6" borderId="11" xfId="0" applyNumberFormat="1" applyFont="1" applyFill="1" applyBorder="1" applyAlignment="1" applyProtection="1">
      <alignment horizontal="center" vertical="center" wrapText="1"/>
      <protection locked="0"/>
    </xf>
    <xf numFmtId="4" fontId="13" fillId="6" borderId="4" xfId="0" applyNumberFormat="1" applyFont="1" applyFill="1" applyBorder="1" applyAlignment="1" applyProtection="1">
      <alignment horizontal="center" vertical="center" wrapText="1"/>
      <protection locked="0"/>
    </xf>
    <xf numFmtId="0" fontId="79" fillId="0" borderId="3" xfId="0" applyFont="1" applyBorder="1" applyAlignment="1" applyProtection="1">
      <alignment horizontal="center" vertical="center" wrapText="1"/>
      <protection locked="0"/>
    </xf>
    <xf numFmtId="49" fontId="60" fillId="9" borderId="0" xfId="0" applyNumberFormat="1" applyFont="1" applyFill="1" applyAlignment="1" applyProtection="1">
      <alignment horizontal="left" vertical="top"/>
      <protection locked="0"/>
    </xf>
    <xf numFmtId="0" fontId="13" fillId="0" borderId="0" xfId="0" applyFont="1" applyAlignment="1" applyProtection="1">
      <alignment horizontal="left"/>
      <protection locked="0"/>
    </xf>
    <xf numFmtId="4" fontId="13" fillId="0" borderId="11" xfId="0" applyNumberFormat="1" applyFont="1" applyBorder="1" applyAlignment="1" applyProtection="1">
      <alignment horizontal="left" vertical="center" wrapText="1"/>
      <protection locked="0"/>
    </xf>
    <xf numFmtId="4" fontId="13" fillId="0" borderId="17" xfId="0" applyNumberFormat="1" applyFont="1" applyBorder="1" applyAlignment="1" applyProtection="1">
      <alignment horizontal="left" vertical="center" wrapText="1"/>
      <protection locked="0"/>
    </xf>
    <xf numFmtId="4" fontId="13" fillId="0" borderId="4" xfId="0" applyNumberFormat="1" applyFont="1" applyBorder="1" applyAlignment="1" applyProtection="1">
      <alignment horizontal="left" vertical="center" wrapText="1"/>
      <protection locked="0"/>
    </xf>
    <xf numFmtId="4" fontId="13" fillId="0" borderId="20" xfId="0" applyNumberFormat="1" applyFont="1" applyBorder="1" applyAlignment="1" applyProtection="1">
      <alignment horizontal="left" vertical="center" wrapText="1"/>
      <protection locked="0"/>
    </xf>
    <xf numFmtId="4" fontId="13" fillId="0" borderId="9" xfId="0" applyNumberFormat="1" applyFont="1" applyBorder="1" applyAlignment="1" applyProtection="1">
      <alignment horizontal="left" vertical="center" wrapText="1"/>
      <protection locked="0"/>
    </xf>
    <xf numFmtId="4" fontId="13" fillId="0" borderId="3" xfId="0" applyNumberFormat="1" applyFont="1" applyBorder="1" applyAlignment="1" applyProtection="1">
      <alignment horizontal="left" vertical="center" wrapText="1"/>
      <protection locked="0"/>
    </xf>
    <xf numFmtId="0" fontId="7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 fontId="13" fillId="0" borderId="32" xfId="0" applyNumberFormat="1" applyFont="1" applyBorder="1" applyAlignment="1" applyProtection="1">
      <alignment horizontal="left" vertical="center" wrapText="1"/>
      <protection locked="0"/>
    </xf>
    <xf numFmtId="4" fontId="13" fillId="0" borderId="0" xfId="0" applyNumberFormat="1" applyFont="1" applyAlignment="1" applyProtection="1">
      <alignment horizontal="left" vertical="center" wrapText="1"/>
      <protection locked="0"/>
    </xf>
    <xf numFmtId="4" fontId="13" fillId="0" borderId="32" xfId="0" applyNumberFormat="1" applyFont="1" applyBorder="1" applyAlignment="1" applyProtection="1">
      <alignment horizontal="left" vertical="center"/>
      <protection locked="0"/>
    </xf>
    <xf numFmtId="4" fontId="13" fillId="0" borderId="0" xfId="0" applyNumberFormat="1" applyFont="1" applyAlignment="1" applyProtection="1">
      <alignment horizontal="left" vertical="center"/>
      <protection locked="0"/>
    </xf>
    <xf numFmtId="4" fontId="13" fillId="0" borderId="15" xfId="0" applyNumberFormat="1" applyFont="1" applyBorder="1" applyAlignment="1" applyProtection="1">
      <alignment horizontal="left" vertical="center" wrapText="1"/>
      <protection locked="0"/>
    </xf>
    <xf numFmtId="0" fontId="13" fillId="0" borderId="3" xfId="11" applyFont="1" applyBorder="1" applyAlignment="1" applyProtection="1">
      <alignment horizontal="left" vertical="center" wrapText="1"/>
      <protection locked="0"/>
    </xf>
    <xf numFmtId="0" fontId="13" fillId="0" borderId="3" xfId="11" applyFont="1" applyBorder="1" applyAlignment="1" applyProtection="1">
      <alignment horizontal="center" vertical="center"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vertical="center" wrapText="1"/>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wrapText="1"/>
      <protection locked="0"/>
    </xf>
    <xf numFmtId="4" fontId="13" fillId="6" borderId="3" xfId="11" applyNumberFormat="1" applyFont="1" applyFill="1" applyBorder="1" applyAlignment="1" applyProtection="1">
      <alignment horizontal="right" vertical="center" wrapText="1"/>
      <protection locked="0"/>
    </xf>
    <xf numFmtId="0" fontId="13" fillId="0" borderId="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horizontal="left" vertical="center" wrapText="1"/>
      <protection locked="0"/>
    </xf>
    <xf numFmtId="0" fontId="13" fillId="9" borderId="11" xfId="0" applyFont="1" applyFill="1" applyBorder="1" applyAlignment="1" applyProtection="1">
      <alignment horizontal="left" vertical="center" wrapText="1"/>
      <protection locked="0"/>
    </xf>
    <xf numFmtId="0" fontId="13" fillId="9" borderId="17" xfId="0" applyFont="1" applyFill="1" applyBorder="1" applyAlignment="1" applyProtection="1">
      <alignment horizontal="left" vertical="center" wrapText="1"/>
      <protection locked="0"/>
    </xf>
    <xf numFmtId="0" fontId="13" fillId="9" borderId="4" xfId="0" applyFont="1" applyFill="1" applyBorder="1" applyAlignment="1" applyProtection="1">
      <alignment horizontal="left" vertical="center" wrapText="1"/>
      <protection locked="0"/>
    </xf>
    <xf numFmtId="0" fontId="13" fillId="2" borderId="3" xfId="0" applyFont="1" applyFill="1" applyBorder="1" applyAlignment="1" applyProtection="1">
      <alignment horizontal="left" vertical="center"/>
      <protection locked="0"/>
    </xf>
    <xf numFmtId="0" fontId="13" fillId="9" borderId="0" xfId="0" applyFont="1" applyFill="1" applyAlignment="1" applyProtection="1">
      <alignment horizontal="justify" vertical="top" wrapText="1"/>
      <protection locked="0"/>
    </xf>
    <xf numFmtId="0" fontId="13" fillId="0" borderId="3" xfId="0" applyFont="1" applyBorder="1" applyAlignment="1" applyProtection="1">
      <alignment horizontal="center"/>
      <protection locked="0"/>
    </xf>
    <xf numFmtId="4" fontId="13" fillId="9" borderId="3" xfId="0" applyNumberFormat="1" applyFont="1" applyFill="1" applyBorder="1" applyAlignment="1" applyProtection="1">
      <alignment horizontal="right" vertical="center"/>
      <protection locked="0"/>
    </xf>
    <xf numFmtId="0" fontId="44" fillId="0" borderId="0" xfId="0" applyFont="1" applyAlignment="1" applyProtection="1">
      <alignment horizontal="left" vertical="top" wrapText="1"/>
      <protection locked="0"/>
    </xf>
    <xf numFmtId="0" fontId="13" fillId="0" borderId="18" xfId="11" applyFont="1" applyBorder="1" applyAlignment="1" applyProtection="1">
      <alignment horizontal="center" vertical="center" wrapText="1"/>
      <protection locked="0"/>
    </xf>
    <xf numFmtId="0" fontId="13" fillId="0" borderId="19" xfId="11" applyFont="1" applyBorder="1" applyAlignment="1" applyProtection="1">
      <alignment horizontal="center" vertical="center" wrapText="1"/>
      <protection locked="0"/>
    </xf>
    <xf numFmtId="0" fontId="13" fillId="0" borderId="20" xfId="11" applyFont="1" applyBorder="1" applyAlignment="1" applyProtection="1">
      <alignment horizontal="center" vertical="center" wrapText="1"/>
      <protection locked="0"/>
    </xf>
    <xf numFmtId="0" fontId="13" fillId="0" borderId="16" xfId="11" applyFont="1" applyBorder="1" applyAlignment="1" applyProtection="1">
      <alignment horizontal="center" vertical="center" wrapText="1"/>
      <protection locked="0"/>
    </xf>
    <xf numFmtId="0" fontId="13" fillId="0" borderId="30" xfId="11" applyFont="1" applyBorder="1" applyAlignment="1" applyProtection="1">
      <alignment horizontal="center" vertical="center" wrapText="1"/>
      <protection locked="0"/>
    </xf>
    <xf numFmtId="0" fontId="13" fillId="0" borderId="2" xfId="11" applyFont="1" applyBorder="1" applyAlignment="1" applyProtection="1">
      <alignment horizontal="center" vertical="center" wrapText="1"/>
      <protection locked="0"/>
    </xf>
    <xf numFmtId="0" fontId="44" fillId="0" borderId="0" xfId="0" applyFont="1" applyAlignment="1" applyProtection="1">
      <alignment horizontal="left" wrapText="1"/>
      <protection locked="0"/>
    </xf>
    <xf numFmtId="0" fontId="13" fillId="0" borderId="0" xfId="0" applyFont="1" applyProtection="1">
      <protection locked="0"/>
    </xf>
    <xf numFmtId="0" fontId="14" fillId="0" borderId="3" xfId="11" applyFont="1" applyBorder="1" applyAlignment="1" applyProtection="1">
      <alignment horizontal="center"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9" borderId="4" xfId="11" applyNumberFormat="1" applyFont="1" applyFill="1" applyBorder="1" applyAlignment="1" applyProtection="1">
      <alignment horizontal="right" vertical="center" wrapText="1"/>
      <protection locked="0"/>
    </xf>
    <xf numFmtId="0" fontId="13" fillId="4" borderId="30" xfId="10" applyNumberFormat="1" applyFont="1" applyFill="1" applyBorder="1" applyAlignment="1" applyProtection="1">
      <alignment horizontal="center" vertical="center" wrapText="1"/>
      <protection locked="0"/>
    </xf>
    <xf numFmtId="0" fontId="13" fillId="4" borderId="2" xfId="10" applyNumberFormat="1" applyFont="1" applyFill="1" applyBorder="1" applyAlignment="1" applyProtection="1">
      <alignment horizontal="center" vertical="center" wrapText="1"/>
      <protection locked="0"/>
    </xf>
    <xf numFmtId="0" fontId="13" fillId="4" borderId="3" xfId="2" applyNumberFormat="1" applyFont="1" applyFill="1" applyBorder="1" applyAlignment="1" applyProtection="1">
      <alignment horizontal="center" vertical="center" wrapText="1"/>
      <protection locked="0"/>
    </xf>
    <xf numFmtId="0" fontId="13" fillId="4" borderId="18" xfId="2" applyNumberFormat="1" applyFont="1" applyFill="1" applyBorder="1" applyAlignment="1" applyProtection="1">
      <alignment horizontal="center" vertical="center" wrapText="1"/>
      <protection locked="0"/>
    </xf>
    <xf numFmtId="0" fontId="13" fillId="4" borderId="19" xfId="2" applyNumberFormat="1" applyFont="1" applyFill="1" applyBorder="1" applyAlignment="1" applyProtection="1">
      <alignment horizontal="center" vertical="center" wrapText="1"/>
      <protection locked="0"/>
    </xf>
    <xf numFmtId="0" fontId="13" fillId="4" borderId="20" xfId="2" applyNumberFormat="1" applyFont="1" applyFill="1" applyBorder="1" applyAlignment="1" applyProtection="1">
      <alignment horizontal="center" vertical="center" wrapText="1"/>
      <protection locked="0"/>
    </xf>
    <xf numFmtId="0" fontId="13" fillId="4" borderId="16" xfId="2" applyNumberFormat="1" applyFont="1" applyFill="1" applyBorder="1" applyAlignment="1" applyProtection="1">
      <alignment horizontal="center" vertical="center" wrapText="1"/>
      <protection locked="0"/>
    </xf>
    <xf numFmtId="0" fontId="13" fillId="4" borderId="2" xfId="2" applyNumberFormat="1" applyFont="1" applyFill="1" applyBorder="1" applyAlignment="1" applyProtection="1">
      <alignment horizontal="center" vertical="center" wrapText="1"/>
      <protection locked="0"/>
    </xf>
    <xf numFmtId="0" fontId="13" fillId="4" borderId="30" xfId="2" applyNumberFormat="1" applyFont="1" applyFill="1" applyBorder="1" applyAlignment="1" applyProtection="1">
      <alignment horizontal="center" vertical="center" wrapText="1"/>
      <protection locked="0"/>
    </xf>
    <xf numFmtId="0" fontId="13" fillId="2" borderId="3" xfId="11" applyFont="1" applyFill="1" applyBorder="1" applyAlignment="1" applyProtection="1">
      <alignment horizontal="left" vertical="center" wrapText="1"/>
      <protection locked="0"/>
    </xf>
    <xf numFmtId="0" fontId="13" fillId="0" borderId="11" xfId="11" applyFont="1" applyBorder="1" applyAlignment="1" applyProtection="1">
      <alignment horizontal="left" vertical="center" wrapText="1"/>
      <protection locked="0"/>
    </xf>
    <xf numFmtId="0" fontId="13" fillId="0" borderId="4" xfId="11" applyFont="1" applyBorder="1" applyAlignment="1" applyProtection="1">
      <alignment horizontal="left" vertical="center" wrapText="1"/>
      <protection locked="0"/>
    </xf>
    <xf numFmtId="4" fontId="13" fillId="9" borderId="3" xfId="11" applyNumberFormat="1" applyFont="1" applyFill="1" applyBorder="1" applyAlignment="1" applyProtection="1">
      <alignment horizontal="right" vertical="center" wrapText="1"/>
      <protection locked="0"/>
    </xf>
    <xf numFmtId="4" fontId="13" fillId="9" borderId="3" xfId="11" applyNumberFormat="1" applyFont="1" applyFill="1" applyBorder="1" applyAlignment="1" applyProtection="1">
      <alignment horizontal="right" vertical="center"/>
      <protection locked="0"/>
    </xf>
    <xf numFmtId="0" fontId="13" fillId="2" borderId="11" xfId="11" applyFont="1" applyFill="1" applyBorder="1" applyAlignment="1" applyProtection="1">
      <alignment horizontal="left" vertical="center" wrapText="1"/>
      <protection locked="0"/>
    </xf>
    <xf numFmtId="0" fontId="13" fillId="2" borderId="4" xfId="11" applyFont="1" applyFill="1" applyBorder="1" applyAlignment="1" applyProtection="1">
      <alignment horizontal="left" vertical="center" wrapText="1"/>
      <protection locked="0"/>
    </xf>
    <xf numFmtId="0" fontId="14" fillId="0" borderId="0" xfId="11" applyFont="1" applyAlignment="1" applyProtection="1">
      <alignment horizontal="left" vertical="center"/>
      <protection locked="0"/>
    </xf>
    <xf numFmtId="4" fontId="13" fillId="9" borderId="11" xfId="11" applyNumberFormat="1" applyFont="1" applyFill="1" applyBorder="1" applyAlignment="1" applyProtection="1">
      <alignment horizontal="right" vertical="center"/>
      <protection locked="0"/>
    </xf>
    <xf numFmtId="4" fontId="13" fillId="9" borderId="4" xfId="11" applyNumberFormat="1" applyFont="1" applyFill="1" applyBorder="1" applyAlignment="1" applyProtection="1">
      <alignment horizontal="right" vertical="center"/>
      <protection locked="0"/>
    </xf>
    <xf numFmtId="0" fontId="13" fillId="9" borderId="11" xfId="11" applyFont="1" applyFill="1" applyBorder="1" applyAlignment="1" applyProtection="1">
      <alignment horizontal="left" vertical="center" wrapText="1"/>
      <protection locked="0"/>
    </xf>
    <xf numFmtId="0" fontId="13" fillId="9" borderId="17" xfId="11" applyFont="1" applyFill="1" applyBorder="1" applyAlignment="1" applyProtection="1">
      <alignment horizontal="left" vertical="center" wrapText="1"/>
      <protection locked="0"/>
    </xf>
    <xf numFmtId="0" fontId="13" fillId="9" borderId="4" xfId="11" applyFont="1" applyFill="1" applyBorder="1" applyAlignment="1" applyProtection="1">
      <alignment horizontal="left" vertical="center" wrapText="1"/>
      <protection locked="0"/>
    </xf>
    <xf numFmtId="0" fontId="13" fillId="0" borderId="11" xfId="11" applyFont="1" applyBorder="1" applyAlignment="1" applyProtection="1">
      <alignment horizontal="center" vertical="center" wrapText="1"/>
      <protection locked="0"/>
    </xf>
    <xf numFmtId="0" fontId="13" fillId="0" borderId="17" xfId="11" applyFont="1" applyBorder="1" applyAlignment="1" applyProtection="1">
      <alignment horizontal="center" vertical="center" wrapText="1"/>
      <protection locked="0"/>
    </xf>
    <xf numFmtId="0" fontId="13" fillId="0" borderId="4" xfId="11" applyFont="1" applyBorder="1" applyAlignment="1" applyProtection="1">
      <alignment horizontal="center" vertical="center" wrapText="1"/>
      <protection locked="0"/>
    </xf>
    <xf numFmtId="0" fontId="13" fillId="0" borderId="30" xfId="11" applyFont="1" applyBorder="1" applyAlignment="1" applyProtection="1">
      <alignment horizontal="center" vertical="top" wrapText="1"/>
      <protection locked="0"/>
    </xf>
    <xf numFmtId="0" fontId="13" fillId="0" borderId="2" xfId="11" applyFont="1" applyBorder="1" applyAlignment="1" applyProtection="1">
      <alignment horizontal="center" vertical="top" wrapText="1"/>
      <protection locked="0"/>
    </xf>
    <xf numFmtId="0" fontId="13" fillId="0" borderId="3" xfId="11" applyFont="1" applyBorder="1" applyAlignment="1" applyProtection="1">
      <alignment horizontal="center" vertical="center"/>
      <protection locked="0"/>
    </xf>
    <xf numFmtId="0" fontId="40" fillId="0" borderId="0" xfId="3" applyNumberFormat="1" applyFont="1" applyAlignment="1" applyProtection="1">
      <alignment horizontal="center"/>
      <protection locked="0"/>
    </xf>
    <xf numFmtId="0" fontId="44" fillId="0" borderId="0" xfId="11" applyFont="1" applyAlignment="1" applyProtection="1">
      <alignment horizontal="left" vertical="top"/>
      <protection locked="0"/>
    </xf>
    <xf numFmtId="0" fontId="13" fillId="9" borderId="0" xfId="11" applyFont="1" applyFill="1" applyAlignment="1" applyProtection="1">
      <alignment horizontal="left" vertical="top" wrapText="1"/>
      <protection locked="0"/>
    </xf>
    <xf numFmtId="0" fontId="13" fillId="0" borderId="11" xfId="11" applyFont="1" applyBorder="1" applyAlignment="1" applyProtection="1">
      <alignment horizontal="left" vertical="top" wrapText="1"/>
      <protection locked="0"/>
    </xf>
    <xf numFmtId="0" fontId="13" fillId="0" borderId="17" xfId="11" applyFont="1" applyBorder="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13" fillId="0" borderId="17" xfId="11" applyFont="1" applyBorder="1" applyAlignment="1" applyProtection="1">
      <alignment horizontal="left" vertical="center" wrapText="1"/>
      <protection locked="0"/>
    </xf>
    <xf numFmtId="0" fontId="44" fillId="0" borderId="0" xfId="11" applyFont="1" applyAlignment="1" applyProtection="1">
      <alignment horizontal="justify" vertical="top" wrapText="1"/>
      <protection locked="0"/>
    </xf>
    <xf numFmtId="0" fontId="13" fillId="0" borderId="0" xfId="0" applyFont="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13" fillId="0" borderId="1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4" fontId="13" fillId="9" borderId="11" xfId="0" applyNumberFormat="1" applyFont="1" applyFill="1" applyBorder="1" applyAlignment="1" applyProtection="1">
      <alignment horizontal="left" vertical="center" wrapText="1"/>
      <protection locked="0"/>
    </xf>
    <xf numFmtId="4" fontId="13" fillId="9" borderId="17" xfId="0" applyNumberFormat="1" applyFont="1" applyFill="1" applyBorder="1" applyAlignment="1" applyProtection="1">
      <alignment horizontal="left" vertical="center" wrapText="1"/>
      <protection locked="0"/>
    </xf>
    <xf numFmtId="4" fontId="13" fillId="9" borderId="4" xfId="0" applyNumberFormat="1" applyFont="1" applyFill="1" applyBorder="1" applyAlignment="1" applyProtection="1">
      <alignment horizontal="left" vertical="center" wrapText="1"/>
      <protection locked="0"/>
    </xf>
    <xf numFmtId="4" fontId="13" fillId="9" borderId="14" xfId="0" applyNumberFormat="1" applyFont="1" applyFill="1" applyBorder="1" applyAlignment="1" applyProtection="1">
      <alignment horizontal="left" vertical="center" wrapText="1"/>
      <protection locked="0"/>
    </xf>
    <xf numFmtId="4" fontId="13" fillId="9" borderId="0" xfId="0" applyNumberFormat="1" applyFont="1" applyFill="1" applyAlignment="1" applyProtection="1">
      <alignment horizontal="left" vertical="center" wrapText="1"/>
      <protection locked="0"/>
    </xf>
    <xf numFmtId="4" fontId="13" fillId="9" borderId="15" xfId="0" applyNumberFormat="1" applyFont="1" applyFill="1" applyBorder="1" applyAlignment="1" applyProtection="1">
      <alignment horizontal="left" vertical="center" wrapText="1"/>
      <protection locked="0"/>
    </xf>
    <xf numFmtId="0" fontId="44" fillId="0" borderId="11"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13" fillId="0" borderId="0" xfId="11" applyFont="1" applyProtection="1">
      <protection locked="0"/>
    </xf>
    <xf numFmtId="0" fontId="44" fillId="0" borderId="11" xfId="0" applyFont="1" applyBorder="1" applyAlignment="1" applyProtection="1">
      <alignment horizontal="left" vertical="center" wrapText="1"/>
      <protection locked="0"/>
    </xf>
    <xf numFmtId="0" fontId="44" fillId="0" borderId="17" xfId="0" applyFont="1" applyBorder="1" applyAlignment="1" applyProtection="1">
      <alignment horizontal="left" vertical="center" wrapText="1"/>
      <protection locked="0"/>
    </xf>
    <xf numFmtId="0" fontId="13" fillId="9" borderId="14" xfId="0" applyFont="1" applyFill="1" applyBorder="1" applyAlignment="1" applyProtection="1">
      <alignment horizontal="left" vertical="center" wrapText="1"/>
      <protection locked="0"/>
    </xf>
    <xf numFmtId="0" fontId="13" fillId="9" borderId="0" xfId="0" applyFont="1" applyFill="1" applyAlignment="1" applyProtection="1">
      <alignment horizontal="left" vertical="center" wrapText="1"/>
      <protection locked="0"/>
    </xf>
    <xf numFmtId="0" fontId="13" fillId="9" borderId="15" xfId="0" applyFont="1" applyFill="1" applyBorder="1" applyAlignment="1" applyProtection="1">
      <alignment horizontal="left" vertical="center" wrapText="1"/>
      <protection locked="0"/>
    </xf>
    <xf numFmtId="4" fontId="13" fillId="6" borderId="11" xfId="0" applyNumberFormat="1" applyFont="1" applyFill="1" applyBorder="1" applyAlignment="1" applyProtection="1">
      <alignment horizontal="right" vertical="center"/>
      <protection locked="0"/>
    </xf>
    <xf numFmtId="4" fontId="13" fillId="6" borderId="4"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left" vertical="center" wrapText="1"/>
      <protection locked="0"/>
    </xf>
    <xf numFmtId="0" fontId="13" fillId="9" borderId="11" xfId="0" applyFont="1" applyFill="1" applyBorder="1" applyAlignment="1" applyProtection="1">
      <alignment horizontal="left" vertical="top" wrapText="1"/>
      <protection locked="0"/>
    </xf>
    <xf numFmtId="0" fontId="13" fillId="9" borderId="17" xfId="0" applyFont="1" applyFill="1" applyBorder="1" applyAlignment="1" applyProtection="1">
      <alignment horizontal="left" vertical="top" wrapText="1"/>
      <protection locked="0"/>
    </xf>
    <xf numFmtId="0" fontId="13" fillId="9" borderId="4" xfId="0" applyFont="1" applyFill="1" applyBorder="1" applyAlignment="1" applyProtection="1">
      <alignment horizontal="left" vertical="top"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65" fillId="0" borderId="0" xfId="11" applyFont="1" applyAlignment="1" applyProtection="1">
      <alignment horizontal="center" vertical="center" wrapText="1"/>
      <protection locked="0"/>
    </xf>
    <xf numFmtId="0" fontId="13" fillId="0" borderId="1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horizontal="right" vertical="center"/>
      <protection locked="0"/>
    </xf>
    <xf numFmtId="4" fontId="13" fillId="9" borderId="4"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9" borderId="0" xfId="5" applyFont="1" applyFill="1" applyAlignment="1" applyProtection="1">
      <alignment horizontal="left" vertical="top" wrapText="1"/>
      <protection locked="0"/>
    </xf>
    <xf numFmtId="0" fontId="65" fillId="9" borderId="0" xfId="5" applyFont="1" applyFill="1" applyAlignment="1" applyProtection="1">
      <alignment horizontal="left" vertical="top" wrapText="1"/>
      <protection locked="0"/>
    </xf>
    <xf numFmtId="0" fontId="65" fillId="9" borderId="15" xfId="5" applyFont="1" applyFill="1" applyBorder="1" applyAlignment="1" applyProtection="1">
      <alignment horizontal="left" vertical="top" wrapText="1"/>
      <protection locked="0"/>
    </xf>
    <xf numFmtId="0" fontId="54" fillId="0" borderId="0" xfId="0" applyFont="1" applyAlignment="1" applyProtection="1">
      <alignment horizontal="left" vertical="top"/>
      <protection locked="0"/>
    </xf>
    <xf numFmtId="4" fontId="64" fillId="0" borderId="0" xfId="0" applyNumberFormat="1" applyFont="1" applyAlignment="1" applyProtection="1">
      <alignment horizontal="left" vertical="top" wrapText="1"/>
      <protection locked="0"/>
    </xf>
    <xf numFmtId="4" fontId="64" fillId="0" borderId="15" xfId="0" applyNumberFormat="1" applyFont="1" applyBorder="1" applyAlignment="1" applyProtection="1">
      <alignment horizontal="left" vertical="top" wrapText="1"/>
      <protection locked="0"/>
    </xf>
    <xf numFmtId="0" fontId="65" fillId="9" borderId="0" xfId="5" applyFont="1" applyFill="1" applyAlignment="1" applyProtection="1">
      <alignment horizontal="left" vertical="top"/>
      <protection locked="0"/>
    </xf>
    <xf numFmtId="0" fontId="65" fillId="9" borderId="15" xfId="5" applyFont="1" applyFill="1" applyBorder="1" applyAlignment="1" applyProtection="1">
      <alignment horizontal="left" vertical="top"/>
      <protection locked="0"/>
    </xf>
    <xf numFmtId="4" fontId="13" fillId="6" borderId="18" xfId="0" applyNumberFormat="1" applyFont="1" applyFill="1" applyBorder="1" applyAlignment="1" applyProtection="1">
      <alignment horizontal="right" vertical="center"/>
      <protection locked="0"/>
    </xf>
    <xf numFmtId="4" fontId="13" fillId="6" borderId="19" xfId="0" applyNumberFormat="1" applyFont="1" applyFill="1" applyBorder="1" applyAlignment="1" applyProtection="1">
      <alignment horizontal="right" vertical="center"/>
      <protection locked="0"/>
    </xf>
    <xf numFmtId="4" fontId="13" fillId="6" borderId="20" xfId="0" applyNumberFormat="1" applyFont="1" applyFill="1" applyBorder="1" applyAlignment="1" applyProtection="1">
      <alignment horizontal="right" vertical="center"/>
      <protection locked="0"/>
    </xf>
    <xf numFmtId="4" fontId="13" fillId="6" borderId="16"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center" vertical="center" wrapText="1"/>
      <protection locked="0"/>
    </xf>
    <xf numFmtId="4" fontId="13" fillId="9" borderId="3" xfId="11" applyNumberFormat="1" applyFont="1" applyFill="1" applyBorder="1" applyAlignment="1" applyProtection="1">
      <alignment horizontal="left" vertical="center" wrapText="1"/>
      <protection locked="0"/>
    </xf>
    <xf numFmtId="0" fontId="13" fillId="0" borderId="18" xfId="0" applyFont="1" applyBorder="1" applyAlignment="1" applyProtection="1">
      <alignment horizontal="center" vertical="center" wrapText="1"/>
      <protection locked="0"/>
    </xf>
    <xf numFmtId="0" fontId="13" fillId="0" borderId="19" xfId="0" applyFont="1" applyBorder="1" applyAlignment="1" applyProtection="1">
      <alignment horizontal="center" vertical="center" wrapText="1"/>
      <protection locked="0"/>
    </xf>
    <xf numFmtId="0" fontId="13" fillId="0" borderId="18" xfId="0" applyFont="1" applyBorder="1" applyAlignment="1" applyProtection="1">
      <alignment horizontal="center" wrapText="1"/>
      <protection locked="0"/>
    </xf>
    <xf numFmtId="0" fontId="13" fillId="0" borderId="19" xfId="0" applyFont="1" applyBorder="1" applyAlignment="1" applyProtection="1">
      <alignment horizontal="center" wrapText="1"/>
      <protection locked="0"/>
    </xf>
    <xf numFmtId="4" fontId="13" fillId="9" borderId="0" xfId="11" applyNumberFormat="1" applyFont="1" applyFill="1" applyAlignment="1" applyProtection="1">
      <alignment horizontal="left" vertical="top" wrapText="1"/>
      <protection locked="0"/>
    </xf>
    <xf numFmtId="0" fontId="64" fillId="0" borderId="0" xfId="5" applyFont="1" applyAlignment="1" applyProtection="1">
      <alignment horizontal="left" vertical="top" wrapText="1"/>
      <protection locked="0"/>
    </xf>
    <xf numFmtId="0" fontId="64" fillId="0" borderId="15" xfId="5"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14" fillId="0" borderId="3" xfId="0" applyFont="1" applyBorder="1" applyAlignment="1" applyProtection="1">
      <alignment horizontal="center" vertical="center"/>
      <protection locked="0"/>
    </xf>
    <xf numFmtId="4" fontId="14" fillId="0" borderId="3" xfId="0" applyNumberFormat="1" applyFont="1" applyBorder="1" applyAlignment="1" applyProtection="1">
      <alignment horizontal="center" vertical="center"/>
      <protection locked="0"/>
    </xf>
    <xf numFmtId="4" fontId="14" fillId="2" borderId="3" xfId="0" applyNumberFormat="1" applyFont="1" applyFill="1" applyBorder="1" applyAlignment="1" applyProtection="1">
      <alignment vertical="center"/>
      <protection locked="0"/>
    </xf>
    <xf numFmtId="4" fontId="13" fillId="9" borderId="11" xfId="0" applyNumberFormat="1" applyFont="1" applyFill="1" applyBorder="1" applyAlignment="1" applyProtection="1">
      <alignment vertical="center"/>
      <protection locked="0"/>
    </xf>
    <xf numFmtId="4" fontId="13" fillId="9" borderId="4" xfId="0" applyNumberFormat="1" applyFont="1" applyFill="1" applyBorder="1" applyAlignment="1" applyProtection="1">
      <alignment vertical="center"/>
      <protection locked="0"/>
    </xf>
    <xf numFmtId="4" fontId="13" fillId="9" borderId="11" xfId="0" applyNumberFormat="1" applyFont="1" applyFill="1" applyBorder="1" applyAlignment="1" applyProtection="1">
      <alignment horizontal="right" vertical="center" wrapText="1"/>
      <protection locked="0"/>
    </xf>
    <xf numFmtId="4" fontId="13" fillId="9" borderId="4" xfId="0" applyNumberFormat="1" applyFont="1" applyFill="1" applyBorder="1" applyAlignment="1" applyProtection="1">
      <alignment horizontal="right" vertical="center" wrapText="1"/>
      <protection locked="0"/>
    </xf>
    <xf numFmtId="4" fontId="13" fillId="9" borderId="11" xfId="0" applyNumberFormat="1" applyFont="1" applyFill="1" applyBorder="1" applyAlignment="1" applyProtection="1">
      <alignment vertical="center" wrapText="1"/>
      <protection locked="0"/>
    </xf>
    <xf numFmtId="4" fontId="13" fillId="9" borderId="4" xfId="0" applyNumberFormat="1" applyFont="1" applyFill="1" applyBorder="1" applyAlignment="1" applyProtection="1">
      <alignment vertical="center" wrapText="1"/>
      <protection locked="0"/>
    </xf>
    <xf numFmtId="4" fontId="13" fillId="6" borderId="11" xfId="0" applyNumberFormat="1" applyFont="1" applyFill="1" applyBorder="1" applyAlignment="1" applyProtection="1">
      <alignment vertical="center"/>
      <protection locked="0"/>
    </xf>
    <xf numFmtId="4" fontId="13" fillId="6" borderId="4" xfId="0" applyNumberFormat="1" applyFont="1" applyFill="1" applyBorder="1" applyAlignment="1" applyProtection="1">
      <alignment vertical="center"/>
      <protection locked="0"/>
    </xf>
    <xf numFmtId="4" fontId="13" fillId="6" borderId="30" xfId="0" applyNumberFormat="1" applyFont="1" applyFill="1" applyBorder="1" applyAlignment="1" applyProtection="1">
      <alignment horizontal="right" vertical="center"/>
      <protection locked="0"/>
    </xf>
    <xf numFmtId="4" fontId="13" fillId="6" borderId="2"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top" wrapText="1"/>
      <protection locked="0"/>
    </xf>
    <xf numFmtId="4" fontId="14" fillId="2" borderId="3" xfId="0" applyNumberFormat="1" applyFont="1" applyFill="1" applyBorder="1" applyAlignment="1" applyProtection="1">
      <alignment horizontal="right" vertical="center"/>
      <protection locked="0"/>
    </xf>
    <xf numFmtId="0" fontId="14" fillId="0" borderId="3" xfId="0" applyFont="1" applyBorder="1" applyAlignment="1" applyProtection="1">
      <alignment horizontal="center" vertical="center" wrapText="1"/>
      <protection locked="0"/>
    </xf>
    <xf numFmtId="4" fontId="13" fillId="12" borderId="0" xfId="11" applyNumberFormat="1" applyFont="1" applyFill="1" applyAlignment="1" applyProtection="1">
      <alignment horizontal="left" vertical="top" wrapText="1"/>
      <protection locked="0"/>
    </xf>
    <xf numFmtId="0" fontId="13" fillId="9" borderId="11"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0" fontId="13" fillId="9" borderId="4" xfId="0" applyFont="1" applyFill="1" applyBorder="1" applyAlignment="1" applyProtection="1">
      <alignment horizontal="left" vertical="center"/>
      <protection locked="0"/>
    </xf>
    <xf numFmtId="4" fontId="13" fillId="2" borderId="3" xfId="0" applyNumberFormat="1" applyFont="1" applyFill="1" applyBorder="1" applyAlignment="1" applyProtection="1">
      <alignment horizontal="right" vertical="center"/>
      <protection locked="0"/>
    </xf>
    <xf numFmtId="0" fontId="65" fillId="0" borderId="18" xfId="11" applyFont="1" applyBorder="1" applyAlignment="1" applyProtection="1">
      <alignment horizontal="center" vertical="center" wrapText="1"/>
      <protection locked="0"/>
    </xf>
    <xf numFmtId="0" fontId="65" fillId="0" borderId="19" xfId="11" applyFont="1" applyBorder="1" applyAlignment="1" applyProtection="1">
      <alignment horizontal="center" vertical="center" wrapText="1"/>
      <protection locked="0"/>
    </xf>
    <xf numFmtId="0" fontId="65" fillId="0" borderId="20" xfId="11" applyFont="1" applyBorder="1" applyAlignment="1" applyProtection="1">
      <alignment horizontal="center" vertical="center" wrapText="1"/>
      <protection locked="0"/>
    </xf>
    <xf numFmtId="0" fontId="65" fillId="0" borderId="16" xfId="11" applyFont="1" applyBorder="1" applyAlignment="1" applyProtection="1">
      <alignment horizontal="center" vertical="center" wrapText="1"/>
      <protection locked="0"/>
    </xf>
    <xf numFmtId="0" fontId="13" fillId="0" borderId="11" xfId="0" applyFont="1" applyBorder="1" applyAlignment="1" applyProtection="1">
      <alignment horizontal="right" vertical="center" wrapText="1"/>
      <protection locked="0"/>
    </xf>
    <xf numFmtId="0" fontId="13" fillId="0" borderId="17" xfId="0" applyFont="1" applyBorder="1" applyAlignment="1" applyProtection="1">
      <alignment horizontal="right" vertical="center" wrapText="1"/>
      <protection locked="0"/>
    </xf>
    <xf numFmtId="0" fontId="13" fillId="0" borderId="4" xfId="0" applyFont="1" applyBorder="1" applyAlignment="1" applyProtection="1">
      <alignment horizontal="right" vertical="center" wrapText="1"/>
      <protection locked="0"/>
    </xf>
    <xf numFmtId="167" fontId="13" fillId="6" borderId="3" xfId="9" applyNumberFormat="1" applyFont="1" applyFill="1" applyBorder="1" applyAlignment="1" applyProtection="1">
      <alignment horizontal="center" vertical="center" wrapText="1"/>
      <protection locked="0"/>
    </xf>
    <xf numFmtId="167" fontId="13" fillId="0" borderId="30" xfId="9" applyNumberFormat="1" applyFont="1" applyBorder="1" applyAlignment="1" applyProtection="1">
      <alignment horizontal="center" vertical="center"/>
      <protection locked="0"/>
    </xf>
    <xf numFmtId="167" fontId="13" fillId="0" borderId="18" xfId="9" applyNumberFormat="1" applyFont="1" applyBorder="1" applyAlignment="1" applyProtection="1">
      <alignment horizontal="center" vertical="center"/>
      <protection locked="0"/>
    </xf>
    <xf numFmtId="167" fontId="14" fillId="6" borderId="3" xfId="9" applyNumberFormat="1" applyFont="1" applyFill="1" applyBorder="1" applyAlignment="1" applyProtection="1">
      <alignment horizontal="center" vertical="center" wrapText="1"/>
      <protection locked="0"/>
    </xf>
    <xf numFmtId="0" fontId="14" fillId="0" borderId="3" xfId="9" applyFont="1" applyBorder="1" applyAlignment="1" applyProtection="1">
      <alignment horizontal="center" vertical="center"/>
      <protection locked="0"/>
    </xf>
    <xf numFmtId="167" fontId="13" fillId="6" borderId="3" xfId="9" applyNumberFormat="1" applyFont="1" applyFill="1" applyBorder="1" applyAlignment="1" applyProtection="1">
      <alignment horizontal="center" vertical="center"/>
      <protection locked="0"/>
    </xf>
    <xf numFmtId="0" fontId="13" fillId="0" borderId="11" xfId="9" applyFont="1" applyBorder="1" applyAlignment="1" applyProtection="1">
      <alignment horizontal="left" vertical="center" wrapText="1"/>
      <protection locked="0"/>
    </xf>
    <xf numFmtId="0" fontId="13" fillId="0" borderId="17" xfId="9" applyFont="1" applyBorder="1" applyAlignment="1" applyProtection="1">
      <alignment horizontal="left" vertical="center" wrapText="1"/>
      <protection locked="0"/>
    </xf>
    <xf numFmtId="0" fontId="13" fillId="0" borderId="4"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wrapText="1"/>
      <protection locked="0"/>
    </xf>
    <xf numFmtId="0" fontId="14" fillId="0" borderId="17" xfId="9" applyFont="1" applyBorder="1" applyAlignment="1" applyProtection="1">
      <alignment horizontal="left" vertical="center" wrapText="1"/>
      <protection locked="0"/>
    </xf>
    <xf numFmtId="0" fontId="14" fillId="0" borderId="4" xfId="9" applyFont="1" applyBorder="1" applyAlignment="1" applyProtection="1">
      <alignment horizontal="left" vertical="center" wrapText="1"/>
      <protection locked="0"/>
    </xf>
    <xf numFmtId="167" fontId="14" fillId="6" borderId="3" xfId="9" applyNumberFormat="1" applyFont="1" applyFill="1" applyBorder="1" applyAlignment="1" applyProtection="1">
      <alignment horizontal="center" vertical="center"/>
      <protection locked="0"/>
    </xf>
    <xf numFmtId="167" fontId="13" fillId="12" borderId="17" xfId="9" applyNumberFormat="1" applyFont="1" applyFill="1" applyBorder="1" applyAlignment="1" applyProtection="1">
      <alignment horizontal="center" vertical="center"/>
      <protection locked="0"/>
    </xf>
    <xf numFmtId="167" fontId="13" fillId="12" borderId="4" xfId="9" applyNumberFormat="1" applyFont="1" applyFill="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wrapText="1"/>
      <protection locked="0"/>
    </xf>
    <xf numFmtId="0" fontId="13" fillId="0" borderId="32" xfId="9" applyFont="1" applyBorder="1" applyAlignment="1" applyProtection="1">
      <alignment horizontal="left" vertical="center" wrapText="1"/>
      <protection locked="0"/>
    </xf>
    <xf numFmtId="0" fontId="13" fillId="0" borderId="0" xfId="9" applyFont="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167" fontId="13" fillId="2" borderId="2" xfId="9" applyNumberFormat="1" applyFont="1" applyFill="1" applyBorder="1" applyAlignment="1" applyProtection="1">
      <alignment horizontal="center" vertical="center"/>
      <protection locked="0"/>
    </xf>
    <xf numFmtId="167" fontId="13" fillId="2" borderId="30" xfId="9" applyNumberFormat="1" applyFont="1" applyFill="1" applyBorder="1" applyAlignment="1" applyProtection="1">
      <alignment horizontal="center" vertical="center"/>
      <protection locked="0"/>
    </xf>
    <xf numFmtId="167" fontId="13" fillId="2" borderId="33" xfId="9" applyNumberFormat="1" applyFont="1" applyFill="1" applyBorder="1" applyAlignment="1" applyProtection="1">
      <alignment horizontal="center" vertical="center"/>
      <protection locked="0"/>
    </xf>
    <xf numFmtId="167" fontId="13" fillId="2" borderId="32" xfId="9" applyNumberFormat="1" applyFont="1" applyFill="1" applyBorder="1" applyAlignment="1" applyProtection="1">
      <alignment horizontal="center" vertical="center"/>
      <protection locked="0"/>
    </xf>
    <xf numFmtId="167" fontId="13" fillId="2" borderId="15" xfId="9" applyNumberFormat="1" applyFont="1" applyFill="1" applyBorder="1" applyAlignment="1" applyProtection="1">
      <alignment horizontal="center" vertical="center"/>
      <protection locked="0"/>
    </xf>
    <xf numFmtId="0" fontId="14" fillId="0" borderId="3" xfId="9" applyFont="1" applyBorder="1" applyAlignment="1" applyProtection="1">
      <alignment horizontal="center" vertical="center" wrapText="1"/>
      <protection locked="0"/>
    </xf>
    <xf numFmtId="167" fontId="14" fillId="0" borderId="11" xfId="9" applyNumberFormat="1" applyFont="1" applyBorder="1" applyAlignment="1" applyProtection="1">
      <alignment horizontal="center" vertical="center" wrapText="1"/>
      <protection locked="0"/>
    </xf>
    <xf numFmtId="167" fontId="14" fillId="0" borderId="17" xfId="9" applyNumberFormat="1" applyFont="1" applyBorder="1" applyAlignment="1" applyProtection="1">
      <alignment horizontal="center" vertical="center" wrapText="1"/>
      <protection locked="0"/>
    </xf>
    <xf numFmtId="167" fontId="14" fillId="0" borderId="4" xfId="9" applyNumberFormat="1" applyFont="1" applyBorder="1" applyAlignment="1" applyProtection="1">
      <alignment horizontal="center" vertical="center" wrapText="1"/>
      <protection locked="0"/>
    </xf>
    <xf numFmtId="0" fontId="60" fillId="9" borderId="18" xfId="9" applyFont="1" applyFill="1" applyBorder="1" applyAlignment="1" applyProtection="1">
      <alignment horizontal="left" vertical="center" wrapText="1"/>
      <protection locked="0"/>
    </xf>
    <xf numFmtId="0" fontId="60" fillId="9" borderId="8" xfId="9" applyFont="1" applyFill="1" applyBorder="1" applyAlignment="1" applyProtection="1">
      <alignment horizontal="left" vertical="center" wrapText="1"/>
      <protection locked="0"/>
    </xf>
    <xf numFmtId="0" fontId="60" fillId="9" borderId="19" xfId="9" applyFont="1" applyFill="1" applyBorder="1" applyAlignment="1" applyProtection="1">
      <alignment horizontal="left" vertical="center" wrapText="1"/>
      <protection locked="0"/>
    </xf>
    <xf numFmtId="0" fontId="13" fillId="0" borderId="18" xfId="9" applyFont="1" applyBorder="1" applyAlignment="1" applyProtection="1">
      <alignment horizontal="left" vertical="center" wrapText="1"/>
      <protection locked="0"/>
    </xf>
    <xf numFmtId="0" fontId="13" fillId="0" borderId="8" xfId="9" applyFont="1" applyBorder="1" applyAlignment="1" applyProtection="1">
      <alignment horizontal="left" vertical="center" wrapText="1"/>
      <protection locked="0"/>
    </xf>
    <xf numFmtId="0" fontId="13" fillId="0" borderId="19" xfId="9" applyFont="1" applyBorder="1" applyAlignment="1" applyProtection="1">
      <alignment horizontal="left" vertical="center" wrapText="1"/>
      <protection locked="0"/>
    </xf>
    <xf numFmtId="4" fontId="13" fillId="0" borderId="11" xfId="9" applyNumberFormat="1" applyFont="1" applyBorder="1" applyAlignment="1" applyProtection="1">
      <alignment horizontal="left" vertical="center" wrapText="1"/>
      <protection locked="0"/>
    </xf>
    <xf numFmtId="0" fontId="13" fillId="0" borderId="20" xfId="9" applyFont="1" applyBorder="1" applyAlignment="1" applyProtection="1">
      <alignment horizontal="left" vertical="center" wrapText="1"/>
      <protection locked="0"/>
    </xf>
    <xf numFmtId="0" fontId="13" fillId="0" borderId="9"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protection locked="0"/>
    </xf>
    <xf numFmtId="0" fontId="14" fillId="0" borderId="17" xfId="9" applyFont="1" applyBorder="1" applyAlignment="1" applyProtection="1">
      <alignment horizontal="left" vertical="center"/>
      <protection locked="0"/>
    </xf>
    <xf numFmtId="0" fontId="14" fillId="0" borderId="4" xfId="9"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167" fontId="13" fillId="0" borderId="3" xfId="9" applyNumberFormat="1" applyFont="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protection locked="0"/>
    </xf>
    <xf numFmtId="167" fontId="13" fillId="6" borderId="3" xfId="9" applyNumberFormat="1" applyFont="1" applyFill="1" applyBorder="1" applyAlignment="1" applyProtection="1">
      <alignment horizontal="right" vertical="center"/>
      <protection locked="0"/>
    </xf>
    <xf numFmtId="167" fontId="13" fillId="2" borderId="18" xfId="9" applyNumberFormat="1" applyFont="1" applyFill="1" applyBorder="1" applyAlignment="1" applyProtection="1">
      <alignment horizontal="right" vertical="center"/>
      <protection locked="0"/>
    </xf>
    <xf numFmtId="167" fontId="13" fillId="2" borderId="19" xfId="9" applyNumberFormat="1" applyFont="1" applyFill="1" applyBorder="1" applyAlignment="1" applyProtection="1">
      <alignment horizontal="right" vertical="center"/>
      <protection locked="0"/>
    </xf>
    <xf numFmtId="167" fontId="13" fillId="2" borderId="20" xfId="9" applyNumberFormat="1" applyFont="1" applyFill="1" applyBorder="1" applyAlignment="1" applyProtection="1">
      <alignment horizontal="right" vertical="center"/>
      <protection locked="0"/>
    </xf>
    <xf numFmtId="167" fontId="13" fillId="2" borderId="16" xfId="9" applyNumberFormat="1" applyFont="1" applyFill="1" applyBorder="1" applyAlignment="1" applyProtection="1">
      <alignment horizontal="right" vertical="center"/>
      <protection locked="0"/>
    </xf>
    <xf numFmtId="0" fontId="13" fillId="0" borderId="2" xfId="9" applyFont="1" applyBorder="1" applyAlignment="1" applyProtection="1">
      <alignment horizontal="left" vertical="center"/>
      <protection locked="0"/>
    </xf>
    <xf numFmtId="0" fontId="13" fillId="0" borderId="30" xfId="9" applyFont="1" applyBorder="1" applyAlignment="1" applyProtection="1">
      <alignment horizontal="left" vertical="center"/>
      <protection locked="0"/>
    </xf>
    <xf numFmtId="0" fontId="13" fillId="0" borderId="3" xfId="9" applyFont="1" applyBorder="1" applyAlignment="1" applyProtection="1">
      <alignment horizontal="left" vertical="center"/>
      <protection locked="0"/>
    </xf>
    <xf numFmtId="0" fontId="14" fillId="0" borderId="3" xfId="9" applyFont="1" applyBorder="1" applyAlignment="1" applyProtection="1">
      <alignment horizontal="left" vertical="center"/>
      <protection locked="0"/>
    </xf>
    <xf numFmtId="167" fontId="13" fillId="6" borderId="2" xfId="9" applyNumberFormat="1" applyFont="1" applyFill="1" applyBorder="1" applyAlignment="1" applyProtection="1">
      <alignment horizontal="center" vertical="center"/>
      <protection locked="0"/>
    </xf>
    <xf numFmtId="167" fontId="13" fillId="6" borderId="30" xfId="9" applyNumberFormat="1" applyFont="1" applyFill="1" applyBorder="1" applyAlignment="1" applyProtection="1">
      <alignment horizontal="center" vertical="center"/>
      <protection locked="0"/>
    </xf>
    <xf numFmtId="167" fontId="13" fillId="2" borderId="11" xfId="9" applyNumberFormat="1" applyFont="1" applyFill="1" applyBorder="1" applyAlignment="1" applyProtection="1">
      <alignment horizontal="center" vertical="center"/>
      <protection locked="0"/>
    </xf>
    <xf numFmtId="167" fontId="13" fillId="2" borderId="4" xfId="9" applyNumberFormat="1" applyFont="1" applyFill="1" applyBorder="1" applyAlignment="1" applyProtection="1">
      <alignment horizontal="center" vertical="center"/>
      <protection locked="0"/>
    </xf>
    <xf numFmtId="0" fontId="14" fillId="0" borderId="11" xfId="9" applyFont="1" applyBorder="1" applyAlignment="1" applyProtection="1">
      <alignment horizontal="center" vertical="center"/>
      <protection locked="0"/>
    </xf>
    <xf numFmtId="0" fontId="14" fillId="0" borderId="4" xfId="9" applyFont="1" applyBorder="1" applyAlignment="1" applyProtection="1">
      <alignment horizontal="center" vertical="center"/>
      <protection locked="0"/>
    </xf>
    <xf numFmtId="167" fontId="13" fillId="0" borderId="33" xfId="9" applyNumberFormat="1" applyFont="1" applyBorder="1" applyAlignment="1" applyProtection="1">
      <alignment horizontal="center" vertical="center"/>
      <protection locked="0"/>
    </xf>
    <xf numFmtId="167" fontId="13" fillId="0" borderId="32" xfId="9" applyNumberFormat="1" applyFont="1" applyBorder="1" applyAlignment="1" applyProtection="1">
      <alignment horizontal="center" vertical="center"/>
      <protection locked="0"/>
    </xf>
    <xf numFmtId="0" fontId="13" fillId="0" borderId="30"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33" xfId="0" applyFont="1" applyBorder="1" applyAlignment="1" applyProtection="1">
      <alignment horizontal="center"/>
      <protection locked="0"/>
    </xf>
    <xf numFmtId="0" fontId="13" fillId="0" borderId="32" xfId="0" applyFont="1" applyBorder="1" applyAlignment="1" applyProtection="1">
      <alignment horizontal="center"/>
      <protection locked="0"/>
    </xf>
    <xf numFmtId="167" fontId="13" fillId="6" borderId="11" xfId="9" applyNumberFormat="1" applyFont="1" applyFill="1" applyBorder="1" applyAlignment="1" applyProtection="1">
      <alignment horizontal="center" vertical="center"/>
      <protection locked="0"/>
    </xf>
    <xf numFmtId="167" fontId="13" fillId="6" borderId="4" xfId="9" applyNumberFormat="1" applyFont="1" applyFill="1" applyBorder="1" applyAlignment="1" applyProtection="1">
      <alignment horizontal="center" vertical="center"/>
      <protection locked="0"/>
    </xf>
    <xf numFmtId="167" fontId="13" fillId="0" borderId="11" xfId="9" applyNumberFormat="1" applyFont="1" applyBorder="1" applyAlignment="1" applyProtection="1">
      <alignment horizontal="center" vertical="center"/>
      <protection locked="0"/>
    </xf>
    <xf numFmtId="167" fontId="13" fillId="0" borderId="4" xfId="9" applyNumberFormat="1" applyFont="1" applyBorder="1" applyAlignment="1" applyProtection="1">
      <alignment horizontal="center" vertical="center"/>
      <protection locked="0"/>
    </xf>
    <xf numFmtId="167" fontId="13" fillId="2" borderId="18" xfId="9" applyNumberFormat="1" applyFont="1" applyFill="1" applyBorder="1" applyAlignment="1" applyProtection="1">
      <alignment horizontal="center" vertical="center"/>
      <protection locked="0"/>
    </xf>
    <xf numFmtId="167" fontId="13" fillId="2" borderId="19" xfId="9" applyNumberFormat="1" applyFont="1" applyFill="1" applyBorder="1" applyAlignment="1" applyProtection="1">
      <alignment horizontal="center" vertical="center"/>
      <protection locked="0"/>
    </xf>
    <xf numFmtId="167" fontId="13" fillId="2" borderId="20" xfId="9" applyNumberFormat="1" applyFont="1" applyFill="1" applyBorder="1" applyAlignment="1" applyProtection="1">
      <alignment horizontal="center" vertical="center"/>
      <protection locked="0"/>
    </xf>
    <xf numFmtId="167" fontId="13" fillId="2" borderId="16" xfId="9" applyNumberFormat="1" applyFont="1" applyFill="1" applyBorder="1" applyAlignment="1" applyProtection="1">
      <alignment horizontal="center" vertical="center"/>
      <protection locked="0"/>
    </xf>
    <xf numFmtId="167" fontId="13" fillId="6" borderId="11" xfId="9" applyNumberFormat="1" applyFont="1" applyFill="1" applyBorder="1" applyAlignment="1" applyProtection="1">
      <alignment horizontal="right" vertical="center"/>
      <protection locked="0"/>
    </xf>
    <xf numFmtId="167" fontId="13" fillId="6" borderId="4" xfId="9" applyNumberFormat="1" applyFont="1" applyFill="1" applyBorder="1" applyAlignment="1" applyProtection="1">
      <alignment horizontal="right" vertical="center"/>
      <protection locked="0"/>
    </xf>
    <xf numFmtId="167" fontId="13" fillId="9" borderId="30" xfId="9" applyNumberFormat="1" applyFont="1" applyFill="1" applyBorder="1" applyAlignment="1" applyProtection="1">
      <alignment horizontal="center" vertical="center"/>
      <protection locked="0"/>
    </xf>
    <xf numFmtId="167" fontId="13" fillId="9" borderId="33" xfId="9" applyNumberFormat="1" applyFont="1" applyFill="1" applyBorder="1" applyAlignment="1" applyProtection="1">
      <alignment horizontal="center" vertical="center"/>
      <protection locked="0"/>
    </xf>
    <xf numFmtId="167" fontId="13" fillId="9" borderId="2" xfId="9" applyNumberFormat="1" applyFont="1" applyFill="1" applyBorder="1" applyAlignment="1" applyProtection="1">
      <alignment horizontal="center" vertical="center"/>
      <protection locked="0"/>
    </xf>
    <xf numFmtId="0" fontId="14" fillId="0" borderId="17" xfId="9" applyFont="1" applyBorder="1" applyAlignment="1" applyProtection="1">
      <alignment horizontal="center" vertical="center"/>
      <protection locked="0"/>
    </xf>
    <xf numFmtId="167" fontId="13" fillId="2" borderId="30" xfId="9" applyNumberFormat="1" applyFont="1" applyFill="1" applyBorder="1" applyAlignment="1" applyProtection="1">
      <alignment horizontal="right" vertical="center"/>
      <protection locked="0"/>
    </xf>
    <xf numFmtId="167" fontId="14" fillId="6" borderId="3" xfId="9" applyNumberFormat="1" applyFont="1" applyFill="1" applyBorder="1" applyAlignment="1" applyProtection="1">
      <alignment horizontal="right" vertical="center"/>
      <protection locked="0"/>
    </xf>
    <xf numFmtId="167" fontId="13" fillId="2" borderId="11" xfId="9" applyNumberFormat="1" applyFont="1" applyFill="1" applyBorder="1" applyAlignment="1" applyProtection="1">
      <alignment horizontal="right" vertical="center"/>
      <protection locked="0"/>
    </xf>
    <xf numFmtId="167" fontId="13" fillId="2" borderId="4" xfId="9" applyNumberFormat="1" applyFont="1" applyFill="1" applyBorder="1" applyAlignment="1" applyProtection="1">
      <alignment horizontal="right" vertical="center"/>
      <protection locked="0"/>
    </xf>
    <xf numFmtId="0" fontId="13" fillId="0" borderId="32" xfId="9" applyFont="1" applyBorder="1" applyAlignment="1" applyProtection="1">
      <alignment horizontal="left" vertical="center"/>
      <protection locked="0"/>
    </xf>
    <xf numFmtId="0" fontId="13" fillId="0" borderId="0" xfId="9" applyFont="1" applyAlignment="1" applyProtection="1">
      <alignment horizontal="left" vertical="center"/>
      <protection locked="0"/>
    </xf>
    <xf numFmtId="0" fontId="13" fillId="0" borderId="15" xfId="9" applyFont="1" applyBorder="1" applyAlignment="1" applyProtection="1">
      <alignment horizontal="left" vertical="center"/>
      <protection locked="0"/>
    </xf>
    <xf numFmtId="4" fontId="13" fillId="6" borderId="3" xfId="0" applyNumberFormat="1" applyFont="1" applyFill="1" applyBorder="1" applyAlignment="1" applyProtection="1">
      <alignment horizontal="right"/>
      <protection locked="0"/>
    </xf>
    <xf numFmtId="0" fontId="13" fillId="0" borderId="11" xfId="0" applyFont="1" applyBorder="1" applyAlignment="1" applyProtection="1">
      <alignment horizontal="center"/>
      <protection locked="0"/>
    </xf>
    <xf numFmtId="0" fontId="13" fillId="0" borderId="4" xfId="0" applyFont="1" applyBorder="1" applyAlignment="1" applyProtection="1">
      <alignment horizontal="center"/>
      <protection locked="0"/>
    </xf>
    <xf numFmtId="9" fontId="13" fillId="2" borderId="3" xfId="12" applyFont="1" applyFill="1" applyBorder="1" applyAlignment="1" applyProtection="1">
      <alignment horizontal="center" vertical="center"/>
      <protection locked="0"/>
    </xf>
    <xf numFmtId="4" fontId="13" fillId="2" borderId="3" xfId="12" applyNumberFormat="1" applyFont="1" applyFill="1" applyBorder="1" applyAlignment="1" applyProtection="1">
      <alignment horizontal="right" vertical="center"/>
      <protection locked="0"/>
    </xf>
    <xf numFmtId="0" fontId="13" fillId="0" borderId="17" xfId="0" applyFont="1" applyBorder="1" applyAlignment="1" applyProtection="1">
      <alignment horizontal="center" vertical="center"/>
      <protection locked="0"/>
    </xf>
    <xf numFmtId="0" fontId="44" fillId="0" borderId="0" xfId="0" applyFont="1" applyAlignment="1" applyProtection="1">
      <alignment wrapText="1"/>
      <protection locked="0"/>
    </xf>
    <xf numFmtId="0" fontId="13" fillId="0" borderId="0" xfId="0" applyFont="1" applyAlignment="1" applyProtection="1">
      <alignment wrapText="1"/>
      <protection locked="0"/>
    </xf>
    <xf numFmtId="0" fontId="43" fillId="0" borderId="0" xfId="0" applyFont="1" applyProtection="1">
      <protection locked="0"/>
    </xf>
    <xf numFmtId="0" fontId="49" fillId="9" borderId="0" xfId="0" applyFont="1" applyFill="1" applyAlignment="1" applyProtection="1">
      <alignment horizontal="left" vertical="top"/>
      <protection locked="0"/>
    </xf>
    <xf numFmtId="4" fontId="13" fillId="0" borderId="32" xfId="0" applyNumberFormat="1" applyFont="1" applyBorder="1" applyAlignment="1" applyProtection="1">
      <alignment horizontal="center" vertical="top"/>
      <protection locked="0"/>
    </xf>
    <xf numFmtId="4" fontId="13" fillId="0" borderId="15" xfId="0" applyNumberFormat="1" applyFont="1" applyBorder="1" applyAlignment="1" applyProtection="1">
      <alignment horizontal="center" vertical="top"/>
      <protection locked="0"/>
    </xf>
    <xf numFmtId="4" fontId="13" fillId="9" borderId="20" xfId="0" applyNumberFormat="1" applyFont="1" applyFill="1" applyBorder="1" applyAlignment="1" applyProtection="1">
      <alignment horizontal="left" vertical="top"/>
      <protection locked="0"/>
    </xf>
    <xf numFmtId="4" fontId="13" fillId="9" borderId="9" xfId="0" applyNumberFormat="1" applyFont="1" applyFill="1" applyBorder="1" applyAlignment="1" applyProtection="1">
      <alignment horizontal="left" vertical="top"/>
      <protection locked="0"/>
    </xf>
    <xf numFmtId="4" fontId="13" fillId="9" borderId="20" xfId="0" applyNumberFormat="1" applyFont="1" applyFill="1" applyBorder="1" applyAlignment="1" applyProtection="1">
      <alignment horizontal="center" vertical="top" wrapText="1"/>
      <protection locked="0"/>
    </xf>
    <xf numFmtId="4" fontId="13" fillId="9" borderId="16" xfId="0" applyNumberFormat="1" applyFont="1" applyFill="1" applyBorder="1" applyAlignment="1" applyProtection="1">
      <alignment horizontal="center" vertical="top" wrapText="1"/>
      <protection locked="0"/>
    </xf>
    <xf numFmtId="4" fontId="13" fillId="6" borderId="20" xfId="0" applyNumberFormat="1" applyFont="1" applyFill="1" applyBorder="1" applyAlignment="1" applyProtection="1">
      <alignment horizontal="center" vertical="top"/>
      <protection locked="0"/>
    </xf>
    <xf numFmtId="4" fontId="13" fillId="6" borderId="16" xfId="0" applyNumberFormat="1" applyFont="1" applyFill="1" applyBorder="1" applyAlignment="1" applyProtection="1">
      <alignment horizontal="center" vertical="top"/>
      <protection locked="0"/>
    </xf>
    <xf numFmtId="4" fontId="13" fillId="0" borderId="18" xfId="0" applyNumberFormat="1" applyFont="1" applyBorder="1" applyAlignment="1" applyProtection="1">
      <alignment horizontal="left" vertical="top"/>
      <protection locked="0"/>
    </xf>
    <xf numFmtId="4" fontId="13" fillId="0" borderId="8" xfId="0" applyNumberFormat="1" applyFont="1" applyBorder="1" applyAlignment="1" applyProtection="1">
      <alignment horizontal="left" vertical="top"/>
      <protection locked="0"/>
    </xf>
    <xf numFmtId="4" fontId="13" fillId="6" borderId="18" xfId="0" applyNumberFormat="1" applyFont="1" applyFill="1" applyBorder="1" applyAlignment="1" applyProtection="1">
      <alignment horizontal="center" vertical="top"/>
      <protection locked="0"/>
    </xf>
    <xf numFmtId="4" fontId="13" fillId="6" borderId="19" xfId="0" applyNumberFormat="1" applyFont="1" applyFill="1" applyBorder="1" applyAlignment="1" applyProtection="1">
      <alignment horizontal="center" vertical="top"/>
      <protection locked="0"/>
    </xf>
    <xf numFmtId="4" fontId="13" fillId="9" borderId="18" xfId="0" applyNumberFormat="1" applyFont="1" applyFill="1" applyBorder="1" applyAlignment="1" applyProtection="1">
      <alignment horizontal="center" vertical="top" wrapText="1"/>
      <protection locked="0"/>
    </xf>
    <xf numFmtId="0" fontId="13" fillId="9" borderId="19" xfId="0" applyFont="1" applyFill="1" applyBorder="1" applyAlignment="1" applyProtection="1">
      <alignment horizontal="center" vertical="top" wrapText="1"/>
      <protection locked="0"/>
    </xf>
    <xf numFmtId="4" fontId="13" fillId="0" borderId="19" xfId="0" applyNumberFormat="1" applyFont="1" applyBorder="1" applyAlignment="1" applyProtection="1">
      <alignment horizontal="left" vertical="top"/>
      <protection locked="0"/>
    </xf>
    <xf numFmtId="4" fontId="13" fillId="9" borderId="18" xfId="0" applyNumberFormat="1" applyFont="1" applyFill="1" applyBorder="1" applyAlignment="1" applyProtection="1">
      <alignment horizontal="center" vertical="center" wrapText="1"/>
      <protection locked="0"/>
    </xf>
    <xf numFmtId="0" fontId="13" fillId="9" borderId="19" xfId="0" applyFont="1" applyFill="1" applyBorder="1" applyAlignment="1" applyProtection="1">
      <alignment horizontal="center" vertical="center" wrapText="1"/>
      <protection locked="0"/>
    </xf>
    <xf numFmtId="4" fontId="13" fillId="0" borderId="11" xfId="0" applyNumberFormat="1" applyFont="1" applyBorder="1" applyAlignment="1" applyProtection="1">
      <alignment horizontal="left" vertical="center"/>
      <protection locked="0"/>
    </xf>
    <xf numFmtId="4" fontId="13" fillId="0" borderId="17" xfId="0" applyNumberFormat="1" applyFont="1" applyBorder="1" applyAlignment="1" applyProtection="1">
      <alignment horizontal="left" vertical="center"/>
      <protection locked="0"/>
    </xf>
    <xf numFmtId="4" fontId="13" fillId="0" borderId="4" xfId="0" applyNumberFormat="1" applyFont="1" applyBorder="1" applyAlignment="1" applyProtection="1">
      <alignment horizontal="left" vertical="center"/>
      <protection locked="0"/>
    </xf>
    <xf numFmtId="4" fontId="13" fillId="6" borderId="3" xfId="0" applyNumberFormat="1" applyFont="1" applyFill="1" applyBorder="1" applyAlignment="1" applyProtection="1">
      <alignment horizontal="center" vertical="center"/>
      <protection locked="0"/>
    </xf>
    <xf numFmtId="4" fontId="13" fillId="0" borderId="32" xfId="0" applyNumberFormat="1"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4" fontId="13" fillId="9" borderId="32" xfId="0" applyNumberFormat="1"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4" fontId="13" fillId="6" borderId="32" xfId="0" applyNumberFormat="1" applyFont="1" applyFill="1" applyBorder="1" applyAlignment="1" applyProtection="1">
      <alignment horizontal="center" vertical="top"/>
      <protection locked="0"/>
    </xf>
    <xf numFmtId="4" fontId="13" fillId="6" borderId="15" xfId="0" applyNumberFormat="1" applyFont="1" applyFill="1" applyBorder="1" applyAlignment="1" applyProtection="1">
      <alignment horizontal="center" vertical="top"/>
      <protection locked="0"/>
    </xf>
    <xf numFmtId="4" fontId="13" fillId="0" borderId="20" xfId="0" applyNumberFormat="1" applyFont="1" applyBorder="1" applyAlignment="1" applyProtection="1">
      <alignment horizontal="left" vertical="top"/>
      <protection locked="0"/>
    </xf>
    <xf numFmtId="4" fontId="13" fillId="0" borderId="9" xfId="0" applyNumberFormat="1" applyFont="1" applyBorder="1" applyAlignment="1" applyProtection="1">
      <alignment horizontal="left" vertical="top"/>
      <protection locked="0"/>
    </xf>
    <xf numFmtId="4" fontId="13" fillId="0" borderId="16" xfId="0" applyNumberFormat="1" applyFont="1" applyBorder="1" applyAlignment="1" applyProtection="1">
      <alignment horizontal="left" vertical="top"/>
      <protection locked="0"/>
    </xf>
    <xf numFmtId="4" fontId="13" fillId="9" borderId="20" xfId="0" applyNumberFormat="1"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left" wrapText="1"/>
      <protection locked="0"/>
    </xf>
    <xf numFmtId="4" fontId="13" fillId="0" borderId="8" xfId="0" applyNumberFormat="1" applyFont="1" applyBorder="1" applyAlignment="1" applyProtection="1">
      <alignment horizontal="left" wrapText="1"/>
      <protection locked="0"/>
    </xf>
    <xf numFmtId="4" fontId="13" fillId="0" borderId="19" xfId="0" applyNumberFormat="1" applyFont="1" applyBorder="1" applyAlignment="1" applyProtection="1">
      <alignment horizontal="left" wrapText="1"/>
      <protection locked="0"/>
    </xf>
    <xf numFmtId="4" fontId="13" fillId="9" borderId="32" xfId="0" applyNumberFormat="1" applyFont="1" applyFill="1" applyBorder="1" applyAlignment="1" applyProtection="1">
      <alignment horizontal="left" vertical="top"/>
      <protection locked="0"/>
    </xf>
    <xf numFmtId="4" fontId="13" fillId="9" borderId="15" xfId="0" applyNumberFormat="1" applyFont="1" applyFill="1" applyBorder="1" applyAlignment="1" applyProtection="1">
      <alignment horizontal="left" vertical="top"/>
      <protection locked="0"/>
    </xf>
    <xf numFmtId="4" fontId="13" fillId="0" borderId="32" xfId="0" applyNumberFormat="1" applyFont="1" applyBorder="1" applyAlignment="1" applyProtection="1">
      <alignment horizontal="left" vertical="top" wrapText="1"/>
      <protection locked="0"/>
    </xf>
    <xf numFmtId="4" fontId="13" fillId="0" borderId="15" xfId="0" applyNumberFormat="1" applyFont="1" applyBorder="1" applyAlignment="1" applyProtection="1">
      <alignment horizontal="left" vertical="top" wrapText="1"/>
      <protection locked="0"/>
    </xf>
    <xf numFmtId="4" fontId="13" fillId="9" borderId="3" xfId="0" applyNumberFormat="1" applyFont="1" applyFill="1" applyBorder="1" applyAlignment="1" applyProtection="1">
      <alignment horizontal="center" vertical="center"/>
      <protection locked="0"/>
    </xf>
    <xf numFmtId="4" fontId="13" fillId="6" borderId="20" xfId="0" applyNumberFormat="1" applyFont="1" applyFill="1" applyBorder="1" applyAlignment="1" applyProtection="1">
      <alignment horizontal="center" vertical="center"/>
      <protection locked="0"/>
    </xf>
    <xf numFmtId="4" fontId="13" fillId="6" borderId="16"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4" fontId="13" fillId="9" borderId="16" xfId="0" applyNumberFormat="1" applyFont="1" applyFill="1" applyBorder="1" applyAlignment="1" applyProtection="1">
      <alignment horizontal="left" vertical="top"/>
      <protection locked="0"/>
    </xf>
    <xf numFmtId="0" fontId="13" fillId="9" borderId="16" xfId="0" applyFont="1" applyFill="1" applyBorder="1" applyAlignment="1" applyProtection="1">
      <alignment horizontal="center" vertical="top" wrapText="1"/>
      <protection locked="0"/>
    </xf>
    <xf numFmtId="4" fontId="13" fillId="0" borderId="18" xfId="0" applyNumberFormat="1" applyFont="1" applyBorder="1" applyAlignment="1" applyProtection="1">
      <alignment horizontal="left" vertical="top" wrapText="1"/>
      <protection locked="0"/>
    </xf>
    <xf numFmtId="4" fontId="13" fillId="0" borderId="8" xfId="0" applyNumberFormat="1" applyFont="1" applyBorder="1" applyAlignment="1" applyProtection="1">
      <alignment horizontal="left" vertical="top" wrapText="1"/>
      <protection locked="0"/>
    </xf>
    <xf numFmtId="4" fontId="13" fillId="0" borderId="19" xfId="0" applyNumberFormat="1" applyFont="1" applyBorder="1" applyAlignment="1" applyProtection="1">
      <alignment horizontal="left" vertical="top" wrapText="1"/>
      <protection locked="0"/>
    </xf>
    <xf numFmtId="4" fontId="13" fillId="0" borderId="32" xfId="0" applyNumberFormat="1" applyFont="1" applyBorder="1" applyAlignment="1" applyProtection="1">
      <alignment horizontal="center" vertical="top" wrapText="1"/>
      <protection locked="0"/>
    </xf>
    <xf numFmtId="0" fontId="13" fillId="0" borderId="15" xfId="0" applyFont="1" applyBorder="1" applyAlignment="1" applyProtection="1">
      <alignment horizontal="center" vertical="top" wrapText="1"/>
      <protection locked="0"/>
    </xf>
    <xf numFmtId="0" fontId="13" fillId="2"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protection locked="0"/>
    </xf>
    <xf numFmtId="0" fontId="44" fillId="0" borderId="0" xfId="0" applyFont="1" applyAlignment="1" applyProtection="1">
      <alignmen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center" wrapText="1"/>
      <protection locked="0"/>
    </xf>
    <xf numFmtId="0" fontId="13" fillId="0" borderId="0" xfId="0" applyFont="1" applyAlignment="1" applyProtection="1">
      <alignment horizontal="justify" vertical="top" wrapText="1"/>
      <protection locked="0"/>
    </xf>
    <xf numFmtId="0" fontId="13" fillId="0" borderId="3" xfId="0" applyFont="1" applyBorder="1" applyAlignment="1" applyProtection="1">
      <alignment vertical="center" wrapText="1"/>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4" fontId="13" fillId="2" borderId="3" xfId="0" applyNumberFormat="1" applyFont="1" applyFill="1" applyBorder="1" applyAlignment="1" applyProtection="1">
      <alignment horizontal="center" vertical="center" wrapText="1"/>
      <protection locked="0"/>
    </xf>
    <xf numFmtId="4" fontId="13" fillId="2" borderId="3" xfId="0" applyNumberFormat="1" applyFont="1" applyFill="1" applyBorder="1" applyAlignment="1" applyProtection="1">
      <alignment vertical="center" wrapText="1"/>
      <protection locked="0"/>
    </xf>
    <xf numFmtId="4" fontId="13" fillId="2" borderId="3" xfId="0" applyNumberFormat="1" applyFont="1" applyFill="1" applyBorder="1" applyAlignment="1" applyProtection="1">
      <alignment vertical="center"/>
      <protection locked="0"/>
    </xf>
    <xf numFmtId="4" fontId="13" fillId="6" borderId="3" xfId="0" applyNumberFormat="1" applyFont="1" applyFill="1" applyBorder="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19" xfId="0" applyFont="1" applyBorder="1" applyAlignment="1" applyProtection="1">
      <alignment horizontal="center" vertical="top" wrapText="1"/>
      <protection locked="0"/>
    </xf>
    <xf numFmtId="0" fontId="13" fillId="12" borderId="11" xfId="0" applyFont="1" applyFill="1" applyBorder="1" applyAlignment="1" applyProtection="1">
      <alignment horizontal="left" vertical="center" wrapText="1"/>
      <protection locked="0"/>
    </xf>
    <xf numFmtId="0" fontId="13" fillId="12" borderId="17"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4" fontId="44" fillId="9" borderId="3" xfId="0" applyNumberFormat="1" applyFont="1" applyFill="1" applyBorder="1" applyAlignment="1" applyProtection="1">
      <alignment horizontal="right" vertical="top" wrapText="1"/>
      <protection locked="0"/>
    </xf>
    <xf numFmtId="0" fontId="13" fillId="2" borderId="11" xfId="0" applyFont="1" applyFill="1" applyBorder="1" applyAlignment="1" applyProtection="1">
      <alignment horizontal="left" vertical="center" wrapText="1"/>
      <protection locked="0"/>
    </xf>
    <xf numFmtId="0" fontId="13" fillId="2" borderId="17"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vertical="center" wrapText="1"/>
      <protection locked="0"/>
    </xf>
    <xf numFmtId="0" fontId="13" fillId="2" borderId="17"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wrapText="1"/>
      <protection locked="0"/>
    </xf>
    <xf numFmtId="0" fontId="14" fillId="0" borderId="17" xfId="0"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44" fillId="12" borderId="0" xfId="0" applyFont="1" applyFill="1" applyAlignment="1" applyProtection="1">
      <alignment horizontal="justify" vertical="top" wrapText="1"/>
      <protection locked="0"/>
    </xf>
    <xf numFmtId="0" fontId="13" fillId="2" borderId="3" xfId="0" applyFont="1" applyFill="1" applyBorder="1" applyAlignment="1" applyProtection="1">
      <alignment horizontal="center" wrapText="1"/>
      <protection locked="0"/>
    </xf>
    <xf numFmtId="0" fontId="13" fillId="2" borderId="0" xfId="0" applyFont="1" applyFill="1" applyAlignment="1" applyProtection="1">
      <alignment horizontal="left" vertical="center" wrapText="1"/>
      <protection locked="0"/>
    </xf>
    <xf numFmtId="0" fontId="60" fillId="9" borderId="0" xfId="0" applyFont="1" applyFill="1" applyAlignment="1" applyProtection="1">
      <alignment horizontal="left" vertical="top" wrapText="1"/>
      <protection locked="0"/>
    </xf>
    <xf numFmtId="0" fontId="13" fillId="9" borderId="11" xfId="0" applyFont="1" applyFill="1" applyBorder="1" applyAlignment="1" applyProtection="1">
      <alignment vertical="center" wrapText="1"/>
      <protection locked="0"/>
    </xf>
    <xf numFmtId="0" fontId="13" fillId="9" borderId="4" xfId="0" applyFont="1" applyFill="1" applyBorder="1" applyAlignment="1" applyProtection="1">
      <alignment vertical="center" wrapText="1"/>
      <protection locked="0"/>
    </xf>
    <xf numFmtId="0" fontId="13" fillId="0" borderId="3" xfId="0" applyFont="1" applyBorder="1" applyAlignment="1" applyProtection="1">
      <alignment horizontal="center" wrapText="1"/>
      <protection locked="0"/>
    </xf>
    <xf numFmtId="4" fontId="13" fillId="2" borderId="3" xfId="0" applyNumberFormat="1" applyFont="1" applyFill="1" applyBorder="1" applyAlignment="1" applyProtection="1">
      <alignment horizontal="left" vertical="center"/>
      <protection locked="0"/>
    </xf>
    <xf numFmtId="4" fontId="13" fillId="6" borderId="17" xfId="0" applyNumberFormat="1" applyFont="1" applyFill="1" applyBorder="1" applyAlignment="1" applyProtection="1">
      <alignment horizontal="right" vertical="center"/>
      <protection locked="0"/>
    </xf>
    <xf numFmtId="4" fontId="13" fillId="2" borderId="3" xfId="0" applyNumberFormat="1" applyFont="1" applyFill="1" applyBorder="1" applyAlignment="1" applyProtection="1">
      <alignment horizontal="center" vertical="center"/>
      <protection locked="0"/>
    </xf>
    <xf numFmtId="0" fontId="49" fillId="9" borderId="0" xfId="0" applyFont="1" applyFill="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9" borderId="3" xfId="0" applyFont="1" applyFill="1" applyBorder="1" applyAlignment="1" applyProtection="1">
      <alignment horizontal="center" vertical="center" wrapText="1"/>
      <protection locked="0"/>
    </xf>
    <xf numFmtId="0" fontId="13" fillId="9" borderId="3" xfId="0" quotePrefix="1" applyFont="1" applyFill="1" applyBorder="1" applyAlignment="1" applyProtection="1">
      <alignment horizontal="center" vertical="center" wrapText="1"/>
      <protection locked="0"/>
    </xf>
    <xf numFmtId="173" fontId="13" fillId="11" borderId="0" xfId="0" applyNumberFormat="1" applyFont="1" applyFill="1" applyAlignment="1" applyProtection="1">
      <alignment horizontal="left" vertical="top" wrapText="1"/>
      <protection locked="0"/>
    </xf>
    <xf numFmtId="0" fontId="60" fillId="0" borderId="0" xfId="0" applyFont="1" applyAlignment="1" applyProtection="1">
      <alignment horizontal="left" vertical="top" wrapText="1"/>
      <protection locked="0"/>
    </xf>
    <xf numFmtId="4" fontId="13" fillId="0" borderId="0" xfId="0" applyNumberFormat="1" applyFont="1" applyAlignment="1" applyProtection="1">
      <alignment horizontal="left"/>
      <protection locked="0"/>
    </xf>
    <xf numFmtId="4" fontId="14" fillId="0" borderId="0" xfId="0" applyNumberFormat="1" applyFont="1" applyAlignment="1" applyProtection="1">
      <alignment vertical="top" wrapText="1"/>
      <protection locked="0"/>
    </xf>
    <xf numFmtId="4" fontId="14" fillId="0" borderId="0" xfId="0" applyNumberFormat="1" applyFont="1" applyAlignment="1" applyProtection="1">
      <alignment horizontal="center" vertical="top"/>
      <protection locked="0"/>
    </xf>
    <xf numFmtId="0" fontId="14" fillId="0" borderId="0" xfId="0" applyFont="1" applyAlignment="1" applyProtection="1">
      <alignment horizontal="left" vertical="top" wrapText="1"/>
      <protection locked="0"/>
    </xf>
    <xf numFmtId="0" fontId="14" fillId="0" borderId="0" xfId="0" applyFont="1" applyAlignment="1" applyProtection="1">
      <alignment vertical="top" wrapText="1"/>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Alignment="1" applyProtection="1">
      <alignment horizontal="center" vertical="top"/>
      <protection locked="0"/>
    </xf>
    <xf numFmtId="0" fontId="23" fillId="0" borderId="0" xfId="0" applyFont="1" applyAlignment="1" applyProtection="1">
      <alignment horizontal="left" vertical="center" wrapText="1"/>
      <protection locked="0"/>
    </xf>
    <xf numFmtId="0" fontId="22" fillId="0" borderId="0" xfId="0" applyFont="1" applyAlignment="1" applyProtection="1">
      <alignment horizontal="left" wrapText="1"/>
      <protection locked="0"/>
    </xf>
    <xf numFmtId="0" fontId="0" fillId="0" borderId="0" xfId="0" applyAlignment="1" applyProtection="1">
      <alignment wrapText="1"/>
      <protection locked="0"/>
    </xf>
    <xf numFmtId="0" fontId="14" fillId="0" borderId="0" xfId="0" applyFont="1" applyAlignment="1" applyProtection="1">
      <alignment wrapText="1"/>
      <protection locked="0"/>
    </xf>
    <xf numFmtId="0" fontId="13" fillId="2" borderId="0" xfId="7" applyFont="1" applyFill="1" applyAlignment="1" applyProtection="1">
      <alignment horizontal="left"/>
      <protection locked="0"/>
    </xf>
    <xf numFmtId="0" fontId="13" fillId="2" borderId="0" xfId="7" applyFont="1" applyFill="1" applyAlignment="1" applyProtection="1">
      <alignment horizontal="center" vertical="top" wrapText="1"/>
      <protection locked="0"/>
    </xf>
    <xf numFmtId="0" fontId="14" fillId="0" borderId="0" xfId="3" applyNumberFormat="1" applyFont="1" applyAlignment="1" applyProtection="1">
      <alignment horizontal="left"/>
      <protection locked="0"/>
    </xf>
    <xf numFmtId="0" fontId="13" fillId="2" borderId="0" xfId="7" applyFont="1" applyFill="1" applyAlignment="1" applyProtection="1">
      <alignment horizontal="left" vertical="top" wrapText="1"/>
      <protection locked="0"/>
    </xf>
    <xf numFmtId="0" fontId="13" fillId="2" borderId="0" xfId="7" applyFont="1" applyFill="1" applyAlignment="1" applyProtection="1">
      <alignment horizontal="justify" vertical="top" wrapText="1"/>
      <protection locked="0"/>
    </xf>
    <xf numFmtId="0" fontId="13" fillId="2" borderId="0" xfId="7" applyFont="1" applyFill="1" applyAlignment="1" applyProtection="1">
      <alignment horizontal="center"/>
      <protection locked="0"/>
    </xf>
    <xf numFmtId="0" fontId="13" fillId="0" borderId="0" xfId="7" applyFont="1" applyAlignment="1" applyProtection="1">
      <alignment horizontal="left" vertical="top"/>
      <protection locked="0"/>
    </xf>
    <xf numFmtId="0" fontId="14" fillId="0" borderId="0" xfId="3" applyNumberFormat="1" applyFont="1" applyFill="1" applyAlignment="1" applyProtection="1">
      <alignment horizontal="left"/>
      <protection locked="0"/>
    </xf>
    <xf numFmtId="0" fontId="14" fillId="0" borderId="0" xfId="7" applyFont="1" applyAlignment="1" applyProtection="1">
      <alignment horizontal="center" vertical="center" wrapText="1"/>
      <protection locked="0"/>
    </xf>
    <xf numFmtId="4" fontId="14" fillId="0" borderId="0" xfId="7" applyNumberFormat="1" applyFont="1" applyAlignment="1" applyProtection="1">
      <alignment horizontal="center" vertical="center" wrapText="1"/>
      <protection locked="0"/>
    </xf>
    <xf numFmtId="0" fontId="14" fillId="0" borderId="0" xfId="3" applyNumberFormat="1" applyFont="1" applyFill="1" applyAlignment="1" applyProtection="1">
      <protection locked="0"/>
    </xf>
    <xf numFmtId="4" fontId="13" fillId="0" borderId="0" xfId="7" applyNumberFormat="1" applyFont="1" applyAlignment="1" applyProtection="1">
      <alignment horizontal="left" vertical="top" wrapText="1"/>
      <protection locked="0"/>
    </xf>
    <xf numFmtId="4" fontId="13" fillId="0" borderId="0" xfId="7" applyNumberFormat="1" applyFont="1" applyAlignment="1" applyProtection="1">
      <alignment horizontal="left" wrapText="1"/>
      <protection locked="0"/>
    </xf>
    <xf numFmtId="0" fontId="13" fillId="2" borderId="0" xfId="7" applyFont="1" applyFill="1" applyAlignment="1" applyProtection="1">
      <alignment horizontal="left"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vertical="top" wrapText="1"/>
      <protection locked="0"/>
    </xf>
    <xf numFmtId="0" fontId="13" fillId="0" borderId="0" xfId="7" applyFont="1" applyAlignment="1" applyProtection="1">
      <alignment horizontal="left" vertical="top" wrapText="1"/>
      <protection locked="0"/>
    </xf>
    <xf numFmtId="0" fontId="14" fillId="0" borderId="0" xfId="7" applyFont="1" applyAlignment="1" applyProtection="1">
      <alignment horizontal="left" wrapText="1"/>
      <protection locked="0"/>
    </xf>
    <xf numFmtId="0" fontId="13" fillId="9" borderId="0" xfId="7" applyFont="1" applyFill="1" applyAlignment="1" applyProtection="1">
      <alignment horizontal="left" wrapText="1"/>
      <protection locked="0"/>
    </xf>
    <xf numFmtId="0" fontId="40" fillId="11" borderId="0" xfId="3" applyNumberFormat="1" applyFont="1" applyFill="1" applyAlignment="1" applyProtection="1">
      <alignment horizontal="left"/>
      <protection locked="0"/>
    </xf>
    <xf numFmtId="4" fontId="13" fillId="9" borderId="3" xfId="0" applyNumberFormat="1" applyFont="1" applyFill="1" applyBorder="1" applyAlignment="1" applyProtection="1">
      <alignment horizontal="center" vertical="center" wrapText="1"/>
      <protection locked="0"/>
    </xf>
  </cellXfs>
  <cellStyles count="2611">
    <cellStyle name="BILANZ" xfId="1" xr:uid="{00000000-0005-0000-0000-000001000000}"/>
    <cellStyle name="Dane wejściowe 2" xfId="2608" xr:uid="{00000000-0005-0000-0000-000002000000}"/>
    <cellStyle name="Dziesi?tny 7" xfId="17" xr:uid="{00000000-0005-0000-0000-000003000000}"/>
    <cellStyle name="Dziesiętny" xfId="2" builtinId="3"/>
    <cellStyle name="Dziesiętny 10" xfId="18" xr:uid="{00000000-0005-0000-0000-000005000000}"/>
    <cellStyle name="Dziesiętny 10 2" xfId="19" xr:uid="{00000000-0005-0000-0000-000006000000}"/>
    <cellStyle name="Dziesiętny 10 2 2" xfId="20" xr:uid="{00000000-0005-0000-0000-000007000000}"/>
    <cellStyle name="Dziesiętny 10 2 2 2" xfId="21" xr:uid="{00000000-0005-0000-0000-000008000000}"/>
    <cellStyle name="Dziesiętny 10 2 2 2 2" xfId="22" xr:uid="{00000000-0005-0000-0000-000009000000}"/>
    <cellStyle name="Dziesiętny 10 2 2 2 2 2" xfId="23" xr:uid="{00000000-0005-0000-0000-00000A000000}"/>
    <cellStyle name="Dziesiętny 10 2 2 2 3" xfId="24" xr:uid="{00000000-0005-0000-0000-00000B000000}"/>
    <cellStyle name="Dziesiętny 10 2 2 2 3 2" xfId="25" xr:uid="{00000000-0005-0000-0000-00000C000000}"/>
    <cellStyle name="Dziesiętny 10 2 2 2 4" xfId="26" xr:uid="{00000000-0005-0000-0000-00000D000000}"/>
    <cellStyle name="Dziesiętny 10 2 2 3" xfId="27" xr:uid="{00000000-0005-0000-0000-00000E000000}"/>
    <cellStyle name="Dziesiętny 10 2 2 3 2" xfId="28" xr:uid="{00000000-0005-0000-0000-00000F000000}"/>
    <cellStyle name="Dziesiętny 10 2 2 4" xfId="29" xr:uid="{00000000-0005-0000-0000-000010000000}"/>
    <cellStyle name="Dziesiętny 10 2 2 4 2" xfId="30" xr:uid="{00000000-0005-0000-0000-000011000000}"/>
    <cellStyle name="Dziesiętny 10 2 2 5" xfId="31" xr:uid="{00000000-0005-0000-0000-000012000000}"/>
    <cellStyle name="Dziesiętny 10 2 3" xfId="32" xr:uid="{00000000-0005-0000-0000-000013000000}"/>
    <cellStyle name="Dziesiętny 10 2 3 2" xfId="33" xr:uid="{00000000-0005-0000-0000-000014000000}"/>
    <cellStyle name="Dziesiętny 10 2 3 2 2" xfId="34" xr:uid="{00000000-0005-0000-0000-000015000000}"/>
    <cellStyle name="Dziesiętny 10 2 3 3" xfId="35" xr:uid="{00000000-0005-0000-0000-000016000000}"/>
    <cellStyle name="Dziesiętny 10 2 3 3 2" xfId="36" xr:uid="{00000000-0005-0000-0000-000017000000}"/>
    <cellStyle name="Dziesiętny 10 2 3 4" xfId="37" xr:uid="{00000000-0005-0000-0000-000018000000}"/>
    <cellStyle name="Dziesiętny 10 2 4" xfId="38" xr:uid="{00000000-0005-0000-0000-000019000000}"/>
    <cellStyle name="Dziesiętny 10 2 4 2" xfId="39" xr:uid="{00000000-0005-0000-0000-00001A000000}"/>
    <cellStyle name="Dziesiętny 10 2 5" xfId="40" xr:uid="{00000000-0005-0000-0000-00001B000000}"/>
    <cellStyle name="Dziesiętny 10 2 5 2" xfId="41" xr:uid="{00000000-0005-0000-0000-00001C000000}"/>
    <cellStyle name="Dziesiętny 10 2 6" xfId="42" xr:uid="{00000000-0005-0000-0000-00001D000000}"/>
    <cellStyle name="Dziesiętny 10 3" xfId="43" xr:uid="{00000000-0005-0000-0000-00001E000000}"/>
    <cellStyle name="Dziesiętny 10 3 2" xfId="44" xr:uid="{00000000-0005-0000-0000-00001F000000}"/>
    <cellStyle name="Dziesiętny 10 3 2 2" xfId="45" xr:uid="{00000000-0005-0000-0000-000020000000}"/>
    <cellStyle name="Dziesiętny 10 3 2 2 2" xfId="46" xr:uid="{00000000-0005-0000-0000-000021000000}"/>
    <cellStyle name="Dziesiętny 10 3 2 3" xfId="47" xr:uid="{00000000-0005-0000-0000-000022000000}"/>
    <cellStyle name="Dziesiętny 10 3 2 3 2" xfId="48" xr:uid="{00000000-0005-0000-0000-000023000000}"/>
    <cellStyle name="Dziesiętny 10 3 2 4" xfId="49" xr:uid="{00000000-0005-0000-0000-000024000000}"/>
    <cellStyle name="Dziesiętny 10 3 3" xfId="50" xr:uid="{00000000-0005-0000-0000-000025000000}"/>
    <cellStyle name="Dziesiętny 10 3 3 2" xfId="51" xr:uid="{00000000-0005-0000-0000-000026000000}"/>
    <cellStyle name="Dziesiętny 10 3 4" xfId="52" xr:uid="{00000000-0005-0000-0000-000027000000}"/>
    <cellStyle name="Dziesiętny 10 3 4 2" xfId="53" xr:uid="{00000000-0005-0000-0000-000028000000}"/>
    <cellStyle name="Dziesiętny 10 3 5" xfId="54" xr:uid="{00000000-0005-0000-0000-000029000000}"/>
    <cellStyle name="Dziesiętny 10 4" xfId="55" xr:uid="{00000000-0005-0000-0000-00002A000000}"/>
    <cellStyle name="Dziesiętny 10 4 2" xfId="56" xr:uid="{00000000-0005-0000-0000-00002B000000}"/>
    <cellStyle name="Dziesiętny 10 4 2 2" xfId="57" xr:uid="{00000000-0005-0000-0000-00002C000000}"/>
    <cellStyle name="Dziesiętny 10 4 3" xfId="58" xr:uid="{00000000-0005-0000-0000-00002D000000}"/>
    <cellStyle name="Dziesiętny 10 4 3 2" xfId="59" xr:uid="{00000000-0005-0000-0000-00002E000000}"/>
    <cellStyle name="Dziesiętny 10 4 4" xfId="60" xr:uid="{00000000-0005-0000-0000-00002F000000}"/>
    <cellStyle name="Dziesiętny 10 5" xfId="61" xr:uid="{00000000-0005-0000-0000-000030000000}"/>
    <cellStyle name="Dziesiętny 10 5 2" xfId="62" xr:uid="{00000000-0005-0000-0000-000031000000}"/>
    <cellStyle name="Dziesiętny 10 6" xfId="63" xr:uid="{00000000-0005-0000-0000-000032000000}"/>
    <cellStyle name="Dziesiętny 10 6 2" xfId="64" xr:uid="{00000000-0005-0000-0000-000033000000}"/>
    <cellStyle name="Dziesiętny 10 7" xfId="65" xr:uid="{00000000-0005-0000-0000-000034000000}"/>
    <cellStyle name="Dziesiętny 11" xfId="66" xr:uid="{00000000-0005-0000-0000-000035000000}"/>
    <cellStyle name="Dziesiętny 11 2" xfId="67" xr:uid="{00000000-0005-0000-0000-000036000000}"/>
    <cellStyle name="Dziesiętny 11 2 2" xfId="68" xr:uid="{00000000-0005-0000-0000-000037000000}"/>
    <cellStyle name="Dziesiętny 11 2 2 2" xfId="69" xr:uid="{00000000-0005-0000-0000-000038000000}"/>
    <cellStyle name="Dziesiętny 11 2 2 2 2" xfId="70" xr:uid="{00000000-0005-0000-0000-000039000000}"/>
    <cellStyle name="Dziesiętny 11 2 2 2 2 2" xfId="71" xr:uid="{00000000-0005-0000-0000-00003A000000}"/>
    <cellStyle name="Dziesiętny 11 2 2 2 3" xfId="72" xr:uid="{00000000-0005-0000-0000-00003B000000}"/>
    <cellStyle name="Dziesiętny 11 2 2 2 3 2" xfId="73" xr:uid="{00000000-0005-0000-0000-00003C000000}"/>
    <cellStyle name="Dziesiętny 11 2 2 2 4" xfId="74" xr:uid="{00000000-0005-0000-0000-00003D000000}"/>
    <cellStyle name="Dziesiętny 11 2 2 3" xfId="75" xr:uid="{00000000-0005-0000-0000-00003E000000}"/>
    <cellStyle name="Dziesiętny 11 2 2 3 2" xfId="76" xr:uid="{00000000-0005-0000-0000-00003F000000}"/>
    <cellStyle name="Dziesiętny 11 2 2 4" xfId="77" xr:uid="{00000000-0005-0000-0000-000040000000}"/>
    <cellStyle name="Dziesiętny 11 2 2 4 2" xfId="78" xr:uid="{00000000-0005-0000-0000-000041000000}"/>
    <cellStyle name="Dziesiętny 11 2 2 5" xfId="79" xr:uid="{00000000-0005-0000-0000-000042000000}"/>
    <cellStyle name="Dziesiętny 11 2 3" xfId="80" xr:uid="{00000000-0005-0000-0000-000043000000}"/>
    <cellStyle name="Dziesiętny 11 2 3 2" xfId="81" xr:uid="{00000000-0005-0000-0000-000044000000}"/>
    <cellStyle name="Dziesiętny 11 2 3 2 2" xfId="82" xr:uid="{00000000-0005-0000-0000-000045000000}"/>
    <cellStyle name="Dziesiętny 11 2 3 3" xfId="83" xr:uid="{00000000-0005-0000-0000-000046000000}"/>
    <cellStyle name="Dziesiętny 11 2 3 3 2" xfId="84" xr:uid="{00000000-0005-0000-0000-000047000000}"/>
    <cellStyle name="Dziesiętny 11 2 3 4" xfId="85" xr:uid="{00000000-0005-0000-0000-000048000000}"/>
    <cellStyle name="Dziesiętny 11 2 4" xfId="86" xr:uid="{00000000-0005-0000-0000-000049000000}"/>
    <cellStyle name="Dziesiętny 11 2 4 2" xfId="87" xr:uid="{00000000-0005-0000-0000-00004A000000}"/>
    <cellStyle name="Dziesiętny 11 2 5" xfId="88" xr:uid="{00000000-0005-0000-0000-00004B000000}"/>
    <cellStyle name="Dziesiętny 11 2 5 2" xfId="89" xr:uid="{00000000-0005-0000-0000-00004C000000}"/>
    <cellStyle name="Dziesiętny 11 2 6" xfId="90" xr:uid="{00000000-0005-0000-0000-00004D000000}"/>
    <cellStyle name="Dziesiętny 11 3" xfId="91" xr:uid="{00000000-0005-0000-0000-00004E000000}"/>
    <cellStyle name="Dziesiętny 11 3 2" xfId="92" xr:uid="{00000000-0005-0000-0000-00004F000000}"/>
    <cellStyle name="Dziesiętny 11 3 2 2" xfId="93" xr:uid="{00000000-0005-0000-0000-000050000000}"/>
    <cellStyle name="Dziesiętny 11 3 2 2 2" xfId="94" xr:uid="{00000000-0005-0000-0000-000051000000}"/>
    <cellStyle name="Dziesiętny 11 3 2 3" xfId="95" xr:uid="{00000000-0005-0000-0000-000052000000}"/>
    <cellStyle name="Dziesiętny 11 3 2 3 2" xfId="96" xr:uid="{00000000-0005-0000-0000-000053000000}"/>
    <cellStyle name="Dziesiętny 11 3 2 4" xfId="97" xr:uid="{00000000-0005-0000-0000-000054000000}"/>
    <cellStyle name="Dziesiętny 11 3 3" xfId="98" xr:uid="{00000000-0005-0000-0000-000055000000}"/>
    <cellStyle name="Dziesiętny 11 3 3 2" xfId="99" xr:uid="{00000000-0005-0000-0000-000056000000}"/>
    <cellStyle name="Dziesiętny 11 3 4" xfId="100" xr:uid="{00000000-0005-0000-0000-000057000000}"/>
    <cellStyle name="Dziesiętny 11 3 4 2" xfId="101" xr:uid="{00000000-0005-0000-0000-000058000000}"/>
    <cellStyle name="Dziesiętny 11 3 5" xfId="102" xr:uid="{00000000-0005-0000-0000-000059000000}"/>
    <cellStyle name="Dziesiętny 11 4" xfId="103" xr:uid="{00000000-0005-0000-0000-00005A000000}"/>
    <cellStyle name="Dziesiętny 11 4 2" xfId="104" xr:uid="{00000000-0005-0000-0000-00005B000000}"/>
    <cellStyle name="Dziesiętny 11 4 2 2" xfId="105" xr:uid="{00000000-0005-0000-0000-00005C000000}"/>
    <cellStyle name="Dziesiętny 11 4 3" xfId="106" xr:uid="{00000000-0005-0000-0000-00005D000000}"/>
    <cellStyle name="Dziesiętny 11 4 3 2" xfId="107" xr:uid="{00000000-0005-0000-0000-00005E000000}"/>
    <cellStyle name="Dziesiętny 11 4 4" xfId="108" xr:uid="{00000000-0005-0000-0000-00005F000000}"/>
    <cellStyle name="Dziesiętny 11 5" xfId="109" xr:uid="{00000000-0005-0000-0000-000060000000}"/>
    <cellStyle name="Dziesiętny 11 5 2" xfId="110" xr:uid="{00000000-0005-0000-0000-000061000000}"/>
    <cellStyle name="Dziesiętny 11 6" xfId="111" xr:uid="{00000000-0005-0000-0000-000062000000}"/>
    <cellStyle name="Dziesiętny 11 6 2" xfId="112" xr:uid="{00000000-0005-0000-0000-000063000000}"/>
    <cellStyle name="Dziesiętny 11 7" xfId="113" xr:uid="{00000000-0005-0000-0000-000064000000}"/>
    <cellStyle name="Dziesiętny 12" xfId="114" xr:uid="{00000000-0005-0000-0000-000065000000}"/>
    <cellStyle name="Dziesiętny 12 2" xfId="115" xr:uid="{00000000-0005-0000-0000-000066000000}"/>
    <cellStyle name="Dziesiętny 12 2 2" xfId="116" xr:uid="{00000000-0005-0000-0000-000067000000}"/>
    <cellStyle name="Dziesiętny 12 2 2 2" xfId="117" xr:uid="{00000000-0005-0000-0000-000068000000}"/>
    <cellStyle name="Dziesiętny 12 2 2 2 2" xfId="118" xr:uid="{00000000-0005-0000-0000-000069000000}"/>
    <cellStyle name="Dziesiętny 12 2 2 3" xfId="119" xr:uid="{00000000-0005-0000-0000-00006A000000}"/>
    <cellStyle name="Dziesiętny 12 2 2 3 2" xfId="120" xr:uid="{00000000-0005-0000-0000-00006B000000}"/>
    <cellStyle name="Dziesiętny 12 2 2 4" xfId="121" xr:uid="{00000000-0005-0000-0000-00006C000000}"/>
    <cellStyle name="Dziesiętny 12 2 3" xfId="122" xr:uid="{00000000-0005-0000-0000-00006D000000}"/>
    <cellStyle name="Dziesiętny 12 2 3 2" xfId="123" xr:uid="{00000000-0005-0000-0000-00006E000000}"/>
    <cellStyle name="Dziesiętny 12 2 4" xfId="124" xr:uid="{00000000-0005-0000-0000-00006F000000}"/>
    <cellStyle name="Dziesiętny 12 2 4 2" xfId="125" xr:uid="{00000000-0005-0000-0000-000070000000}"/>
    <cellStyle name="Dziesiętny 12 2 5" xfId="126" xr:uid="{00000000-0005-0000-0000-000071000000}"/>
    <cellStyle name="Dziesiętny 12 3" xfId="127" xr:uid="{00000000-0005-0000-0000-000072000000}"/>
    <cellStyle name="Dziesiętny 12 3 2" xfId="128" xr:uid="{00000000-0005-0000-0000-000073000000}"/>
    <cellStyle name="Dziesiętny 12 3 2 2" xfId="129" xr:uid="{00000000-0005-0000-0000-000074000000}"/>
    <cellStyle name="Dziesiętny 12 3 3" xfId="130" xr:uid="{00000000-0005-0000-0000-000075000000}"/>
    <cellStyle name="Dziesiętny 12 3 3 2" xfId="131" xr:uid="{00000000-0005-0000-0000-000076000000}"/>
    <cellStyle name="Dziesiętny 12 3 4" xfId="132" xr:uid="{00000000-0005-0000-0000-000077000000}"/>
    <cellStyle name="Dziesiętny 12 4" xfId="133" xr:uid="{00000000-0005-0000-0000-000078000000}"/>
    <cellStyle name="Dziesiętny 12 4 2" xfId="134" xr:uid="{00000000-0005-0000-0000-000079000000}"/>
    <cellStyle name="Dziesiętny 12 5" xfId="135" xr:uid="{00000000-0005-0000-0000-00007A000000}"/>
    <cellStyle name="Dziesiętny 12 5 2" xfId="136" xr:uid="{00000000-0005-0000-0000-00007B000000}"/>
    <cellStyle name="Dziesiętny 12 6" xfId="137" xr:uid="{00000000-0005-0000-0000-00007C000000}"/>
    <cellStyle name="Dziesiętny 13" xfId="138" xr:uid="{00000000-0005-0000-0000-00007D000000}"/>
    <cellStyle name="Dziesiętny 13 2" xfId="139" xr:uid="{00000000-0005-0000-0000-00007E000000}"/>
    <cellStyle name="Dziesiętny 13 2 2" xfId="140" xr:uid="{00000000-0005-0000-0000-00007F000000}"/>
    <cellStyle name="Dziesiętny 13 2 2 2" xfId="141" xr:uid="{00000000-0005-0000-0000-000080000000}"/>
    <cellStyle name="Dziesiętny 13 2 2 2 2" xfId="142" xr:uid="{00000000-0005-0000-0000-000081000000}"/>
    <cellStyle name="Dziesiętny 13 2 2 3" xfId="143" xr:uid="{00000000-0005-0000-0000-000082000000}"/>
    <cellStyle name="Dziesiętny 13 2 2 3 2" xfId="144" xr:uid="{00000000-0005-0000-0000-000083000000}"/>
    <cellStyle name="Dziesiętny 13 2 2 4" xfId="145" xr:uid="{00000000-0005-0000-0000-000084000000}"/>
    <cellStyle name="Dziesiętny 13 2 3" xfId="146" xr:uid="{00000000-0005-0000-0000-000085000000}"/>
    <cellStyle name="Dziesiętny 13 2 3 2" xfId="147" xr:uid="{00000000-0005-0000-0000-000086000000}"/>
    <cellStyle name="Dziesiętny 13 2 4" xfId="148" xr:uid="{00000000-0005-0000-0000-000087000000}"/>
    <cellStyle name="Dziesiętny 13 2 4 2" xfId="149" xr:uid="{00000000-0005-0000-0000-000088000000}"/>
    <cellStyle name="Dziesiętny 13 2 5" xfId="150" xr:uid="{00000000-0005-0000-0000-000089000000}"/>
    <cellStyle name="Dziesiętny 13 3" xfId="151" xr:uid="{00000000-0005-0000-0000-00008A000000}"/>
    <cellStyle name="Dziesiętny 13 3 2" xfId="152" xr:uid="{00000000-0005-0000-0000-00008B000000}"/>
    <cellStyle name="Dziesiętny 13 3 2 2" xfId="153" xr:uid="{00000000-0005-0000-0000-00008C000000}"/>
    <cellStyle name="Dziesiętny 13 3 3" xfId="154" xr:uid="{00000000-0005-0000-0000-00008D000000}"/>
    <cellStyle name="Dziesiętny 13 3 3 2" xfId="155" xr:uid="{00000000-0005-0000-0000-00008E000000}"/>
    <cellStyle name="Dziesiętny 13 3 4" xfId="156" xr:uid="{00000000-0005-0000-0000-00008F000000}"/>
    <cellStyle name="Dziesiętny 13 4" xfId="157" xr:uid="{00000000-0005-0000-0000-000090000000}"/>
    <cellStyle name="Dziesiętny 13 4 2" xfId="158" xr:uid="{00000000-0005-0000-0000-000091000000}"/>
    <cellStyle name="Dziesiętny 13 5" xfId="159" xr:uid="{00000000-0005-0000-0000-000092000000}"/>
    <cellStyle name="Dziesiętny 13 5 2" xfId="160" xr:uid="{00000000-0005-0000-0000-000093000000}"/>
    <cellStyle name="Dziesiętny 13 6" xfId="161" xr:uid="{00000000-0005-0000-0000-000094000000}"/>
    <cellStyle name="Dziesiętny 14" xfId="162" xr:uid="{00000000-0005-0000-0000-000095000000}"/>
    <cellStyle name="Dziesiętny 14 2" xfId="163" xr:uid="{00000000-0005-0000-0000-000096000000}"/>
    <cellStyle name="Dziesiętny 14 2 2" xfId="164" xr:uid="{00000000-0005-0000-0000-000097000000}"/>
    <cellStyle name="Dziesiętny 14 2 2 2" xfId="165" xr:uid="{00000000-0005-0000-0000-000098000000}"/>
    <cellStyle name="Dziesiętny 14 2 2 2 2" xfId="166" xr:uid="{00000000-0005-0000-0000-000099000000}"/>
    <cellStyle name="Dziesiętny 14 2 2 3" xfId="167" xr:uid="{00000000-0005-0000-0000-00009A000000}"/>
    <cellStyle name="Dziesiętny 14 2 2 3 2" xfId="168" xr:uid="{00000000-0005-0000-0000-00009B000000}"/>
    <cellStyle name="Dziesiętny 14 2 2 4" xfId="169" xr:uid="{00000000-0005-0000-0000-00009C000000}"/>
    <cellStyle name="Dziesiętny 14 2 3" xfId="170" xr:uid="{00000000-0005-0000-0000-00009D000000}"/>
    <cellStyle name="Dziesiętny 14 2 3 2" xfId="171" xr:uid="{00000000-0005-0000-0000-00009E000000}"/>
    <cellStyle name="Dziesiętny 14 2 4" xfId="172" xr:uid="{00000000-0005-0000-0000-00009F000000}"/>
    <cellStyle name="Dziesiętny 14 2 4 2" xfId="173" xr:uid="{00000000-0005-0000-0000-0000A0000000}"/>
    <cellStyle name="Dziesiętny 14 2 5" xfId="174" xr:uid="{00000000-0005-0000-0000-0000A1000000}"/>
    <cellStyle name="Dziesiętny 14 3" xfId="175" xr:uid="{00000000-0005-0000-0000-0000A2000000}"/>
    <cellStyle name="Dziesiętny 14 3 2" xfId="176" xr:uid="{00000000-0005-0000-0000-0000A3000000}"/>
    <cellStyle name="Dziesiętny 14 3 2 2" xfId="177" xr:uid="{00000000-0005-0000-0000-0000A4000000}"/>
    <cellStyle name="Dziesiętny 14 3 3" xfId="178" xr:uid="{00000000-0005-0000-0000-0000A5000000}"/>
    <cellStyle name="Dziesiętny 14 3 3 2" xfId="179" xr:uid="{00000000-0005-0000-0000-0000A6000000}"/>
    <cellStyle name="Dziesiętny 14 3 4" xfId="180" xr:uid="{00000000-0005-0000-0000-0000A7000000}"/>
    <cellStyle name="Dziesiętny 14 4" xfId="181" xr:uid="{00000000-0005-0000-0000-0000A8000000}"/>
    <cellStyle name="Dziesiętny 14 4 2" xfId="182" xr:uid="{00000000-0005-0000-0000-0000A9000000}"/>
    <cellStyle name="Dziesiętny 14 5" xfId="183" xr:uid="{00000000-0005-0000-0000-0000AA000000}"/>
    <cellStyle name="Dziesiętny 14 5 2" xfId="184" xr:uid="{00000000-0005-0000-0000-0000AB000000}"/>
    <cellStyle name="Dziesiętny 14 6" xfId="185" xr:uid="{00000000-0005-0000-0000-0000AC000000}"/>
    <cellStyle name="Dziesiętny 15" xfId="186" xr:uid="{00000000-0005-0000-0000-0000AD000000}"/>
    <cellStyle name="Dziesiętny 15 2" xfId="187" xr:uid="{00000000-0005-0000-0000-0000AE000000}"/>
    <cellStyle name="Dziesiętny 15 2 2" xfId="188" xr:uid="{00000000-0005-0000-0000-0000AF000000}"/>
    <cellStyle name="Dziesiętny 15 2 2 2" xfId="189" xr:uid="{00000000-0005-0000-0000-0000B0000000}"/>
    <cellStyle name="Dziesiętny 15 2 3" xfId="190" xr:uid="{00000000-0005-0000-0000-0000B1000000}"/>
    <cellStyle name="Dziesiętny 15 2 3 2" xfId="191" xr:uid="{00000000-0005-0000-0000-0000B2000000}"/>
    <cellStyle name="Dziesiętny 15 2 4" xfId="192" xr:uid="{00000000-0005-0000-0000-0000B3000000}"/>
    <cellStyle name="Dziesiętny 15 3" xfId="193" xr:uid="{00000000-0005-0000-0000-0000B4000000}"/>
    <cellStyle name="Dziesiętny 15 3 2" xfId="194" xr:uid="{00000000-0005-0000-0000-0000B5000000}"/>
    <cellStyle name="Dziesiętny 15 4" xfId="195" xr:uid="{00000000-0005-0000-0000-0000B6000000}"/>
    <cellStyle name="Dziesiętny 15 4 2" xfId="196" xr:uid="{00000000-0005-0000-0000-0000B7000000}"/>
    <cellStyle name="Dziesiętny 15 5" xfId="197" xr:uid="{00000000-0005-0000-0000-0000B8000000}"/>
    <cellStyle name="Dziesiętny 16" xfId="198" xr:uid="{00000000-0005-0000-0000-0000B9000000}"/>
    <cellStyle name="Dziesiętny 16 2" xfId="199" xr:uid="{00000000-0005-0000-0000-0000BA000000}"/>
    <cellStyle name="Dziesiętny 16 2 2" xfId="200" xr:uid="{00000000-0005-0000-0000-0000BB000000}"/>
    <cellStyle name="Dziesiętny 16 2 2 2" xfId="201" xr:uid="{00000000-0005-0000-0000-0000BC000000}"/>
    <cellStyle name="Dziesiętny 16 2 3" xfId="202" xr:uid="{00000000-0005-0000-0000-0000BD000000}"/>
    <cellStyle name="Dziesiętny 16 2 3 2" xfId="203" xr:uid="{00000000-0005-0000-0000-0000BE000000}"/>
    <cellStyle name="Dziesiętny 16 2 4" xfId="204" xr:uid="{00000000-0005-0000-0000-0000BF000000}"/>
    <cellStyle name="Dziesiętny 16 3" xfId="205" xr:uid="{00000000-0005-0000-0000-0000C0000000}"/>
    <cellStyle name="Dziesiętny 16 3 2" xfId="206" xr:uid="{00000000-0005-0000-0000-0000C1000000}"/>
    <cellStyle name="Dziesiętny 16 4" xfId="207" xr:uid="{00000000-0005-0000-0000-0000C2000000}"/>
    <cellStyle name="Dziesiętny 16 4 2" xfId="208" xr:uid="{00000000-0005-0000-0000-0000C3000000}"/>
    <cellStyle name="Dziesiętny 16 5" xfId="209" xr:uid="{00000000-0005-0000-0000-0000C4000000}"/>
    <cellStyle name="Dziesiętny 17" xfId="210" xr:uid="{00000000-0005-0000-0000-0000C5000000}"/>
    <cellStyle name="Dziesiętny 17 2" xfId="211" xr:uid="{00000000-0005-0000-0000-0000C6000000}"/>
    <cellStyle name="Dziesiętny 17 2 2" xfId="212" xr:uid="{00000000-0005-0000-0000-0000C7000000}"/>
    <cellStyle name="Dziesiętny 17 2 2 2" xfId="213" xr:uid="{00000000-0005-0000-0000-0000C8000000}"/>
    <cellStyle name="Dziesiętny 17 2 3" xfId="214" xr:uid="{00000000-0005-0000-0000-0000C9000000}"/>
    <cellStyle name="Dziesiętny 17 2 3 2" xfId="215" xr:uid="{00000000-0005-0000-0000-0000CA000000}"/>
    <cellStyle name="Dziesiętny 17 2 4" xfId="216" xr:uid="{00000000-0005-0000-0000-0000CB000000}"/>
    <cellStyle name="Dziesiętny 17 3" xfId="217" xr:uid="{00000000-0005-0000-0000-0000CC000000}"/>
    <cellStyle name="Dziesiętny 17 3 2" xfId="218" xr:uid="{00000000-0005-0000-0000-0000CD000000}"/>
    <cellStyle name="Dziesiętny 17 3 2 2" xfId="219" xr:uid="{00000000-0005-0000-0000-0000CE000000}"/>
    <cellStyle name="Dziesiętny 17 3 3" xfId="220" xr:uid="{00000000-0005-0000-0000-0000CF000000}"/>
    <cellStyle name="Dziesiętny 17 4" xfId="221" xr:uid="{00000000-0005-0000-0000-0000D0000000}"/>
    <cellStyle name="Dziesiętny 17 4 2" xfId="222" xr:uid="{00000000-0005-0000-0000-0000D1000000}"/>
    <cellStyle name="Dziesiętny 17 5" xfId="223" xr:uid="{00000000-0005-0000-0000-0000D2000000}"/>
    <cellStyle name="Dziesiętny 17 5 2" xfId="224" xr:uid="{00000000-0005-0000-0000-0000D3000000}"/>
    <cellStyle name="Dziesiętny 17 6" xfId="225" xr:uid="{00000000-0005-0000-0000-0000D4000000}"/>
    <cellStyle name="Dziesiętny 18" xfId="226" xr:uid="{00000000-0005-0000-0000-0000D5000000}"/>
    <cellStyle name="Dziesiętny 18 2" xfId="227" xr:uid="{00000000-0005-0000-0000-0000D6000000}"/>
    <cellStyle name="Dziesiętny 18 2 2" xfId="228" xr:uid="{00000000-0005-0000-0000-0000D7000000}"/>
    <cellStyle name="Dziesiętny 18 3" xfId="229" xr:uid="{00000000-0005-0000-0000-0000D8000000}"/>
    <cellStyle name="Dziesiętny 18 3 2" xfId="230" xr:uid="{00000000-0005-0000-0000-0000D9000000}"/>
    <cellStyle name="Dziesiętny 18 4" xfId="231" xr:uid="{00000000-0005-0000-0000-0000DA000000}"/>
    <cellStyle name="Dziesiętny 19" xfId="232" xr:uid="{00000000-0005-0000-0000-0000DB000000}"/>
    <cellStyle name="Dziesiętny 19 2" xfId="233" xr:uid="{00000000-0005-0000-0000-0000DC000000}"/>
    <cellStyle name="Dziesiętny 19 2 2" xfId="234" xr:uid="{00000000-0005-0000-0000-0000DD000000}"/>
    <cellStyle name="Dziesiętny 19 3" xfId="235" xr:uid="{00000000-0005-0000-0000-0000DE000000}"/>
    <cellStyle name="Dziesiętny 19 3 2" xfId="236" xr:uid="{00000000-0005-0000-0000-0000DF000000}"/>
    <cellStyle name="Dziesiętny 19 4" xfId="237" xr:uid="{00000000-0005-0000-0000-0000E0000000}"/>
    <cellStyle name="Dziesiętny 2" xfId="16" xr:uid="{00000000-0005-0000-0000-0000E1000000}"/>
    <cellStyle name="Dziesiętny 2 2" xfId="238" xr:uid="{00000000-0005-0000-0000-0000E2000000}"/>
    <cellStyle name="Dziesiętny 2 2 2" xfId="239" xr:uid="{00000000-0005-0000-0000-0000E3000000}"/>
    <cellStyle name="Dziesiętny 2 3" xfId="240" xr:uid="{00000000-0005-0000-0000-0000E4000000}"/>
    <cellStyle name="Dziesiętny 2 3 2" xfId="241" xr:uid="{00000000-0005-0000-0000-0000E5000000}"/>
    <cellStyle name="Dziesiętny 2 3 2 2" xfId="2042" xr:uid="{00000000-0005-0000-0000-0000E6000000}"/>
    <cellStyle name="Dziesiętny 2 3 2 2 2" xfId="2418" xr:uid="{00000000-0005-0000-0000-0000E7000000}"/>
    <cellStyle name="Dziesiętny 2 3 2 3" xfId="2233" xr:uid="{00000000-0005-0000-0000-0000E8000000}"/>
    <cellStyle name="Dziesiętny 2 3 3" xfId="2041" xr:uid="{00000000-0005-0000-0000-0000E9000000}"/>
    <cellStyle name="Dziesiętny 2 3 3 2" xfId="2417" xr:uid="{00000000-0005-0000-0000-0000EA000000}"/>
    <cellStyle name="Dziesiętny 2 3 4" xfId="2232" xr:uid="{00000000-0005-0000-0000-0000EB000000}"/>
    <cellStyle name="Dziesiętny 2 4" xfId="242" xr:uid="{00000000-0005-0000-0000-0000EC000000}"/>
    <cellStyle name="Dziesiętny 2 4 2" xfId="243" xr:uid="{00000000-0005-0000-0000-0000ED000000}"/>
    <cellStyle name="Dziesiętny 2 4 2 2" xfId="2044" xr:uid="{00000000-0005-0000-0000-0000EE000000}"/>
    <cellStyle name="Dziesiętny 2 4 2 2 2" xfId="2420" xr:uid="{00000000-0005-0000-0000-0000EF000000}"/>
    <cellStyle name="Dziesiętny 2 4 2 3" xfId="2235" xr:uid="{00000000-0005-0000-0000-0000F0000000}"/>
    <cellStyle name="Dziesiętny 2 4 3" xfId="244" xr:uid="{00000000-0005-0000-0000-0000F1000000}"/>
    <cellStyle name="Dziesiętny 2 4 3 2" xfId="2045" xr:uid="{00000000-0005-0000-0000-0000F2000000}"/>
    <cellStyle name="Dziesiętny 2 4 3 2 2" xfId="2421" xr:uid="{00000000-0005-0000-0000-0000F3000000}"/>
    <cellStyle name="Dziesiętny 2 4 3 3" xfId="2236" xr:uid="{00000000-0005-0000-0000-0000F4000000}"/>
    <cellStyle name="Dziesiętny 2 4 4" xfId="2043" xr:uid="{00000000-0005-0000-0000-0000F5000000}"/>
    <cellStyle name="Dziesiętny 2 4 4 2" xfId="2419" xr:uid="{00000000-0005-0000-0000-0000F6000000}"/>
    <cellStyle name="Dziesiętny 2 4 5" xfId="2234" xr:uid="{00000000-0005-0000-0000-0000F7000000}"/>
    <cellStyle name="Dziesiętny 2 5" xfId="245" xr:uid="{00000000-0005-0000-0000-0000F8000000}"/>
    <cellStyle name="Dziesiętny 2 5 2" xfId="246" xr:uid="{00000000-0005-0000-0000-0000F9000000}"/>
    <cellStyle name="Dziesiętny 2 6" xfId="247" xr:uid="{00000000-0005-0000-0000-0000FA000000}"/>
    <cellStyle name="Dziesiętny 2 7" xfId="248" xr:uid="{00000000-0005-0000-0000-0000FB000000}"/>
    <cellStyle name="Dziesiętny 2 8" xfId="249" xr:uid="{00000000-0005-0000-0000-0000FC000000}"/>
    <cellStyle name="Dziesiętny 20" xfId="250" xr:uid="{00000000-0005-0000-0000-0000FD000000}"/>
    <cellStyle name="Dziesiętny 20 2" xfId="251" xr:uid="{00000000-0005-0000-0000-0000FE000000}"/>
    <cellStyle name="Dziesiętny 20 2 2" xfId="252" xr:uid="{00000000-0005-0000-0000-0000FF000000}"/>
    <cellStyle name="Dziesiętny 20 2 2 2" xfId="2047" xr:uid="{00000000-0005-0000-0000-000000010000}"/>
    <cellStyle name="Dziesiętny 20 2 2 2 2" xfId="2423" xr:uid="{00000000-0005-0000-0000-000001010000}"/>
    <cellStyle name="Dziesiętny 20 2 2 3" xfId="2238" xr:uid="{00000000-0005-0000-0000-000002010000}"/>
    <cellStyle name="Dziesiętny 20 2 3" xfId="2046" xr:uid="{00000000-0005-0000-0000-000003010000}"/>
    <cellStyle name="Dziesiętny 20 2 3 2" xfId="2422" xr:uid="{00000000-0005-0000-0000-000004010000}"/>
    <cellStyle name="Dziesiętny 20 2 4" xfId="2237" xr:uid="{00000000-0005-0000-0000-000005010000}"/>
    <cellStyle name="Dziesiętny 20 3" xfId="253" xr:uid="{00000000-0005-0000-0000-000006010000}"/>
    <cellStyle name="Dziesiętny 20 3 2" xfId="254" xr:uid="{00000000-0005-0000-0000-000007010000}"/>
    <cellStyle name="Dziesiętny 20 4" xfId="255" xr:uid="{00000000-0005-0000-0000-000008010000}"/>
    <cellStyle name="Dziesiętny 21" xfId="256" xr:uid="{00000000-0005-0000-0000-000009010000}"/>
    <cellStyle name="Dziesiętny 21 2" xfId="257" xr:uid="{00000000-0005-0000-0000-00000A010000}"/>
    <cellStyle name="Dziesiętny 21 2 2" xfId="258" xr:uid="{00000000-0005-0000-0000-00000B010000}"/>
    <cellStyle name="Dziesiętny 21 2 2 2" xfId="2050" xr:uid="{00000000-0005-0000-0000-00000C010000}"/>
    <cellStyle name="Dziesiętny 21 2 2 2 2" xfId="2426" xr:uid="{00000000-0005-0000-0000-00000D010000}"/>
    <cellStyle name="Dziesiętny 21 2 2 3" xfId="2241" xr:uid="{00000000-0005-0000-0000-00000E010000}"/>
    <cellStyle name="Dziesiętny 21 2 3" xfId="2049" xr:uid="{00000000-0005-0000-0000-00000F010000}"/>
    <cellStyle name="Dziesiętny 21 2 3 2" xfId="2425" xr:uid="{00000000-0005-0000-0000-000010010000}"/>
    <cellStyle name="Dziesiętny 21 2 4" xfId="2240" xr:uid="{00000000-0005-0000-0000-000011010000}"/>
    <cellStyle name="Dziesiętny 21 3" xfId="259" xr:uid="{00000000-0005-0000-0000-000012010000}"/>
    <cellStyle name="Dziesiętny 21 3 2" xfId="2051" xr:uid="{00000000-0005-0000-0000-000013010000}"/>
    <cellStyle name="Dziesiętny 21 3 2 2" xfId="2427" xr:uid="{00000000-0005-0000-0000-000014010000}"/>
    <cellStyle name="Dziesiętny 21 3 3" xfId="2242" xr:uid="{00000000-0005-0000-0000-000015010000}"/>
    <cellStyle name="Dziesiętny 21 4" xfId="2048" xr:uid="{00000000-0005-0000-0000-000016010000}"/>
    <cellStyle name="Dziesiętny 21 4 2" xfId="2424" xr:uid="{00000000-0005-0000-0000-000017010000}"/>
    <cellStyle name="Dziesiętny 21 5" xfId="2239" xr:uid="{00000000-0005-0000-0000-000018010000}"/>
    <cellStyle name="Dziesiętny 22" xfId="260" xr:uid="{00000000-0005-0000-0000-000019010000}"/>
    <cellStyle name="Dziesiętny 22 2" xfId="261" xr:uid="{00000000-0005-0000-0000-00001A010000}"/>
    <cellStyle name="Dziesiętny 22 2 2" xfId="262" xr:uid="{00000000-0005-0000-0000-00001B010000}"/>
    <cellStyle name="Dziesiętny 22 2 2 2" xfId="2054" xr:uid="{00000000-0005-0000-0000-00001C010000}"/>
    <cellStyle name="Dziesiętny 22 2 2 2 2" xfId="2430" xr:uid="{00000000-0005-0000-0000-00001D010000}"/>
    <cellStyle name="Dziesiętny 22 2 2 3" xfId="2245" xr:uid="{00000000-0005-0000-0000-00001E010000}"/>
    <cellStyle name="Dziesiętny 22 2 3" xfId="2053" xr:uid="{00000000-0005-0000-0000-00001F010000}"/>
    <cellStyle name="Dziesiętny 22 2 3 2" xfId="2429" xr:uid="{00000000-0005-0000-0000-000020010000}"/>
    <cellStyle name="Dziesiętny 22 2 4" xfId="2244" xr:uid="{00000000-0005-0000-0000-000021010000}"/>
    <cellStyle name="Dziesiętny 22 3" xfId="263" xr:uid="{00000000-0005-0000-0000-000022010000}"/>
    <cellStyle name="Dziesiętny 22 3 2" xfId="2055" xr:uid="{00000000-0005-0000-0000-000023010000}"/>
    <cellStyle name="Dziesiętny 22 3 2 2" xfId="2431" xr:uid="{00000000-0005-0000-0000-000024010000}"/>
    <cellStyle name="Dziesiętny 22 3 3" xfId="2246" xr:uid="{00000000-0005-0000-0000-000025010000}"/>
    <cellStyle name="Dziesiętny 22 4" xfId="2052" xr:uid="{00000000-0005-0000-0000-000026010000}"/>
    <cellStyle name="Dziesiętny 22 4 2" xfId="2428" xr:uid="{00000000-0005-0000-0000-000027010000}"/>
    <cellStyle name="Dziesiętny 22 5" xfId="2243" xr:uid="{00000000-0005-0000-0000-000028010000}"/>
    <cellStyle name="Dziesiętny 23" xfId="264" xr:uid="{00000000-0005-0000-0000-000029010000}"/>
    <cellStyle name="Dziesiętny 23 2" xfId="265" xr:uid="{00000000-0005-0000-0000-00002A010000}"/>
    <cellStyle name="Dziesiętny 23 2 2" xfId="2057" xr:uid="{00000000-0005-0000-0000-00002B010000}"/>
    <cellStyle name="Dziesiętny 23 2 2 2" xfId="2433" xr:uid="{00000000-0005-0000-0000-00002C010000}"/>
    <cellStyle name="Dziesiętny 23 2 3" xfId="2248" xr:uid="{00000000-0005-0000-0000-00002D010000}"/>
    <cellStyle name="Dziesiętny 23 3" xfId="2056" xr:uid="{00000000-0005-0000-0000-00002E010000}"/>
    <cellStyle name="Dziesiętny 23 3 2" xfId="2432" xr:uid="{00000000-0005-0000-0000-00002F010000}"/>
    <cellStyle name="Dziesiętny 23 4" xfId="2247" xr:uid="{00000000-0005-0000-0000-000030010000}"/>
    <cellStyle name="Dziesiętny 24" xfId="266" xr:uid="{00000000-0005-0000-0000-000031010000}"/>
    <cellStyle name="Dziesiętny 24 2" xfId="267" xr:uid="{00000000-0005-0000-0000-000032010000}"/>
    <cellStyle name="Dziesiętny 25" xfId="268" xr:uid="{00000000-0005-0000-0000-000033010000}"/>
    <cellStyle name="Dziesiętny 25 2" xfId="269" xr:uid="{00000000-0005-0000-0000-000034010000}"/>
    <cellStyle name="Dziesiętny 25 2 2" xfId="2059" xr:uid="{00000000-0005-0000-0000-000035010000}"/>
    <cellStyle name="Dziesiętny 25 2 2 2" xfId="2435" xr:uid="{00000000-0005-0000-0000-000036010000}"/>
    <cellStyle name="Dziesiętny 25 2 3" xfId="2250" xr:uid="{00000000-0005-0000-0000-000037010000}"/>
    <cellStyle name="Dziesiętny 25 3" xfId="2058" xr:uid="{00000000-0005-0000-0000-000038010000}"/>
    <cellStyle name="Dziesiętny 25 3 2" xfId="2434" xr:uid="{00000000-0005-0000-0000-000039010000}"/>
    <cellStyle name="Dziesiętny 25 4" xfId="2249" xr:uid="{00000000-0005-0000-0000-00003A010000}"/>
    <cellStyle name="Dziesiętny 26" xfId="270" xr:uid="{00000000-0005-0000-0000-00003B010000}"/>
    <cellStyle name="Dziesiętny 26 2" xfId="271" xr:uid="{00000000-0005-0000-0000-00003C010000}"/>
    <cellStyle name="Dziesiętny 26 2 2" xfId="2061" xr:uid="{00000000-0005-0000-0000-00003D010000}"/>
    <cellStyle name="Dziesiętny 26 2 2 2" xfId="2437" xr:uid="{00000000-0005-0000-0000-00003E010000}"/>
    <cellStyle name="Dziesiętny 26 2 3" xfId="2252" xr:uid="{00000000-0005-0000-0000-00003F010000}"/>
    <cellStyle name="Dziesiętny 26 3" xfId="2060" xr:uid="{00000000-0005-0000-0000-000040010000}"/>
    <cellStyle name="Dziesiętny 26 3 2" xfId="2436" xr:uid="{00000000-0005-0000-0000-000041010000}"/>
    <cellStyle name="Dziesiętny 26 4" xfId="2251" xr:uid="{00000000-0005-0000-0000-000042010000}"/>
    <cellStyle name="Dziesiętny 27" xfId="272" xr:uid="{00000000-0005-0000-0000-000043010000}"/>
    <cellStyle name="Dziesiętny 27 2" xfId="273" xr:uid="{00000000-0005-0000-0000-000044010000}"/>
    <cellStyle name="Dziesiętny 27 2 2" xfId="2063" xr:uid="{00000000-0005-0000-0000-000045010000}"/>
    <cellStyle name="Dziesiętny 27 2 2 2" xfId="2439" xr:uid="{00000000-0005-0000-0000-000046010000}"/>
    <cellStyle name="Dziesiętny 27 2 3" xfId="2254" xr:uid="{00000000-0005-0000-0000-000047010000}"/>
    <cellStyle name="Dziesiętny 27 3" xfId="2062" xr:uid="{00000000-0005-0000-0000-000048010000}"/>
    <cellStyle name="Dziesiętny 27 3 2" xfId="2438" xr:uid="{00000000-0005-0000-0000-000049010000}"/>
    <cellStyle name="Dziesiętny 27 4" xfId="2253" xr:uid="{00000000-0005-0000-0000-00004A010000}"/>
    <cellStyle name="Dziesiętny 28" xfId="274" xr:uid="{00000000-0005-0000-0000-00004B010000}"/>
    <cellStyle name="Dziesiętny 28 2" xfId="275" xr:uid="{00000000-0005-0000-0000-00004C010000}"/>
    <cellStyle name="Dziesiętny 28 2 2" xfId="2065" xr:uid="{00000000-0005-0000-0000-00004D010000}"/>
    <cellStyle name="Dziesiętny 28 2 2 2" xfId="2441" xr:uid="{00000000-0005-0000-0000-00004E010000}"/>
    <cellStyle name="Dziesiętny 28 2 3" xfId="2256" xr:uid="{00000000-0005-0000-0000-00004F010000}"/>
    <cellStyle name="Dziesiętny 28 3" xfId="2064" xr:uid="{00000000-0005-0000-0000-000050010000}"/>
    <cellStyle name="Dziesiętny 28 3 2" xfId="2440" xr:uid="{00000000-0005-0000-0000-000051010000}"/>
    <cellStyle name="Dziesiętny 28 4" xfId="2255" xr:uid="{00000000-0005-0000-0000-000052010000}"/>
    <cellStyle name="Dziesiętny 29" xfId="276" xr:uid="{00000000-0005-0000-0000-000053010000}"/>
    <cellStyle name="Dziesiętny 3" xfId="277" xr:uid="{00000000-0005-0000-0000-000054010000}"/>
    <cellStyle name="Dziesiętny 3 2" xfId="278" xr:uid="{00000000-0005-0000-0000-000055010000}"/>
    <cellStyle name="Dziesiętny 3 2 2" xfId="279" xr:uid="{00000000-0005-0000-0000-000056010000}"/>
    <cellStyle name="Dziesiętny 3 2 2 2" xfId="2068" xr:uid="{00000000-0005-0000-0000-000057010000}"/>
    <cellStyle name="Dziesiętny 3 2 2 2 2" xfId="2444" xr:uid="{00000000-0005-0000-0000-000058010000}"/>
    <cellStyle name="Dziesiętny 3 2 2 3" xfId="2259" xr:uid="{00000000-0005-0000-0000-000059010000}"/>
    <cellStyle name="Dziesiętny 3 2 3" xfId="2067" xr:uid="{00000000-0005-0000-0000-00005A010000}"/>
    <cellStyle name="Dziesiętny 3 2 3 2" xfId="2443" xr:uid="{00000000-0005-0000-0000-00005B010000}"/>
    <cellStyle name="Dziesiętny 3 2 4" xfId="2258" xr:uid="{00000000-0005-0000-0000-00005C010000}"/>
    <cellStyle name="Dziesiętny 3 3" xfId="280" xr:uid="{00000000-0005-0000-0000-00005D010000}"/>
    <cellStyle name="Dziesiętny 3 3 2" xfId="281" xr:uid="{00000000-0005-0000-0000-00005E010000}"/>
    <cellStyle name="Dziesiętny 3 3 2 2" xfId="2070" xr:uid="{00000000-0005-0000-0000-00005F010000}"/>
    <cellStyle name="Dziesiętny 3 3 2 2 2" xfId="2446" xr:uid="{00000000-0005-0000-0000-000060010000}"/>
    <cellStyle name="Dziesiętny 3 3 2 3" xfId="2261" xr:uid="{00000000-0005-0000-0000-000061010000}"/>
    <cellStyle name="Dziesiętny 3 3 3" xfId="2069" xr:uid="{00000000-0005-0000-0000-000062010000}"/>
    <cellStyle name="Dziesiętny 3 3 3 2" xfId="2445" xr:uid="{00000000-0005-0000-0000-000063010000}"/>
    <cellStyle name="Dziesiętny 3 3 4" xfId="2260" xr:uid="{00000000-0005-0000-0000-000064010000}"/>
    <cellStyle name="Dziesiętny 3 4" xfId="282" xr:uid="{00000000-0005-0000-0000-000065010000}"/>
    <cellStyle name="Dziesiętny 3 4 2" xfId="2071" xr:uid="{00000000-0005-0000-0000-000066010000}"/>
    <cellStyle name="Dziesiętny 3 4 2 2" xfId="2447" xr:uid="{00000000-0005-0000-0000-000067010000}"/>
    <cellStyle name="Dziesiętny 3 4 3" xfId="2262" xr:uid="{00000000-0005-0000-0000-000068010000}"/>
    <cellStyle name="Dziesiętny 3 5" xfId="283" xr:uid="{00000000-0005-0000-0000-000069010000}"/>
    <cellStyle name="Dziesiętny 3 6" xfId="284" xr:uid="{00000000-0005-0000-0000-00006A010000}"/>
    <cellStyle name="Dziesiętny 3 7" xfId="2066" xr:uid="{00000000-0005-0000-0000-00006B010000}"/>
    <cellStyle name="Dziesiętny 3 7 2" xfId="2442" xr:uid="{00000000-0005-0000-0000-00006C010000}"/>
    <cellStyle name="Dziesiętny 3 8" xfId="2257" xr:uid="{00000000-0005-0000-0000-00006D010000}"/>
    <cellStyle name="Dziesiętny 30" xfId="285" xr:uid="{00000000-0005-0000-0000-00006E010000}"/>
    <cellStyle name="Dziesiętny 31" xfId="286" xr:uid="{00000000-0005-0000-0000-00006F010000}"/>
    <cellStyle name="Dziesiętny 32" xfId="287" xr:uid="{00000000-0005-0000-0000-000070010000}"/>
    <cellStyle name="Dziesiętny 33" xfId="288" xr:uid="{00000000-0005-0000-0000-000071010000}"/>
    <cellStyle name="Dziesiętny 34" xfId="289" xr:uid="{00000000-0005-0000-0000-000072010000}"/>
    <cellStyle name="Dziesiętny 4" xfId="290" xr:uid="{00000000-0005-0000-0000-000073010000}"/>
    <cellStyle name="Dziesiętny 4 10" xfId="291" xr:uid="{00000000-0005-0000-0000-000074010000}"/>
    <cellStyle name="Dziesiętny 4 10 2" xfId="292" xr:uid="{00000000-0005-0000-0000-000075010000}"/>
    <cellStyle name="Dziesiętny 4 11" xfId="293" xr:uid="{00000000-0005-0000-0000-000076010000}"/>
    <cellStyle name="Dziesiętny 4 12" xfId="294" xr:uid="{00000000-0005-0000-0000-000077010000}"/>
    <cellStyle name="Dziesiętny 4 2" xfId="295" xr:uid="{00000000-0005-0000-0000-000078010000}"/>
    <cellStyle name="Dziesiętny 4 2 10" xfId="296" xr:uid="{00000000-0005-0000-0000-000079010000}"/>
    <cellStyle name="Dziesiętny 4 2 2" xfId="297" xr:uid="{00000000-0005-0000-0000-00007A010000}"/>
    <cellStyle name="Dziesiętny 4 2 2 2" xfId="298" xr:uid="{00000000-0005-0000-0000-00007B010000}"/>
    <cellStyle name="Dziesiętny 4 2 2 2 2" xfId="299" xr:uid="{00000000-0005-0000-0000-00007C010000}"/>
    <cellStyle name="Dziesiętny 4 2 2 2 2 2" xfId="300" xr:uid="{00000000-0005-0000-0000-00007D010000}"/>
    <cellStyle name="Dziesiętny 4 2 2 2 2 2 2" xfId="301" xr:uid="{00000000-0005-0000-0000-00007E010000}"/>
    <cellStyle name="Dziesiętny 4 2 2 2 2 2 2 2" xfId="302" xr:uid="{00000000-0005-0000-0000-00007F010000}"/>
    <cellStyle name="Dziesiętny 4 2 2 2 2 2 2 2 2" xfId="303" xr:uid="{00000000-0005-0000-0000-000080010000}"/>
    <cellStyle name="Dziesiętny 4 2 2 2 2 2 2 3" xfId="304" xr:uid="{00000000-0005-0000-0000-000081010000}"/>
    <cellStyle name="Dziesiętny 4 2 2 2 2 2 2 3 2" xfId="305" xr:uid="{00000000-0005-0000-0000-000082010000}"/>
    <cellStyle name="Dziesiętny 4 2 2 2 2 2 2 4" xfId="306" xr:uid="{00000000-0005-0000-0000-000083010000}"/>
    <cellStyle name="Dziesiętny 4 2 2 2 2 2 3" xfId="307" xr:uid="{00000000-0005-0000-0000-000084010000}"/>
    <cellStyle name="Dziesiętny 4 2 2 2 2 2 3 2" xfId="308" xr:uid="{00000000-0005-0000-0000-000085010000}"/>
    <cellStyle name="Dziesiętny 4 2 2 2 2 2 4" xfId="309" xr:uid="{00000000-0005-0000-0000-000086010000}"/>
    <cellStyle name="Dziesiętny 4 2 2 2 2 2 4 2" xfId="310" xr:uid="{00000000-0005-0000-0000-000087010000}"/>
    <cellStyle name="Dziesiętny 4 2 2 2 2 2 5" xfId="311" xr:uid="{00000000-0005-0000-0000-000088010000}"/>
    <cellStyle name="Dziesiętny 4 2 2 2 2 3" xfId="312" xr:uid="{00000000-0005-0000-0000-000089010000}"/>
    <cellStyle name="Dziesiętny 4 2 2 2 2 3 2" xfId="313" xr:uid="{00000000-0005-0000-0000-00008A010000}"/>
    <cellStyle name="Dziesiętny 4 2 2 2 2 3 2 2" xfId="314" xr:uid="{00000000-0005-0000-0000-00008B010000}"/>
    <cellStyle name="Dziesiętny 4 2 2 2 2 3 3" xfId="315" xr:uid="{00000000-0005-0000-0000-00008C010000}"/>
    <cellStyle name="Dziesiętny 4 2 2 2 2 3 3 2" xfId="316" xr:uid="{00000000-0005-0000-0000-00008D010000}"/>
    <cellStyle name="Dziesiętny 4 2 2 2 2 3 4" xfId="317" xr:uid="{00000000-0005-0000-0000-00008E010000}"/>
    <cellStyle name="Dziesiętny 4 2 2 2 2 4" xfId="318" xr:uid="{00000000-0005-0000-0000-00008F010000}"/>
    <cellStyle name="Dziesiętny 4 2 2 2 2 4 2" xfId="319" xr:uid="{00000000-0005-0000-0000-000090010000}"/>
    <cellStyle name="Dziesiętny 4 2 2 2 2 5" xfId="320" xr:uid="{00000000-0005-0000-0000-000091010000}"/>
    <cellStyle name="Dziesiętny 4 2 2 2 2 5 2" xfId="321" xr:uid="{00000000-0005-0000-0000-000092010000}"/>
    <cellStyle name="Dziesiętny 4 2 2 2 2 6" xfId="322" xr:uid="{00000000-0005-0000-0000-000093010000}"/>
    <cellStyle name="Dziesiętny 4 2 2 2 3" xfId="323" xr:uid="{00000000-0005-0000-0000-000094010000}"/>
    <cellStyle name="Dziesiętny 4 2 2 2 3 2" xfId="324" xr:uid="{00000000-0005-0000-0000-000095010000}"/>
    <cellStyle name="Dziesiętny 4 2 2 2 3 2 2" xfId="325" xr:uid="{00000000-0005-0000-0000-000096010000}"/>
    <cellStyle name="Dziesiętny 4 2 2 2 3 2 2 2" xfId="326" xr:uid="{00000000-0005-0000-0000-000097010000}"/>
    <cellStyle name="Dziesiętny 4 2 2 2 3 2 3" xfId="327" xr:uid="{00000000-0005-0000-0000-000098010000}"/>
    <cellStyle name="Dziesiętny 4 2 2 2 3 2 3 2" xfId="328" xr:uid="{00000000-0005-0000-0000-000099010000}"/>
    <cellStyle name="Dziesiętny 4 2 2 2 3 2 4" xfId="329" xr:uid="{00000000-0005-0000-0000-00009A010000}"/>
    <cellStyle name="Dziesiętny 4 2 2 2 3 3" xfId="330" xr:uid="{00000000-0005-0000-0000-00009B010000}"/>
    <cellStyle name="Dziesiętny 4 2 2 2 3 3 2" xfId="331" xr:uid="{00000000-0005-0000-0000-00009C010000}"/>
    <cellStyle name="Dziesiętny 4 2 2 2 3 4" xfId="332" xr:uid="{00000000-0005-0000-0000-00009D010000}"/>
    <cellStyle name="Dziesiętny 4 2 2 2 3 4 2" xfId="333" xr:uid="{00000000-0005-0000-0000-00009E010000}"/>
    <cellStyle name="Dziesiętny 4 2 2 2 3 5" xfId="334" xr:uid="{00000000-0005-0000-0000-00009F010000}"/>
    <cellStyle name="Dziesiętny 4 2 2 2 4" xfId="335" xr:uid="{00000000-0005-0000-0000-0000A0010000}"/>
    <cellStyle name="Dziesiętny 4 2 2 2 4 2" xfId="336" xr:uid="{00000000-0005-0000-0000-0000A1010000}"/>
    <cellStyle name="Dziesiętny 4 2 2 2 4 2 2" xfId="337" xr:uid="{00000000-0005-0000-0000-0000A2010000}"/>
    <cellStyle name="Dziesiętny 4 2 2 2 4 3" xfId="338" xr:uid="{00000000-0005-0000-0000-0000A3010000}"/>
    <cellStyle name="Dziesiętny 4 2 2 2 4 3 2" xfId="339" xr:uid="{00000000-0005-0000-0000-0000A4010000}"/>
    <cellStyle name="Dziesiętny 4 2 2 2 4 4" xfId="340" xr:uid="{00000000-0005-0000-0000-0000A5010000}"/>
    <cellStyle name="Dziesiętny 4 2 2 2 5" xfId="341" xr:uid="{00000000-0005-0000-0000-0000A6010000}"/>
    <cellStyle name="Dziesiętny 4 2 2 2 5 2" xfId="342" xr:uid="{00000000-0005-0000-0000-0000A7010000}"/>
    <cellStyle name="Dziesiętny 4 2 2 2 6" xfId="343" xr:uid="{00000000-0005-0000-0000-0000A8010000}"/>
    <cellStyle name="Dziesiętny 4 2 2 2 6 2" xfId="344" xr:uid="{00000000-0005-0000-0000-0000A9010000}"/>
    <cellStyle name="Dziesiętny 4 2 2 2 7" xfId="345" xr:uid="{00000000-0005-0000-0000-0000AA010000}"/>
    <cellStyle name="Dziesiętny 4 2 2 3" xfId="346" xr:uid="{00000000-0005-0000-0000-0000AB010000}"/>
    <cellStyle name="Dziesiętny 4 2 2 3 2" xfId="347" xr:uid="{00000000-0005-0000-0000-0000AC010000}"/>
    <cellStyle name="Dziesiętny 4 2 2 3 2 2" xfId="348" xr:uid="{00000000-0005-0000-0000-0000AD010000}"/>
    <cellStyle name="Dziesiętny 4 2 2 3 2 2 2" xfId="349" xr:uid="{00000000-0005-0000-0000-0000AE010000}"/>
    <cellStyle name="Dziesiętny 4 2 2 3 2 2 2 2" xfId="350" xr:uid="{00000000-0005-0000-0000-0000AF010000}"/>
    <cellStyle name="Dziesiętny 4 2 2 3 2 2 2 2 2" xfId="351" xr:uid="{00000000-0005-0000-0000-0000B0010000}"/>
    <cellStyle name="Dziesiętny 4 2 2 3 2 2 2 3" xfId="352" xr:uid="{00000000-0005-0000-0000-0000B1010000}"/>
    <cellStyle name="Dziesiętny 4 2 2 3 2 2 2 3 2" xfId="353" xr:uid="{00000000-0005-0000-0000-0000B2010000}"/>
    <cellStyle name="Dziesiętny 4 2 2 3 2 2 2 4" xfId="354" xr:uid="{00000000-0005-0000-0000-0000B3010000}"/>
    <cellStyle name="Dziesiętny 4 2 2 3 2 2 3" xfId="355" xr:uid="{00000000-0005-0000-0000-0000B4010000}"/>
    <cellStyle name="Dziesiętny 4 2 2 3 2 2 3 2" xfId="356" xr:uid="{00000000-0005-0000-0000-0000B5010000}"/>
    <cellStyle name="Dziesiętny 4 2 2 3 2 2 4" xfId="357" xr:uid="{00000000-0005-0000-0000-0000B6010000}"/>
    <cellStyle name="Dziesiętny 4 2 2 3 2 2 4 2" xfId="358" xr:uid="{00000000-0005-0000-0000-0000B7010000}"/>
    <cellStyle name="Dziesiętny 4 2 2 3 2 2 5" xfId="359" xr:uid="{00000000-0005-0000-0000-0000B8010000}"/>
    <cellStyle name="Dziesiętny 4 2 2 3 2 3" xfId="360" xr:uid="{00000000-0005-0000-0000-0000B9010000}"/>
    <cellStyle name="Dziesiętny 4 2 2 3 2 3 2" xfId="361" xr:uid="{00000000-0005-0000-0000-0000BA010000}"/>
    <cellStyle name="Dziesiętny 4 2 2 3 2 3 2 2" xfId="362" xr:uid="{00000000-0005-0000-0000-0000BB010000}"/>
    <cellStyle name="Dziesiętny 4 2 2 3 2 3 3" xfId="363" xr:uid="{00000000-0005-0000-0000-0000BC010000}"/>
    <cellStyle name="Dziesiętny 4 2 2 3 2 3 3 2" xfId="364" xr:uid="{00000000-0005-0000-0000-0000BD010000}"/>
    <cellStyle name="Dziesiętny 4 2 2 3 2 3 4" xfId="365" xr:uid="{00000000-0005-0000-0000-0000BE010000}"/>
    <cellStyle name="Dziesiętny 4 2 2 3 2 4" xfId="366" xr:uid="{00000000-0005-0000-0000-0000BF010000}"/>
    <cellStyle name="Dziesiętny 4 2 2 3 2 4 2" xfId="367" xr:uid="{00000000-0005-0000-0000-0000C0010000}"/>
    <cellStyle name="Dziesiętny 4 2 2 3 2 5" xfId="368" xr:uid="{00000000-0005-0000-0000-0000C1010000}"/>
    <cellStyle name="Dziesiętny 4 2 2 3 2 5 2" xfId="369" xr:uid="{00000000-0005-0000-0000-0000C2010000}"/>
    <cellStyle name="Dziesiętny 4 2 2 3 2 6" xfId="370" xr:uid="{00000000-0005-0000-0000-0000C3010000}"/>
    <cellStyle name="Dziesiętny 4 2 2 3 3" xfId="371" xr:uid="{00000000-0005-0000-0000-0000C4010000}"/>
    <cellStyle name="Dziesiętny 4 2 2 3 3 2" xfId="372" xr:uid="{00000000-0005-0000-0000-0000C5010000}"/>
    <cellStyle name="Dziesiętny 4 2 2 3 3 2 2" xfId="373" xr:uid="{00000000-0005-0000-0000-0000C6010000}"/>
    <cellStyle name="Dziesiętny 4 2 2 3 3 2 2 2" xfId="374" xr:uid="{00000000-0005-0000-0000-0000C7010000}"/>
    <cellStyle name="Dziesiętny 4 2 2 3 3 2 3" xfId="375" xr:uid="{00000000-0005-0000-0000-0000C8010000}"/>
    <cellStyle name="Dziesiętny 4 2 2 3 3 2 3 2" xfId="376" xr:uid="{00000000-0005-0000-0000-0000C9010000}"/>
    <cellStyle name="Dziesiętny 4 2 2 3 3 2 4" xfId="377" xr:uid="{00000000-0005-0000-0000-0000CA010000}"/>
    <cellStyle name="Dziesiętny 4 2 2 3 3 3" xfId="378" xr:uid="{00000000-0005-0000-0000-0000CB010000}"/>
    <cellStyle name="Dziesiętny 4 2 2 3 3 3 2" xfId="379" xr:uid="{00000000-0005-0000-0000-0000CC010000}"/>
    <cellStyle name="Dziesiętny 4 2 2 3 3 4" xfId="380" xr:uid="{00000000-0005-0000-0000-0000CD010000}"/>
    <cellStyle name="Dziesiętny 4 2 2 3 3 4 2" xfId="381" xr:uid="{00000000-0005-0000-0000-0000CE010000}"/>
    <cellStyle name="Dziesiętny 4 2 2 3 3 5" xfId="382" xr:uid="{00000000-0005-0000-0000-0000CF010000}"/>
    <cellStyle name="Dziesiętny 4 2 2 3 4" xfId="383" xr:uid="{00000000-0005-0000-0000-0000D0010000}"/>
    <cellStyle name="Dziesiętny 4 2 2 3 4 2" xfId="384" xr:uid="{00000000-0005-0000-0000-0000D1010000}"/>
    <cellStyle name="Dziesiętny 4 2 2 3 4 2 2" xfId="385" xr:uid="{00000000-0005-0000-0000-0000D2010000}"/>
    <cellStyle name="Dziesiętny 4 2 2 3 4 3" xfId="386" xr:uid="{00000000-0005-0000-0000-0000D3010000}"/>
    <cellStyle name="Dziesiętny 4 2 2 3 4 3 2" xfId="387" xr:uid="{00000000-0005-0000-0000-0000D4010000}"/>
    <cellStyle name="Dziesiętny 4 2 2 3 4 4" xfId="388" xr:uid="{00000000-0005-0000-0000-0000D5010000}"/>
    <cellStyle name="Dziesiętny 4 2 2 3 5" xfId="389" xr:uid="{00000000-0005-0000-0000-0000D6010000}"/>
    <cellStyle name="Dziesiętny 4 2 2 3 5 2" xfId="390" xr:uid="{00000000-0005-0000-0000-0000D7010000}"/>
    <cellStyle name="Dziesiętny 4 2 2 3 6" xfId="391" xr:uid="{00000000-0005-0000-0000-0000D8010000}"/>
    <cellStyle name="Dziesiętny 4 2 2 3 6 2" xfId="392" xr:uid="{00000000-0005-0000-0000-0000D9010000}"/>
    <cellStyle name="Dziesiętny 4 2 2 3 7" xfId="393" xr:uid="{00000000-0005-0000-0000-0000DA010000}"/>
    <cellStyle name="Dziesiętny 4 2 2 4" xfId="394" xr:uid="{00000000-0005-0000-0000-0000DB010000}"/>
    <cellStyle name="Dziesiętny 4 2 2 4 2" xfId="395" xr:uid="{00000000-0005-0000-0000-0000DC010000}"/>
    <cellStyle name="Dziesiętny 4 2 2 4 2 2" xfId="396" xr:uid="{00000000-0005-0000-0000-0000DD010000}"/>
    <cellStyle name="Dziesiętny 4 2 2 4 2 2 2" xfId="397" xr:uid="{00000000-0005-0000-0000-0000DE010000}"/>
    <cellStyle name="Dziesiętny 4 2 2 4 2 2 2 2" xfId="398" xr:uid="{00000000-0005-0000-0000-0000DF010000}"/>
    <cellStyle name="Dziesiętny 4 2 2 4 2 2 3" xfId="399" xr:uid="{00000000-0005-0000-0000-0000E0010000}"/>
    <cellStyle name="Dziesiętny 4 2 2 4 2 2 3 2" xfId="400" xr:uid="{00000000-0005-0000-0000-0000E1010000}"/>
    <cellStyle name="Dziesiętny 4 2 2 4 2 2 4" xfId="401" xr:uid="{00000000-0005-0000-0000-0000E2010000}"/>
    <cellStyle name="Dziesiętny 4 2 2 4 2 3" xfId="402" xr:uid="{00000000-0005-0000-0000-0000E3010000}"/>
    <cellStyle name="Dziesiętny 4 2 2 4 2 3 2" xfId="403" xr:uid="{00000000-0005-0000-0000-0000E4010000}"/>
    <cellStyle name="Dziesiętny 4 2 2 4 2 4" xfId="404" xr:uid="{00000000-0005-0000-0000-0000E5010000}"/>
    <cellStyle name="Dziesiętny 4 2 2 4 2 4 2" xfId="405" xr:uid="{00000000-0005-0000-0000-0000E6010000}"/>
    <cellStyle name="Dziesiętny 4 2 2 4 2 5" xfId="406" xr:uid="{00000000-0005-0000-0000-0000E7010000}"/>
    <cellStyle name="Dziesiętny 4 2 2 4 3" xfId="407" xr:uid="{00000000-0005-0000-0000-0000E8010000}"/>
    <cellStyle name="Dziesiętny 4 2 2 4 3 2" xfId="408" xr:uid="{00000000-0005-0000-0000-0000E9010000}"/>
    <cellStyle name="Dziesiętny 4 2 2 4 3 2 2" xfId="409" xr:uid="{00000000-0005-0000-0000-0000EA010000}"/>
    <cellStyle name="Dziesiętny 4 2 2 4 3 3" xfId="410" xr:uid="{00000000-0005-0000-0000-0000EB010000}"/>
    <cellStyle name="Dziesiętny 4 2 2 4 3 3 2" xfId="411" xr:uid="{00000000-0005-0000-0000-0000EC010000}"/>
    <cellStyle name="Dziesiętny 4 2 2 4 3 4" xfId="412" xr:uid="{00000000-0005-0000-0000-0000ED010000}"/>
    <cellStyle name="Dziesiętny 4 2 2 4 4" xfId="413" xr:uid="{00000000-0005-0000-0000-0000EE010000}"/>
    <cellStyle name="Dziesiętny 4 2 2 4 4 2" xfId="414" xr:uid="{00000000-0005-0000-0000-0000EF010000}"/>
    <cellStyle name="Dziesiętny 4 2 2 4 5" xfId="415" xr:uid="{00000000-0005-0000-0000-0000F0010000}"/>
    <cellStyle name="Dziesiętny 4 2 2 4 5 2" xfId="416" xr:uid="{00000000-0005-0000-0000-0000F1010000}"/>
    <cellStyle name="Dziesiętny 4 2 2 4 6" xfId="417" xr:uid="{00000000-0005-0000-0000-0000F2010000}"/>
    <cellStyle name="Dziesiętny 4 2 2 5" xfId="418" xr:uid="{00000000-0005-0000-0000-0000F3010000}"/>
    <cellStyle name="Dziesiętny 4 2 2 5 2" xfId="419" xr:uid="{00000000-0005-0000-0000-0000F4010000}"/>
    <cellStyle name="Dziesiętny 4 2 2 5 2 2" xfId="420" xr:uid="{00000000-0005-0000-0000-0000F5010000}"/>
    <cellStyle name="Dziesiętny 4 2 2 5 2 2 2" xfId="421" xr:uid="{00000000-0005-0000-0000-0000F6010000}"/>
    <cellStyle name="Dziesiętny 4 2 2 5 2 3" xfId="422" xr:uid="{00000000-0005-0000-0000-0000F7010000}"/>
    <cellStyle name="Dziesiętny 4 2 2 5 2 3 2" xfId="423" xr:uid="{00000000-0005-0000-0000-0000F8010000}"/>
    <cellStyle name="Dziesiętny 4 2 2 5 2 4" xfId="424" xr:uid="{00000000-0005-0000-0000-0000F9010000}"/>
    <cellStyle name="Dziesiętny 4 2 2 5 3" xfId="425" xr:uid="{00000000-0005-0000-0000-0000FA010000}"/>
    <cellStyle name="Dziesiętny 4 2 2 5 3 2" xfId="426" xr:uid="{00000000-0005-0000-0000-0000FB010000}"/>
    <cellStyle name="Dziesiętny 4 2 2 5 4" xfId="427" xr:uid="{00000000-0005-0000-0000-0000FC010000}"/>
    <cellStyle name="Dziesiętny 4 2 2 5 4 2" xfId="428" xr:uid="{00000000-0005-0000-0000-0000FD010000}"/>
    <cellStyle name="Dziesiętny 4 2 2 5 5" xfId="429" xr:uid="{00000000-0005-0000-0000-0000FE010000}"/>
    <cellStyle name="Dziesiętny 4 2 2 6" xfId="430" xr:uid="{00000000-0005-0000-0000-0000FF010000}"/>
    <cellStyle name="Dziesiętny 4 2 2 6 2" xfId="431" xr:uid="{00000000-0005-0000-0000-000000020000}"/>
    <cellStyle name="Dziesiętny 4 2 2 6 2 2" xfId="432" xr:uid="{00000000-0005-0000-0000-000001020000}"/>
    <cellStyle name="Dziesiętny 4 2 2 6 3" xfId="433" xr:uid="{00000000-0005-0000-0000-000002020000}"/>
    <cellStyle name="Dziesiętny 4 2 2 6 3 2" xfId="434" xr:uid="{00000000-0005-0000-0000-000003020000}"/>
    <cellStyle name="Dziesiętny 4 2 2 6 4" xfId="435" xr:uid="{00000000-0005-0000-0000-000004020000}"/>
    <cellStyle name="Dziesiętny 4 2 2 7" xfId="436" xr:uid="{00000000-0005-0000-0000-000005020000}"/>
    <cellStyle name="Dziesiętny 4 2 2 7 2" xfId="437" xr:uid="{00000000-0005-0000-0000-000006020000}"/>
    <cellStyle name="Dziesiętny 4 2 2 8" xfId="438" xr:uid="{00000000-0005-0000-0000-000007020000}"/>
    <cellStyle name="Dziesiętny 4 2 2 8 2" xfId="439" xr:uid="{00000000-0005-0000-0000-000008020000}"/>
    <cellStyle name="Dziesiętny 4 2 2 9" xfId="440" xr:uid="{00000000-0005-0000-0000-000009020000}"/>
    <cellStyle name="Dziesiętny 4 2 3" xfId="441" xr:uid="{00000000-0005-0000-0000-00000A020000}"/>
    <cellStyle name="Dziesiętny 4 2 3 2" xfId="442" xr:uid="{00000000-0005-0000-0000-00000B020000}"/>
    <cellStyle name="Dziesiętny 4 2 3 2 2" xfId="443" xr:uid="{00000000-0005-0000-0000-00000C020000}"/>
    <cellStyle name="Dziesiętny 4 2 3 2 2 2" xfId="444" xr:uid="{00000000-0005-0000-0000-00000D020000}"/>
    <cellStyle name="Dziesiętny 4 2 3 2 2 2 2" xfId="445" xr:uid="{00000000-0005-0000-0000-00000E020000}"/>
    <cellStyle name="Dziesiętny 4 2 3 2 2 2 2 2" xfId="446" xr:uid="{00000000-0005-0000-0000-00000F020000}"/>
    <cellStyle name="Dziesiętny 4 2 3 2 2 2 3" xfId="447" xr:uid="{00000000-0005-0000-0000-000010020000}"/>
    <cellStyle name="Dziesiętny 4 2 3 2 2 2 3 2" xfId="448" xr:uid="{00000000-0005-0000-0000-000011020000}"/>
    <cellStyle name="Dziesiętny 4 2 3 2 2 2 4" xfId="449" xr:uid="{00000000-0005-0000-0000-000012020000}"/>
    <cellStyle name="Dziesiętny 4 2 3 2 2 3" xfId="450" xr:uid="{00000000-0005-0000-0000-000013020000}"/>
    <cellStyle name="Dziesiętny 4 2 3 2 2 3 2" xfId="451" xr:uid="{00000000-0005-0000-0000-000014020000}"/>
    <cellStyle name="Dziesiętny 4 2 3 2 2 4" xfId="452" xr:uid="{00000000-0005-0000-0000-000015020000}"/>
    <cellStyle name="Dziesiętny 4 2 3 2 2 4 2" xfId="453" xr:uid="{00000000-0005-0000-0000-000016020000}"/>
    <cellStyle name="Dziesiętny 4 2 3 2 2 5" xfId="454" xr:uid="{00000000-0005-0000-0000-000017020000}"/>
    <cellStyle name="Dziesiętny 4 2 3 2 3" xfId="455" xr:uid="{00000000-0005-0000-0000-000018020000}"/>
    <cellStyle name="Dziesiętny 4 2 3 2 3 2" xfId="456" xr:uid="{00000000-0005-0000-0000-000019020000}"/>
    <cellStyle name="Dziesiętny 4 2 3 2 3 2 2" xfId="457" xr:uid="{00000000-0005-0000-0000-00001A020000}"/>
    <cellStyle name="Dziesiętny 4 2 3 2 3 3" xfId="458" xr:uid="{00000000-0005-0000-0000-00001B020000}"/>
    <cellStyle name="Dziesiętny 4 2 3 2 3 3 2" xfId="459" xr:uid="{00000000-0005-0000-0000-00001C020000}"/>
    <cellStyle name="Dziesiętny 4 2 3 2 3 4" xfId="460" xr:uid="{00000000-0005-0000-0000-00001D020000}"/>
    <cellStyle name="Dziesiętny 4 2 3 2 4" xfId="461" xr:uid="{00000000-0005-0000-0000-00001E020000}"/>
    <cellStyle name="Dziesiętny 4 2 3 2 4 2" xfId="462" xr:uid="{00000000-0005-0000-0000-00001F020000}"/>
    <cellStyle name="Dziesiętny 4 2 3 2 5" xfId="463" xr:uid="{00000000-0005-0000-0000-000020020000}"/>
    <cellStyle name="Dziesiętny 4 2 3 2 5 2" xfId="464" xr:uid="{00000000-0005-0000-0000-000021020000}"/>
    <cellStyle name="Dziesiętny 4 2 3 2 6" xfId="465" xr:uid="{00000000-0005-0000-0000-000022020000}"/>
    <cellStyle name="Dziesiętny 4 2 3 3" xfId="466" xr:uid="{00000000-0005-0000-0000-000023020000}"/>
    <cellStyle name="Dziesiętny 4 2 3 3 2" xfId="467" xr:uid="{00000000-0005-0000-0000-000024020000}"/>
    <cellStyle name="Dziesiętny 4 2 3 3 2 2" xfId="468" xr:uid="{00000000-0005-0000-0000-000025020000}"/>
    <cellStyle name="Dziesiętny 4 2 3 3 2 2 2" xfId="469" xr:uid="{00000000-0005-0000-0000-000026020000}"/>
    <cellStyle name="Dziesiętny 4 2 3 3 2 3" xfId="470" xr:uid="{00000000-0005-0000-0000-000027020000}"/>
    <cellStyle name="Dziesiętny 4 2 3 3 2 3 2" xfId="471" xr:uid="{00000000-0005-0000-0000-000028020000}"/>
    <cellStyle name="Dziesiętny 4 2 3 3 2 4" xfId="472" xr:uid="{00000000-0005-0000-0000-000029020000}"/>
    <cellStyle name="Dziesiętny 4 2 3 3 3" xfId="473" xr:uid="{00000000-0005-0000-0000-00002A020000}"/>
    <cellStyle name="Dziesiętny 4 2 3 3 3 2" xfId="474" xr:uid="{00000000-0005-0000-0000-00002B020000}"/>
    <cellStyle name="Dziesiętny 4 2 3 3 4" xfId="475" xr:uid="{00000000-0005-0000-0000-00002C020000}"/>
    <cellStyle name="Dziesiętny 4 2 3 3 4 2" xfId="476" xr:uid="{00000000-0005-0000-0000-00002D020000}"/>
    <cellStyle name="Dziesiętny 4 2 3 3 5" xfId="477" xr:uid="{00000000-0005-0000-0000-00002E020000}"/>
    <cellStyle name="Dziesiętny 4 2 3 4" xfId="478" xr:uid="{00000000-0005-0000-0000-00002F020000}"/>
    <cellStyle name="Dziesiętny 4 2 3 4 2" xfId="479" xr:uid="{00000000-0005-0000-0000-000030020000}"/>
    <cellStyle name="Dziesiętny 4 2 3 4 2 2" xfId="480" xr:uid="{00000000-0005-0000-0000-000031020000}"/>
    <cellStyle name="Dziesiętny 4 2 3 4 3" xfId="481" xr:uid="{00000000-0005-0000-0000-000032020000}"/>
    <cellStyle name="Dziesiętny 4 2 3 4 3 2" xfId="482" xr:uid="{00000000-0005-0000-0000-000033020000}"/>
    <cellStyle name="Dziesiętny 4 2 3 4 4" xfId="483" xr:uid="{00000000-0005-0000-0000-000034020000}"/>
    <cellStyle name="Dziesiętny 4 2 3 5" xfId="484" xr:uid="{00000000-0005-0000-0000-000035020000}"/>
    <cellStyle name="Dziesiętny 4 2 3 5 2" xfId="485" xr:uid="{00000000-0005-0000-0000-000036020000}"/>
    <cellStyle name="Dziesiętny 4 2 3 6" xfId="486" xr:uid="{00000000-0005-0000-0000-000037020000}"/>
    <cellStyle name="Dziesiętny 4 2 3 6 2" xfId="487" xr:uid="{00000000-0005-0000-0000-000038020000}"/>
    <cellStyle name="Dziesiętny 4 2 3 7" xfId="488" xr:uid="{00000000-0005-0000-0000-000039020000}"/>
    <cellStyle name="Dziesiętny 4 2 4" xfId="489" xr:uid="{00000000-0005-0000-0000-00003A020000}"/>
    <cellStyle name="Dziesiętny 4 2 4 2" xfId="490" xr:uid="{00000000-0005-0000-0000-00003B020000}"/>
    <cellStyle name="Dziesiętny 4 2 4 2 2" xfId="491" xr:uid="{00000000-0005-0000-0000-00003C020000}"/>
    <cellStyle name="Dziesiętny 4 2 4 2 2 2" xfId="492" xr:uid="{00000000-0005-0000-0000-00003D020000}"/>
    <cellStyle name="Dziesiętny 4 2 4 2 2 2 2" xfId="493" xr:uid="{00000000-0005-0000-0000-00003E020000}"/>
    <cellStyle name="Dziesiętny 4 2 4 2 2 2 2 2" xfId="494" xr:uid="{00000000-0005-0000-0000-00003F020000}"/>
    <cellStyle name="Dziesiętny 4 2 4 2 2 2 3" xfId="495" xr:uid="{00000000-0005-0000-0000-000040020000}"/>
    <cellStyle name="Dziesiętny 4 2 4 2 2 2 3 2" xfId="496" xr:uid="{00000000-0005-0000-0000-000041020000}"/>
    <cellStyle name="Dziesiętny 4 2 4 2 2 2 4" xfId="497" xr:uid="{00000000-0005-0000-0000-000042020000}"/>
    <cellStyle name="Dziesiętny 4 2 4 2 2 3" xfId="498" xr:uid="{00000000-0005-0000-0000-000043020000}"/>
    <cellStyle name="Dziesiętny 4 2 4 2 2 3 2" xfId="499" xr:uid="{00000000-0005-0000-0000-000044020000}"/>
    <cellStyle name="Dziesiętny 4 2 4 2 2 4" xfId="500" xr:uid="{00000000-0005-0000-0000-000045020000}"/>
    <cellStyle name="Dziesiętny 4 2 4 2 2 4 2" xfId="501" xr:uid="{00000000-0005-0000-0000-000046020000}"/>
    <cellStyle name="Dziesiętny 4 2 4 2 2 5" xfId="502" xr:uid="{00000000-0005-0000-0000-000047020000}"/>
    <cellStyle name="Dziesiętny 4 2 4 2 3" xfId="503" xr:uid="{00000000-0005-0000-0000-000048020000}"/>
    <cellStyle name="Dziesiętny 4 2 4 2 3 2" xfId="504" xr:uid="{00000000-0005-0000-0000-000049020000}"/>
    <cellStyle name="Dziesiętny 4 2 4 2 3 2 2" xfId="505" xr:uid="{00000000-0005-0000-0000-00004A020000}"/>
    <cellStyle name="Dziesiętny 4 2 4 2 3 3" xfId="506" xr:uid="{00000000-0005-0000-0000-00004B020000}"/>
    <cellStyle name="Dziesiętny 4 2 4 2 3 3 2" xfId="507" xr:uid="{00000000-0005-0000-0000-00004C020000}"/>
    <cellStyle name="Dziesiętny 4 2 4 2 3 4" xfId="508" xr:uid="{00000000-0005-0000-0000-00004D020000}"/>
    <cellStyle name="Dziesiętny 4 2 4 2 4" xfId="509" xr:uid="{00000000-0005-0000-0000-00004E020000}"/>
    <cellStyle name="Dziesiętny 4 2 4 2 4 2" xfId="510" xr:uid="{00000000-0005-0000-0000-00004F020000}"/>
    <cellStyle name="Dziesiętny 4 2 4 2 5" xfId="511" xr:uid="{00000000-0005-0000-0000-000050020000}"/>
    <cellStyle name="Dziesiętny 4 2 4 2 5 2" xfId="512" xr:uid="{00000000-0005-0000-0000-000051020000}"/>
    <cellStyle name="Dziesiętny 4 2 4 2 6" xfId="513" xr:uid="{00000000-0005-0000-0000-000052020000}"/>
    <cellStyle name="Dziesiętny 4 2 4 3" xfId="514" xr:uid="{00000000-0005-0000-0000-000053020000}"/>
    <cellStyle name="Dziesiętny 4 2 4 3 2" xfId="515" xr:uid="{00000000-0005-0000-0000-000054020000}"/>
    <cellStyle name="Dziesiętny 4 2 4 3 2 2" xfId="516" xr:uid="{00000000-0005-0000-0000-000055020000}"/>
    <cellStyle name="Dziesiętny 4 2 4 3 2 2 2" xfId="517" xr:uid="{00000000-0005-0000-0000-000056020000}"/>
    <cellStyle name="Dziesiętny 4 2 4 3 2 3" xfId="518" xr:uid="{00000000-0005-0000-0000-000057020000}"/>
    <cellStyle name="Dziesiętny 4 2 4 3 2 3 2" xfId="519" xr:uid="{00000000-0005-0000-0000-000058020000}"/>
    <cellStyle name="Dziesiętny 4 2 4 3 2 4" xfId="520" xr:uid="{00000000-0005-0000-0000-000059020000}"/>
    <cellStyle name="Dziesiętny 4 2 4 3 3" xfId="521" xr:uid="{00000000-0005-0000-0000-00005A020000}"/>
    <cellStyle name="Dziesiętny 4 2 4 3 3 2" xfId="522" xr:uid="{00000000-0005-0000-0000-00005B020000}"/>
    <cellStyle name="Dziesiętny 4 2 4 3 4" xfId="523" xr:uid="{00000000-0005-0000-0000-00005C020000}"/>
    <cellStyle name="Dziesiętny 4 2 4 3 4 2" xfId="524" xr:uid="{00000000-0005-0000-0000-00005D020000}"/>
    <cellStyle name="Dziesiętny 4 2 4 3 5" xfId="525" xr:uid="{00000000-0005-0000-0000-00005E020000}"/>
    <cellStyle name="Dziesiętny 4 2 4 4" xfId="526" xr:uid="{00000000-0005-0000-0000-00005F020000}"/>
    <cellStyle name="Dziesiętny 4 2 4 4 2" xfId="527" xr:uid="{00000000-0005-0000-0000-000060020000}"/>
    <cellStyle name="Dziesiętny 4 2 4 4 2 2" xfId="528" xr:uid="{00000000-0005-0000-0000-000061020000}"/>
    <cellStyle name="Dziesiętny 4 2 4 4 3" xfId="529" xr:uid="{00000000-0005-0000-0000-000062020000}"/>
    <cellStyle name="Dziesiętny 4 2 4 4 3 2" xfId="530" xr:uid="{00000000-0005-0000-0000-000063020000}"/>
    <cellStyle name="Dziesiętny 4 2 4 4 4" xfId="531" xr:uid="{00000000-0005-0000-0000-000064020000}"/>
    <cellStyle name="Dziesiętny 4 2 4 5" xfId="532" xr:uid="{00000000-0005-0000-0000-000065020000}"/>
    <cellStyle name="Dziesiętny 4 2 4 5 2" xfId="533" xr:uid="{00000000-0005-0000-0000-000066020000}"/>
    <cellStyle name="Dziesiętny 4 2 4 6" xfId="534" xr:uid="{00000000-0005-0000-0000-000067020000}"/>
    <cellStyle name="Dziesiętny 4 2 4 6 2" xfId="535" xr:uid="{00000000-0005-0000-0000-000068020000}"/>
    <cellStyle name="Dziesiętny 4 2 4 7" xfId="536" xr:uid="{00000000-0005-0000-0000-000069020000}"/>
    <cellStyle name="Dziesiętny 4 2 5" xfId="537" xr:uid="{00000000-0005-0000-0000-00006A020000}"/>
    <cellStyle name="Dziesiętny 4 2 5 2" xfId="538" xr:uid="{00000000-0005-0000-0000-00006B020000}"/>
    <cellStyle name="Dziesiętny 4 2 5 2 2" xfId="539" xr:uid="{00000000-0005-0000-0000-00006C020000}"/>
    <cellStyle name="Dziesiętny 4 2 5 2 2 2" xfId="540" xr:uid="{00000000-0005-0000-0000-00006D020000}"/>
    <cellStyle name="Dziesiętny 4 2 5 2 2 2 2" xfId="541" xr:uid="{00000000-0005-0000-0000-00006E020000}"/>
    <cellStyle name="Dziesiętny 4 2 5 2 2 3" xfId="542" xr:uid="{00000000-0005-0000-0000-00006F020000}"/>
    <cellStyle name="Dziesiętny 4 2 5 2 2 3 2" xfId="543" xr:uid="{00000000-0005-0000-0000-000070020000}"/>
    <cellStyle name="Dziesiętny 4 2 5 2 2 4" xfId="544" xr:uid="{00000000-0005-0000-0000-000071020000}"/>
    <cellStyle name="Dziesiętny 4 2 5 2 3" xfId="545" xr:uid="{00000000-0005-0000-0000-000072020000}"/>
    <cellStyle name="Dziesiętny 4 2 5 2 3 2" xfId="546" xr:uid="{00000000-0005-0000-0000-000073020000}"/>
    <cellStyle name="Dziesiętny 4 2 5 2 4" xfId="547" xr:uid="{00000000-0005-0000-0000-000074020000}"/>
    <cellStyle name="Dziesiętny 4 2 5 2 4 2" xfId="548" xr:uid="{00000000-0005-0000-0000-000075020000}"/>
    <cellStyle name="Dziesiętny 4 2 5 2 5" xfId="549" xr:uid="{00000000-0005-0000-0000-000076020000}"/>
    <cellStyle name="Dziesiętny 4 2 5 3" xfId="550" xr:uid="{00000000-0005-0000-0000-000077020000}"/>
    <cellStyle name="Dziesiętny 4 2 5 3 2" xfId="551" xr:uid="{00000000-0005-0000-0000-000078020000}"/>
    <cellStyle name="Dziesiętny 4 2 5 3 2 2" xfId="552" xr:uid="{00000000-0005-0000-0000-000079020000}"/>
    <cellStyle name="Dziesiętny 4 2 5 3 3" xfId="553" xr:uid="{00000000-0005-0000-0000-00007A020000}"/>
    <cellStyle name="Dziesiętny 4 2 5 3 3 2" xfId="554" xr:uid="{00000000-0005-0000-0000-00007B020000}"/>
    <cellStyle name="Dziesiętny 4 2 5 3 4" xfId="555" xr:uid="{00000000-0005-0000-0000-00007C020000}"/>
    <cellStyle name="Dziesiętny 4 2 5 4" xfId="556" xr:uid="{00000000-0005-0000-0000-00007D020000}"/>
    <cellStyle name="Dziesiętny 4 2 5 4 2" xfId="557" xr:uid="{00000000-0005-0000-0000-00007E020000}"/>
    <cellStyle name="Dziesiętny 4 2 5 5" xfId="558" xr:uid="{00000000-0005-0000-0000-00007F020000}"/>
    <cellStyle name="Dziesiętny 4 2 5 5 2" xfId="559" xr:uid="{00000000-0005-0000-0000-000080020000}"/>
    <cellStyle name="Dziesiętny 4 2 5 6" xfId="560" xr:uid="{00000000-0005-0000-0000-000081020000}"/>
    <cellStyle name="Dziesiętny 4 2 6" xfId="561" xr:uid="{00000000-0005-0000-0000-000082020000}"/>
    <cellStyle name="Dziesiętny 4 2 6 2" xfId="562" xr:uid="{00000000-0005-0000-0000-000083020000}"/>
    <cellStyle name="Dziesiętny 4 2 6 2 2" xfId="563" xr:uid="{00000000-0005-0000-0000-000084020000}"/>
    <cellStyle name="Dziesiętny 4 2 6 2 2 2" xfId="564" xr:uid="{00000000-0005-0000-0000-000085020000}"/>
    <cellStyle name="Dziesiętny 4 2 6 2 3" xfId="565" xr:uid="{00000000-0005-0000-0000-000086020000}"/>
    <cellStyle name="Dziesiętny 4 2 6 2 3 2" xfId="566" xr:uid="{00000000-0005-0000-0000-000087020000}"/>
    <cellStyle name="Dziesiętny 4 2 6 2 4" xfId="567" xr:uid="{00000000-0005-0000-0000-000088020000}"/>
    <cellStyle name="Dziesiętny 4 2 6 3" xfId="568" xr:uid="{00000000-0005-0000-0000-000089020000}"/>
    <cellStyle name="Dziesiętny 4 2 6 3 2" xfId="569" xr:uid="{00000000-0005-0000-0000-00008A020000}"/>
    <cellStyle name="Dziesiętny 4 2 6 4" xfId="570" xr:uid="{00000000-0005-0000-0000-00008B020000}"/>
    <cellStyle name="Dziesiętny 4 2 6 4 2" xfId="571" xr:uid="{00000000-0005-0000-0000-00008C020000}"/>
    <cellStyle name="Dziesiętny 4 2 6 5" xfId="572" xr:uid="{00000000-0005-0000-0000-00008D020000}"/>
    <cellStyle name="Dziesiętny 4 2 7" xfId="573" xr:uid="{00000000-0005-0000-0000-00008E020000}"/>
    <cellStyle name="Dziesiętny 4 2 7 2" xfId="574" xr:uid="{00000000-0005-0000-0000-00008F020000}"/>
    <cellStyle name="Dziesiętny 4 2 7 2 2" xfId="575" xr:uid="{00000000-0005-0000-0000-000090020000}"/>
    <cellStyle name="Dziesiętny 4 2 7 3" xfId="576" xr:uid="{00000000-0005-0000-0000-000091020000}"/>
    <cellStyle name="Dziesiętny 4 2 7 3 2" xfId="577" xr:uid="{00000000-0005-0000-0000-000092020000}"/>
    <cellStyle name="Dziesiętny 4 2 7 4" xfId="578" xr:uid="{00000000-0005-0000-0000-000093020000}"/>
    <cellStyle name="Dziesiętny 4 2 8" xfId="579" xr:uid="{00000000-0005-0000-0000-000094020000}"/>
    <cellStyle name="Dziesiętny 4 2 8 2" xfId="580" xr:uid="{00000000-0005-0000-0000-000095020000}"/>
    <cellStyle name="Dziesiętny 4 2 9" xfId="581" xr:uid="{00000000-0005-0000-0000-000096020000}"/>
    <cellStyle name="Dziesiętny 4 2 9 2" xfId="582" xr:uid="{00000000-0005-0000-0000-000097020000}"/>
    <cellStyle name="Dziesiętny 4 3" xfId="583" xr:uid="{00000000-0005-0000-0000-000098020000}"/>
    <cellStyle name="Dziesiętny 4 3 2" xfId="584" xr:uid="{00000000-0005-0000-0000-000099020000}"/>
    <cellStyle name="Dziesiętny 4 3 2 2" xfId="585" xr:uid="{00000000-0005-0000-0000-00009A020000}"/>
    <cellStyle name="Dziesiętny 4 3 2 2 2" xfId="586" xr:uid="{00000000-0005-0000-0000-00009B020000}"/>
    <cellStyle name="Dziesiętny 4 3 2 2 2 2" xfId="587" xr:uid="{00000000-0005-0000-0000-00009C020000}"/>
    <cellStyle name="Dziesiętny 4 3 2 2 2 2 2" xfId="588" xr:uid="{00000000-0005-0000-0000-00009D020000}"/>
    <cellStyle name="Dziesiętny 4 3 2 2 2 2 2 2" xfId="589" xr:uid="{00000000-0005-0000-0000-00009E020000}"/>
    <cellStyle name="Dziesiętny 4 3 2 2 2 2 3" xfId="590" xr:uid="{00000000-0005-0000-0000-00009F020000}"/>
    <cellStyle name="Dziesiętny 4 3 2 2 2 2 3 2" xfId="591" xr:uid="{00000000-0005-0000-0000-0000A0020000}"/>
    <cellStyle name="Dziesiętny 4 3 2 2 2 2 4" xfId="592" xr:uid="{00000000-0005-0000-0000-0000A1020000}"/>
    <cellStyle name="Dziesiętny 4 3 2 2 2 3" xfId="593" xr:uid="{00000000-0005-0000-0000-0000A2020000}"/>
    <cellStyle name="Dziesiętny 4 3 2 2 2 3 2" xfId="594" xr:uid="{00000000-0005-0000-0000-0000A3020000}"/>
    <cellStyle name="Dziesiętny 4 3 2 2 2 4" xfId="595" xr:uid="{00000000-0005-0000-0000-0000A4020000}"/>
    <cellStyle name="Dziesiętny 4 3 2 2 2 4 2" xfId="596" xr:uid="{00000000-0005-0000-0000-0000A5020000}"/>
    <cellStyle name="Dziesiętny 4 3 2 2 2 5" xfId="597" xr:uid="{00000000-0005-0000-0000-0000A6020000}"/>
    <cellStyle name="Dziesiętny 4 3 2 2 3" xfId="598" xr:uid="{00000000-0005-0000-0000-0000A7020000}"/>
    <cellStyle name="Dziesiętny 4 3 2 2 3 2" xfId="599" xr:uid="{00000000-0005-0000-0000-0000A8020000}"/>
    <cellStyle name="Dziesiętny 4 3 2 2 3 2 2" xfId="600" xr:uid="{00000000-0005-0000-0000-0000A9020000}"/>
    <cellStyle name="Dziesiętny 4 3 2 2 3 3" xfId="601" xr:uid="{00000000-0005-0000-0000-0000AA020000}"/>
    <cellStyle name="Dziesiętny 4 3 2 2 3 3 2" xfId="602" xr:uid="{00000000-0005-0000-0000-0000AB020000}"/>
    <cellStyle name="Dziesiętny 4 3 2 2 3 4" xfId="603" xr:uid="{00000000-0005-0000-0000-0000AC020000}"/>
    <cellStyle name="Dziesiętny 4 3 2 2 4" xfId="604" xr:uid="{00000000-0005-0000-0000-0000AD020000}"/>
    <cellStyle name="Dziesiętny 4 3 2 2 4 2" xfId="605" xr:uid="{00000000-0005-0000-0000-0000AE020000}"/>
    <cellStyle name="Dziesiętny 4 3 2 2 5" xfId="606" xr:uid="{00000000-0005-0000-0000-0000AF020000}"/>
    <cellStyle name="Dziesiętny 4 3 2 2 5 2" xfId="607" xr:uid="{00000000-0005-0000-0000-0000B0020000}"/>
    <cellStyle name="Dziesiętny 4 3 2 2 6" xfId="608" xr:uid="{00000000-0005-0000-0000-0000B1020000}"/>
    <cellStyle name="Dziesiętny 4 3 2 3" xfId="609" xr:uid="{00000000-0005-0000-0000-0000B2020000}"/>
    <cellStyle name="Dziesiętny 4 3 2 3 2" xfId="610" xr:uid="{00000000-0005-0000-0000-0000B3020000}"/>
    <cellStyle name="Dziesiętny 4 3 2 3 2 2" xfId="611" xr:uid="{00000000-0005-0000-0000-0000B4020000}"/>
    <cellStyle name="Dziesiętny 4 3 2 3 2 2 2" xfId="612" xr:uid="{00000000-0005-0000-0000-0000B5020000}"/>
    <cellStyle name="Dziesiętny 4 3 2 3 2 3" xfId="613" xr:uid="{00000000-0005-0000-0000-0000B6020000}"/>
    <cellStyle name="Dziesiętny 4 3 2 3 2 3 2" xfId="614" xr:uid="{00000000-0005-0000-0000-0000B7020000}"/>
    <cellStyle name="Dziesiętny 4 3 2 3 2 4" xfId="615" xr:uid="{00000000-0005-0000-0000-0000B8020000}"/>
    <cellStyle name="Dziesiętny 4 3 2 3 3" xfId="616" xr:uid="{00000000-0005-0000-0000-0000B9020000}"/>
    <cellStyle name="Dziesiętny 4 3 2 3 3 2" xfId="617" xr:uid="{00000000-0005-0000-0000-0000BA020000}"/>
    <cellStyle name="Dziesiętny 4 3 2 3 4" xfId="618" xr:uid="{00000000-0005-0000-0000-0000BB020000}"/>
    <cellStyle name="Dziesiętny 4 3 2 3 4 2" xfId="619" xr:uid="{00000000-0005-0000-0000-0000BC020000}"/>
    <cellStyle name="Dziesiętny 4 3 2 3 5" xfId="620" xr:uid="{00000000-0005-0000-0000-0000BD020000}"/>
    <cellStyle name="Dziesiętny 4 3 2 4" xfId="621" xr:uid="{00000000-0005-0000-0000-0000BE020000}"/>
    <cellStyle name="Dziesiętny 4 3 2 4 2" xfId="622" xr:uid="{00000000-0005-0000-0000-0000BF020000}"/>
    <cellStyle name="Dziesiętny 4 3 2 4 2 2" xfId="623" xr:uid="{00000000-0005-0000-0000-0000C0020000}"/>
    <cellStyle name="Dziesiętny 4 3 2 4 3" xfId="624" xr:uid="{00000000-0005-0000-0000-0000C1020000}"/>
    <cellStyle name="Dziesiętny 4 3 2 4 3 2" xfId="625" xr:uid="{00000000-0005-0000-0000-0000C2020000}"/>
    <cellStyle name="Dziesiętny 4 3 2 4 4" xfId="626" xr:uid="{00000000-0005-0000-0000-0000C3020000}"/>
    <cellStyle name="Dziesiętny 4 3 2 5" xfId="627" xr:uid="{00000000-0005-0000-0000-0000C4020000}"/>
    <cellStyle name="Dziesiętny 4 3 2 5 2" xfId="628" xr:uid="{00000000-0005-0000-0000-0000C5020000}"/>
    <cellStyle name="Dziesiętny 4 3 2 6" xfId="629" xr:uid="{00000000-0005-0000-0000-0000C6020000}"/>
    <cellStyle name="Dziesiętny 4 3 2 6 2" xfId="630" xr:uid="{00000000-0005-0000-0000-0000C7020000}"/>
    <cellStyle name="Dziesiętny 4 3 2 7" xfId="631" xr:uid="{00000000-0005-0000-0000-0000C8020000}"/>
    <cellStyle name="Dziesiętny 4 3 3" xfId="632" xr:uid="{00000000-0005-0000-0000-0000C9020000}"/>
    <cellStyle name="Dziesiętny 4 3 3 2" xfId="633" xr:uid="{00000000-0005-0000-0000-0000CA020000}"/>
    <cellStyle name="Dziesiętny 4 3 3 2 2" xfId="634" xr:uid="{00000000-0005-0000-0000-0000CB020000}"/>
    <cellStyle name="Dziesiętny 4 3 3 2 2 2" xfId="635" xr:uid="{00000000-0005-0000-0000-0000CC020000}"/>
    <cellStyle name="Dziesiętny 4 3 3 2 2 2 2" xfId="636" xr:uid="{00000000-0005-0000-0000-0000CD020000}"/>
    <cellStyle name="Dziesiętny 4 3 3 2 2 2 2 2" xfId="637" xr:uid="{00000000-0005-0000-0000-0000CE020000}"/>
    <cellStyle name="Dziesiętny 4 3 3 2 2 2 3" xfId="638" xr:uid="{00000000-0005-0000-0000-0000CF020000}"/>
    <cellStyle name="Dziesiętny 4 3 3 2 2 2 3 2" xfId="639" xr:uid="{00000000-0005-0000-0000-0000D0020000}"/>
    <cellStyle name="Dziesiętny 4 3 3 2 2 2 4" xfId="640" xr:uid="{00000000-0005-0000-0000-0000D1020000}"/>
    <cellStyle name="Dziesiętny 4 3 3 2 2 3" xfId="641" xr:uid="{00000000-0005-0000-0000-0000D2020000}"/>
    <cellStyle name="Dziesiętny 4 3 3 2 2 3 2" xfId="642" xr:uid="{00000000-0005-0000-0000-0000D3020000}"/>
    <cellStyle name="Dziesiętny 4 3 3 2 2 4" xfId="643" xr:uid="{00000000-0005-0000-0000-0000D4020000}"/>
    <cellStyle name="Dziesiętny 4 3 3 2 2 4 2" xfId="644" xr:uid="{00000000-0005-0000-0000-0000D5020000}"/>
    <cellStyle name="Dziesiętny 4 3 3 2 2 5" xfId="645" xr:uid="{00000000-0005-0000-0000-0000D6020000}"/>
    <cellStyle name="Dziesiętny 4 3 3 2 3" xfId="646" xr:uid="{00000000-0005-0000-0000-0000D7020000}"/>
    <cellStyle name="Dziesiętny 4 3 3 2 3 2" xfId="647" xr:uid="{00000000-0005-0000-0000-0000D8020000}"/>
    <cellStyle name="Dziesiętny 4 3 3 2 3 2 2" xfId="648" xr:uid="{00000000-0005-0000-0000-0000D9020000}"/>
    <cellStyle name="Dziesiętny 4 3 3 2 3 3" xfId="649" xr:uid="{00000000-0005-0000-0000-0000DA020000}"/>
    <cellStyle name="Dziesiętny 4 3 3 2 3 3 2" xfId="650" xr:uid="{00000000-0005-0000-0000-0000DB020000}"/>
    <cellStyle name="Dziesiętny 4 3 3 2 3 4" xfId="651" xr:uid="{00000000-0005-0000-0000-0000DC020000}"/>
    <cellStyle name="Dziesiętny 4 3 3 2 4" xfId="652" xr:uid="{00000000-0005-0000-0000-0000DD020000}"/>
    <cellStyle name="Dziesiętny 4 3 3 2 4 2" xfId="653" xr:uid="{00000000-0005-0000-0000-0000DE020000}"/>
    <cellStyle name="Dziesiętny 4 3 3 2 5" xfId="654" xr:uid="{00000000-0005-0000-0000-0000DF020000}"/>
    <cellStyle name="Dziesiętny 4 3 3 2 5 2" xfId="655" xr:uid="{00000000-0005-0000-0000-0000E0020000}"/>
    <cellStyle name="Dziesiętny 4 3 3 2 6" xfId="656" xr:uid="{00000000-0005-0000-0000-0000E1020000}"/>
    <cellStyle name="Dziesiętny 4 3 3 3" xfId="657" xr:uid="{00000000-0005-0000-0000-0000E2020000}"/>
    <cellStyle name="Dziesiętny 4 3 3 3 2" xfId="658" xr:uid="{00000000-0005-0000-0000-0000E3020000}"/>
    <cellStyle name="Dziesiętny 4 3 3 3 2 2" xfId="659" xr:uid="{00000000-0005-0000-0000-0000E4020000}"/>
    <cellStyle name="Dziesiętny 4 3 3 3 2 2 2" xfId="660" xr:uid="{00000000-0005-0000-0000-0000E5020000}"/>
    <cellStyle name="Dziesiętny 4 3 3 3 2 3" xfId="661" xr:uid="{00000000-0005-0000-0000-0000E6020000}"/>
    <cellStyle name="Dziesiętny 4 3 3 3 2 3 2" xfId="662" xr:uid="{00000000-0005-0000-0000-0000E7020000}"/>
    <cellStyle name="Dziesiętny 4 3 3 3 2 4" xfId="663" xr:uid="{00000000-0005-0000-0000-0000E8020000}"/>
    <cellStyle name="Dziesiętny 4 3 3 3 3" xfId="664" xr:uid="{00000000-0005-0000-0000-0000E9020000}"/>
    <cellStyle name="Dziesiętny 4 3 3 3 3 2" xfId="665" xr:uid="{00000000-0005-0000-0000-0000EA020000}"/>
    <cellStyle name="Dziesiętny 4 3 3 3 4" xfId="666" xr:uid="{00000000-0005-0000-0000-0000EB020000}"/>
    <cellStyle name="Dziesiętny 4 3 3 3 4 2" xfId="667" xr:uid="{00000000-0005-0000-0000-0000EC020000}"/>
    <cellStyle name="Dziesiętny 4 3 3 3 5" xfId="668" xr:uid="{00000000-0005-0000-0000-0000ED020000}"/>
    <cellStyle name="Dziesiętny 4 3 3 4" xfId="669" xr:uid="{00000000-0005-0000-0000-0000EE020000}"/>
    <cellStyle name="Dziesiętny 4 3 3 4 2" xfId="670" xr:uid="{00000000-0005-0000-0000-0000EF020000}"/>
    <cellStyle name="Dziesiętny 4 3 3 4 2 2" xfId="671" xr:uid="{00000000-0005-0000-0000-0000F0020000}"/>
    <cellStyle name="Dziesiętny 4 3 3 4 3" xfId="672" xr:uid="{00000000-0005-0000-0000-0000F1020000}"/>
    <cellStyle name="Dziesiętny 4 3 3 4 3 2" xfId="673" xr:uid="{00000000-0005-0000-0000-0000F2020000}"/>
    <cellStyle name="Dziesiętny 4 3 3 4 4" xfId="674" xr:uid="{00000000-0005-0000-0000-0000F3020000}"/>
    <cellStyle name="Dziesiętny 4 3 3 5" xfId="675" xr:uid="{00000000-0005-0000-0000-0000F4020000}"/>
    <cellStyle name="Dziesiętny 4 3 3 5 2" xfId="676" xr:uid="{00000000-0005-0000-0000-0000F5020000}"/>
    <cellStyle name="Dziesiętny 4 3 3 6" xfId="677" xr:uid="{00000000-0005-0000-0000-0000F6020000}"/>
    <cellStyle name="Dziesiętny 4 3 3 6 2" xfId="678" xr:uid="{00000000-0005-0000-0000-0000F7020000}"/>
    <cellStyle name="Dziesiętny 4 3 3 7" xfId="679" xr:uid="{00000000-0005-0000-0000-0000F8020000}"/>
    <cellStyle name="Dziesiętny 4 3 4" xfId="680" xr:uid="{00000000-0005-0000-0000-0000F9020000}"/>
    <cellStyle name="Dziesiętny 4 3 4 2" xfId="681" xr:uid="{00000000-0005-0000-0000-0000FA020000}"/>
    <cellStyle name="Dziesiętny 4 3 4 2 2" xfId="682" xr:uid="{00000000-0005-0000-0000-0000FB020000}"/>
    <cellStyle name="Dziesiętny 4 3 4 2 2 2" xfId="683" xr:uid="{00000000-0005-0000-0000-0000FC020000}"/>
    <cellStyle name="Dziesiętny 4 3 4 2 2 2 2" xfId="684" xr:uid="{00000000-0005-0000-0000-0000FD020000}"/>
    <cellStyle name="Dziesiętny 4 3 4 2 2 3" xfId="685" xr:uid="{00000000-0005-0000-0000-0000FE020000}"/>
    <cellStyle name="Dziesiętny 4 3 4 2 2 3 2" xfId="686" xr:uid="{00000000-0005-0000-0000-0000FF020000}"/>
    <cellStyle name="Dziesiętny 4 3 4 2 2 4" xfId="687" xr:uid="{00000000-0005-0000-0000-000000030000}"/>
    <cellStyle name="Dziesiętny 4 3 4 2 3" xfId="688" xr:uid="{00000000-0005-0000-0000-000001030000}"/>
    <cellStyle name="Dziesiętny 4 3 4 2 3 2" xfId="689" xr:uid="{00000000-0005-0000-0000-000002030000}"/>
    <cellStyle name="Dziesiętny 4 3 4 2 4" xfId="690" xr:uid="{00000000-0005-0000-0000-000003030000}"/>
    <cellStyle name="Dziesiętny 4 3 4 2 4 2" xfId="691" xr:uid="{00000000-0005-0000-0000-000004030000}"/>
    <cellStyle name="Dziesiętny 4 3 4 2 5" xfId="692" xr:uid="{00000000-0005-0000-0000-000005030000}"/>
    <cellStyle name="Dziesiętny 4 3 4 3" xfId="693" xr:uid="{00000000-0005-0000-0000-000006030000}"/>
    <cellStyle name="Dziesiętny 4 3 4 3 2" xfId="694" xr:uid="{00000000-0005-0000-0000-000007030000}"/>
    <cellStyle name="Dziesiętny 4 3 4 3 2 2" xfId="695" xr:uid="{00000000-0005-0000-0000-000008030000}"/>
    <cellStyle name="Dziesiętny 4 3 4 3 3" xfId="696" xr:uid="{00000000-0005-0000-0000-000009030000}"/>
    <cellStyle name="Dziesiętny 4 3 4 3 3 2" xfId="697" xr:uid="{00000000-0005-0000-0000-00000A030000}"/>
    <cellStyle name="Dziesiętny 4 3 4 3 4" xfId="698" xr:uid="{00000000-0005-0000-0000-00000B030000}"/>
    <cellStyle name="Dziesiętny 4 3 4 4" xfId="699" xr:uid="{00000000-0005-0000-0000-00000C030000}"/>
    <cellStyle name="Dziesiętny 4 3 4 4 2" xfId="700" xr:uid="{00000000-0005-0000-0000-00000D030000}"/>
    <cellStyle name="Dziesiętny 4 3 4 5" xfId="701" xr:uid="{00000000-0005-0000-0000-00000E030000}"/>
    <cellStyle name="Dziesiętny 4 3 4 5 2" xfId="702" xr:uid="{00000000-0005-0000-0000-00000F030000}"/>
    <cellStyle name="Dziesiętny 4 3 4 6" xfId="703" xr:uid="{00000000-0005-0000-0000-000010030000}"/>
    <cellStyle name="Dziesiętny 4 3 5" xfId="704" xr:uid="{00000000-0005-0000-0000-000011030000}"/>
    <cellStyle name="Dziesiętny 4 3 5 2" xfId="705" xr:uid="{00000000-0005-0000-0000-000012030000}"/>
    <cellStyle name="Dziesiętny 4 3 5 2 2" xfId="706" xr:uid="{00000000-0005-0000-0000-000013030000}"/>
    <cellStyle name="Dziesiętny 4 3 5 2 2 2" xfId="707" xr:uid="{00000000-0005-0000-0000-000014030000}"/>
    <cellStyle name="Dziesiętny 4 3 5 2 3" xfId="708" xr:uid="{00000000-0005-0000-0000-000015030000}"/>
    <cellStyle name="Dziesiętny 4 3 5 2 3 2" xfId="709" xr:uid="{00000000-0005-0000-0000-000016030000}"/>
    <cellStyle name="Dziesiętny 4 3 5 2 4" xfId="710" xr:uid="{00000000-0005-0000-0000-000017030000}"/>
    <cellStyle name="Dziesiętny 4 3 5 3" xfId="711" xr:uid="{00000000-0005-0000-0000-000018030000}"/>
    <cellStyle name="Dziesiętny 4 3 5 3 2" xfId="712" xr:uid="{00000000-0005-0000-0000-000019030000}"/>
    <cellStyle name="Dziesiętny 4 3 5 4" xfId="713" xr:uid="{00000000-0005-0000-0000-00001A030000}"/>
    <cellStyle name="Dziesiętny 4 3 5 4 2" xfId="714" xr:uid="{00000000-0005-0000-0000-00001B030000}"/>
    <cellStyle name="Dziesiętny 4 3 5 5" xfId="715" xr:uid="{00000000-0005-0000-0000-00001C030000}"/>
    <cellStyle name="Dziesiętny 4 3 6" xfId="716" xr:uid="{00000000-0005-0000-0000-00001D030000}"/>
    <cellStyle name="Dziesiętny 4 3 6 2" xfId="717" xr:uid="{00000000-0005-0000-0000-00001E030000}"/>
    <cellStyle name="Dziesiętny 4 3 6 2 2" xfId="718" xr:uid="{00000000-0005-0000-0000-00001F030000}"/>
    <cellStyle name="Dziesiętny 4 3 6 3" xfId="719" xr:uid="{00000000-0005-0000-0000-000020030000}"/>
    <cellStyle name="Dziesiętny 4 3 6 3 2" xfId="720" xr:uid="{00000000-0005-0000-0000-000021030000}"/>
    <cellStyle name="Dziesiętny 4 3 6 4" xfId="721" xr:uid="{00000000-0005-0000-0000-000022030000}"/>
    <cellStyle name="Dziesiętny 4 3 7" xfId="722" xr:uid="{00000000-0005-0000-0000-000023030000}"/>
    <cellStyle name="Dziesiętny 4 3 7 2" xfId="723" xr:uid="{00000000-0005-0000-0000-000024030000}"/>
    <cellStyle name="Dziesiętny 4 3 8" xfId="724" xr:uid="{00000000-0005-0000-0000-000025030000}"/>
    <cellStyle name="Dziesiętny 4 3 8 2" xfId="725" xr:uid="{00000000-0005-0000-0000-000026030000}"/>
    <cellStyle name="Dziesiętny 4 3 9" xfId="726" xr:uid="{00000000-0005-0000-0000-000027030000}"/>
    <cellStyle name="Dziesiętny 4 4" xfId="727" xr:uid="{00000000-0005-0000-0000-000028030000}"/>
    <cellStyle name="Dziesiętny 4 4 2" xfId="728" xr:uid="{00000000-0005-0000-0000-000029030000}"/>
    <cellStyle name="Dziesiętny 4 4 2 2" xfId="729" xr:uid="{00000000-0005-0000-0000-00002A030000}"/>
    <cellStyle name="Dziesiętny 4 4 2 2 2" xfId="730" xr:uid="{00000000-0005-0000-0000-00002B030000}"/>
    <cellStyle name="Dziesiętny 4 4 2 2 2 2" xfId="731" xr:uid="{00000000-0005-0000-0000-00002C030000}"/>
    <cellStyle name="Dziesiętny 4 4 2 2 2 2 2" xfId="732" xr:uid="{00000000-0005-0000-0000-00002D030000}"/>
    <cellStyle name="Dziesiętny 4 4 2 2 2 3" xfId="733" xr:uid="{00000000-0005-0000-0000-00002E030000}"/>
    <cellStyle name="Dziesiętny 4 4 2 2 2 3 2" xfId="734" xr:uid="{00000000-0005-0000-0000-00002F030000}"/>
    <cellStyle name="Dziesiętny 4 4 2 2 2 4" xfId="735" xr:uid="{00000000-0005-0000-0000-000030030000}"/>
    <cellStyle name="Dziesiętny 4 4 2 2 3" xfId="736" xr:uid="{00000000-0005-0000-0000-000031030000}"/>
    <cellStyle name="Dziesiętny 4 4 2 2 3 2" xfId="737" xr:uid="{00000000-0005-0000-0000-000032030000}"/>
    <cellStyle name="Dziesiętny 4 4 2 2 4" xfId="738" xr:uid="{00000000-0005-0000-0000-000033030000}"/>
    <cellStyle name="Dziesiętny 4 4 2 2 4 2" xfId="739" xr:uid="{00000000-0005-0000-0000-000034030000}"/>
    <cellStyle name="Dziesiętny 4 4 2 2 5" xfId="740" xr:uid="{00000000-0005-0000-0000-000035030000}"/>
    <cellStyle name="Dziesiętny 4 4 2 3" xfId="741" xr:uid="{00000000-0005-0000-0000-000036030000}"/>
    <cellStyle name="Dziesiętny 4 4 2 3 2" xfId="742" xr:uid="{00000000-0005-0000-0000-000037030000}"/>
    <cellStyle name="Dziesiętny 4 4 2 3 2 2" xfId="743" xr:uid="{00000000-0005-0000-0000-000038030000}"/>
    <cellStyle name="Dziesiętny 4 4 2 3 3" xfId="744" xr:uid="{00000000-0005-0000-0000-000039030000}"/>
    <cellStyle name="Dziesiętny 4 4 2 3 3 2" xfId="745" xr:uid="{00000000-0005-0000-0000-00003A030000}"/>
    <cellStyle name="Dziesiętny 4 4 2 3 4" xfId="746" xr:uid="{00000000-0005-0000-0000-00003B030000}"/>
    <cellStyle name="Dziesiętny 4 4 2 4" xfId="747" xr:uid="{00000000-0005-0000-0000-00003C030000}"/>
    <cellStyle name="Dziesiętny 4 4 2 4 2" xfId="748" xr:uid="{00000000-0005-0000-0000-00003D030000}"/>
    <cellStyle name="Dziesiętny 4 4 2 5" xfId="749" xr:uid="{00000000-0005-0000-0000-00003E030000}"/>
    <cellStyle name="Dziesiętny 4 4 2 5 2" xfId="750" xr:uid="{00000000-0005-0000-0000-00003F030000}"/>
    <cellStyle name="Dziesiętny 4 4 2 6" xfId="751" xr:uid="{00000000-0005-0000-0000-000040030000}"/>
    <cellStyle name="Dziesiętny 4 4 3" xfId="752" xr:uid="{00000000-0005-0000-0000-000041030000}"/>
    <cellStyle name="Dziesiętny 4 4 3 2" xfId="753" xr:uid="{00000000-0005-0000-0000-000042030000}"/>
    <cellStyle name="Dziesiętny 4 4 3 2 2" xfId="754" xr:uid="{00000000-0005-0000-0000-000043030000}"/>
    <cellStyle name="Dziesiętny 4 4 3 2 2 2" xfId="755" xr:uid="{00000000-0005-0000-0000-000044030000}"/>
    <cellStyle name="Dziesiętny 4 4 3 2 3" xfId="756" xr:uid="{00000000-0005-0000-0000-000045030000}"/>
    <cellStyle name="Dziesiętny 4 4 3 2 3 2" xfId="757" xr:uid="{00000000-0005-0000-0000-000046030000}"/>
    <cellStyle name="Dziesiętny 4 4 3 2 4" xfId="758" xr:uid="{00000000-0005-0000-0000-000047030000}"/>
    <cellStyle name="Dziesiętny 4 4 3 3" xfId="759" xr:uid="{00000000-0005-0000-0000-000048030000}"/>
    <cellStyle name="Dziesiętny 4 4 3 3 2" xfId="760" xr:uid="{00000000-0005-0000-0000-000049030000}"/>
    <cellStyle name="Dziesiętny 4 4 3 4" xfId="761" xr:uid="{00000000-0005-0000-0000-00004A030000}"/>
    <cellStyle name="Dziesiętny 4 4 3 4 2" xfId="762" xr:uid="{00000000-0005-0000-0000-00004B030000}"/>
    <cellStyle name="Dziesiętny 4 4 3 5" xfId="763" xr:uid="{00000000-0005-0000-0000-00004C030000}"/>
    <cellStyle name="Dziesiętny 4 4 4" xfId="764" xr:uid="{00000000-0005-0000-0000-00004D030000}"/>
    <cellStyle name="Dziesiętny 4 4 4 2" xfId="765" xr:uid="{00000000-0005-0000-0000-00004E030000}"/>
    <cellStyle name="Dziesiętny 4 4 4 2 2" xfId="766" xr:uid="{00000000-0005-0000-0000-00004F030000}"/>
    <cellStyle name="Dziesiętny 4 4 4 3" xfId="767" xr:uid="{00000000-0005-0000-0000-000050030000}"/>
    <cellStyle name="Dziesiętny 4 4 4 3 2" xfId="768" xr:uid="{00000000-0005-0000-0000-000051030000}"/>
    <cellStyle name="Dziesiętny 4 4 4 4" xfId="769" xr:uid="{00000000-0005-0000-0000-000052030000}"/>
    <cellStyle name="Dziesiętny 4 4 5" xfId="770" xr:uid="{00000000-0005-0000-0000-000053030000}"/>
    <cellStyle name="Dziesiętny 4 4 5 2" xfId="771" xr:uid="{00000000-0005-0000-0000-000054030000}"/>
    <cellStyle name="Dziesiętny 4 4 6" xfId="772" xr:uid="{00000000-0005-0000-0000-000055030000}"/>
    <cellStyle name="Dziesiętny 4 4 6 2" xfId="773" xr:uid="{00000000-0005-0000-0000-000056030000}"/>
    <cellStyle name="Dziesiętny 4 4 7" xfId="774" xr:uid="{00000000-0005-0000-0000-000057030000}"/>
    <cellStyle name="Dziesiętny 4 5" xfId="775" xr:uid="{00000000-0005-0000-0000-000058030000}"/>
    <cellStyle name="Dziesiętny 4 5 2" xfId="776" xr:uid="{00000000-0005-0000-0000-000059030000}"/>
    <cellStyle name="Dziesiętny 4 5 2 2" xfId="777" xr:uid="{00000000-0005-0000-0000-00005A030000}"/>
    <cellStyle name="Dziesiętny 4 5 2 2 2" xfId="778" xr:uid="{00000000-0005-0000-0000-00005B030000}"/>
    <cellStyle name="Dziesiętny 4 5 2 2 2 2" xfId="779" xr:uid="{00000000-0005-0000-0000-00005C030000}"/>
    <cellStyle name="Dziesiętny 4 5 2 2 2 2 2" xfId="780" xr:uid="{00000000-0005-0000-0000-00005D030000}"/>
    <cellStyle name="Dziesiętny 4 5 2 2 2 3" xfId="781" xr:uid="{00000000-0005-0000-0000-00005E030000}"/>
    <cellStyle name="Dziesiętny 4 5 2 2 2 3 2" xfId="782" xr:uid="{00000000-0005-0000-0000-00005F030000}"/>
    <cellStyle name="Dziesiętny 4 5 2 2 2 4" xfId="783" xr:uid="{00000000-0005-0000-0000-000060030000}"/>
    <cellStyle name="Dziesiętny 4 5 2 2 3" xfId="784" xr:uid="{00000000-0005-0000-0000-000061030000}"/>
    <cellStyle name="Dziesiętny 4 5 2 2 3 2" xfId="785" xr:uid="{00000000-0005-0000-0000-000062030000}"/>
    <cellStyle name="Dziesiętny 4 5 2 2 4" xfId="786" xr:uid="{00000000-0005-0000-0000-000063030000}"/>
    <cellStyle name="Dziesiętny 4 5 2 2 4 2" xfId="787" xr:uid="{00000000-0005-0000-0000-000064030000}"/>
    <cellStyle name="Dziesiętny 4 5 2 2 5" xfId="788" xr:uid="{00000000-0005-0000-0000-000065030000}"/>
    <cellStyle name="Dziesiętny 4 5 2 3" xfId="789" xr:uid="{00000000-0005-0000-0000-000066030000}"/>
    <cellStyle name="Dziesiętny 4 5 2 3 2" xfId="790" xr:uid="{00000000-0005-0000-0000-000067030000}"/>
    <cellStyle name="Dziesiętny 4 5 2 3 2 2" xfId="791" xr:uid="{00000000-0005-0000-0000-000068030000}"/>
    <cellStyle name="Dziesiętny 4 5 2 3 3" xfId="792" xr:uid="{00000000-0005-0000-0000-000069030000}"/>
    <cellStyle name="Dziesiętny 4 5 2 3 3 2" xfId="793" xr:uid="{00000000-0005-0000-0000-00006A030000}"/>
    <cellStyle name="Dziesiętny 4 5 2 3 4" xfId="794" xr:uid="{00000000-0005-0000-0000-00006B030000}"/>
    <cellStyle name="Dziesiętny 4 5 2 4" xfId="795" xr:uid="{00000000-0005-0000-0000-00006C030000}"/>
    <cellStyle name="Dziesiętny 4 5 2 4 2" xfId="796" xr:uid="{00000000-0005-0000-0000-00006D030000}"/>
    <cellStyle name="Dziesiętny 4 5 2 5" xfId="797" xr:uid="{00000000-0005-0000-0000-00006E030000}"/>
    <cellStyle name="Dziesiętny 4 5 2 5 2" xfId="798" xr:uid="{00000000-0005-0000-0000-00006F030000}"/>
    <cellStyle name="Dziesiętny 4 5 2 6" xfId="799" xr:uid="{00000000-0005-0000-0000-000070030000}"/>
    <cellStyle name="Dziesiętny 4 5 3" xfId="800" xr:uid="{00000000-0005-0000-0000-000071030000}"/>
    <cellStyle name="Dziesiętny 4 5 3 2" xfId="801" xr:uid="{00000000-0005-0000-0000-000072030000}"/>
    <cellStyle name="Dziesiętny 4 5 3 2 2" xfId="802" xr:uid="{00000000-0005-0000-0000-000073030000}"/>
    <cellStyle name="Dziesiętny 4 5 3 2 2 2" xfId="803" xr:uid="{00000000-0005-0000-0000-000074030000}"/>
    <cellStyle name="Dziesiętny 4 5 3 2 3" xfId="804" xr:uid="{00000000-0005-0000-0000-000075030000}"/>
    <cellStyle name="Dziesiętny 4 5 3 2 3 2" xfId="805" xr:uid="{00000000-0005-0000-0000-000076030000}"/>
    <cellStyle name="Dziesiętny 4 5 3 2 4" xfId="806" xr:uid="{00000000-0005-0000-0000-000077030000}"/>
    <cellStyle name="Dziesiętny 4 5 3 3" xfId="807" xr:uid="{00000000-0005-0000-0000-000078030000}"/>
    <cellStyle name="Dziesiętny 4 5 3 3 2" xfId="808" xr:uid="{00000000-0005-0000-0000-000079030000}"/>
    <cellStyle name="Dziesiętny 4 5 3 4" xfId="809" xr:uid="{00000000-0005-0000-0000-00007A030000}"/>
    <cellStyle name="Dziesiętny 4 5 3 4 2" xfId="810" xr:uid="{00000000-0005-0000-0000-00007B030000}"/>
    <cellStyle name="Dziesiętny 4 5 3 5" xfId="811" xr:uid="{00000000-0005-0000-0000-00007C030000}"/>
    <cellStyle name="Dziesiętny 4 5 4" xfId="812" xr:uid="{00000000-0005-0000-0000-00007D030000}"/>
    <cellStyle name="Dziesiętny 4 5 4 2" xfId="813" xr:uid="{00000000-0005-0000-0000-00007E030000}"/>
    <cellStyle name="Dziesiętny 4 5 4 2 2" xfId="814" xr:uid="{00000000-0005-0000-0000-00007F030000}"/>
    <cellStyle name="Dziesiętny 4 5 4 3" xfId="815" xr:uid="{00000000-0005-0000-0000-000080030000}"/>
    <cellStyle name="Dziesiętny 4 5 4 3 2" xfId="816" xr:uid="{00000000-0005-0000-0000-000081030000}"/>
    <cellStyle name="Dziesiętny 4 5 4 4" xfId="817" xr:uid="{00000000-0005-0000-0000-000082030000}"/>
    <cellStyle name="Dziesiętny 4 5 5" xfId="818" xr:uid="{00000000-0005-0000-0000-000083030000}"/>
    <cellStyle name="Dziesiętny 4 5 5 2" xfId="819" xr:uid="{00000000-0005-0000-0000-000084030000}"/>
    <cellStyle name="Dziesiętny 4 5 6" xfId="820" xr:uid="{00000000-0005-0000-0000-000085030000}"/>
    <cellStyle name="Dziesiętny 4 5 6 2" xfId="821" xr:uid="{00000000-0005-0000-0000-000086030000}"/>
    <cellStyle name="Dziesiętny 4 5 7" xfId="822" xr:uid="{00000000-0005-0000-0000-000087030000}"/>
    <cellStyle name="Dziesiętny 4 6" xfId="823" xr:uid="{00000000-0005-0000-0000-000088030000}"/>
    <cellStyle name="Dziesiętny 4 6 2" xfId="824" xr:uid="{00000000-0005-0000-0000-000089030000}"/>
    <cellStyle name="Dziesiętny 4 6 2 2" xfId="825" xr:uid="{00000000-0005-0000-0000-00008A030000}"/>
    <cellStyle name="Dziesiętny 4 6 2 2 2" xfId="826" xr:uid="{00000000-0005-0000-0000-00008B030000}"/>
    <cellStyle name="Dziesiętny 4 6 2 2 2 2" xfId="827" xr:uid="{00000000-0005-0000-0000-00008C030000}"/>
    <cellStyle name="Dziesiętny 4 6 2 2 3" xfId="828" xr:uid="{00000000-0005-0000-0000-00008D030000}"/>
    <cellStyle name="Dziesiętny 4 6 2 2 3 2" xfId="829" xr:uid="{00000000-0005-0000-0000-00008E030000}"/>
    <cellStyle name="Dziesiętny 4 6 2 2 4" xfId="830" xr:uid="{00000000-0005-0000-0000-00008F030000}"/>
    <cellStyle name="Dziesiętny 4 6 2 3" xfId="831" xr:uid="{00000000-0005-0000-0000-000090030000}"/>
    <cellStyle name="Dziesiętny 4 6 2 3 2" xfId="832" xr:uid="{00000000-0005-0000-0000-000091030000}"/>
    <cellStyle name="Dziesiętny 4 6 2 4" xfId="833" xr:uid="{00000000-0005-0000-0000-000092030000}"/>
    <cellStyle name="Dziesiętny 4 6 2 4 2" xfId="834" xr:uid="{00000000-0005-0000-0000-000093030000}"/>
    <cellStyle name="Dziesiętny 4 6 2 5" xfId="835" xr:uid="{00000000-0005-0000-0000-000094030000}"/>
    <cellStyle name="Dziesiętny 4 6 3" xfId="836" xr:uid="{00000000-0005-0000-0000-000095030000}"/>
    <cellStyle name="Dziesiętny 4 6 3 2" xfId="837" xr:uid="{00000000-0005-0000-0000-000096030000}"/>
    <cellStyle name="Dziesiętny 4 6 3 2 2" xfId="838" xr:uid="{00000000-0005-0000-0000-000097030000}"/>
    <cellStyle name="Dziesiętny 4 6 3 3" xfId="839" xr:uid="{00000000-0005-0000-0000-000098030000}"/>
    <cellStyle name="Dziesiętny 4 6 3 3 2" xfId="840" xr:uid="{00000000-0005-0000-0000-000099030000}"/>
    <cellStyle name="Dziesiętny 4 6 3 4" xfId="841" xr:uid="{00000000-0005-0000-0000-00009A030000}"/>
    <cellStyle name="Dziesiętny 4 6 4" xfId="842" xr:uid="{00000000-0005-0000-0000-00009B030000}"/>
    <cellStyle name="Dziesiętny 4 6 4 2" xfId="843" xr:uid="{00000000-0005-0000-0000-00009C030000}"/>
    <cellStyle name="Dziesiętny 4 6 5" xfId="844" xr:uid="{00000000-0005-0000-0000-00009D030000}"/>
    <cellStyle name="Dziesiętny 4 6 5 2" xfId="845" xr:uid="{00000000-0005-0000-0000-00009E030000}"/>
    <cellStyle name="Dziesiętny 4 6 6" xfId="846" xr:uid="{00000000-0005-0000-0000-00009F030000}"/>
    <cellStyle name="Dziesiętny 4 7" xfId="847" xr:uid="{00000000-0005-0000-0000-0000A0030000}"/>
    <cellStyle name="Dziesiętny 4 7 2" xfId="848" xr:uid="{00000000-0005-0000-0000-0000A1030000}"/>
    <cellStyle name="Dziesiętny 4 7 2 2" xfId="849" xr:uid="{00000000-0005-0000-0000-0000A2030000}"/>
    <cellStyle name="Dziesiętny 4 7 2 2 2" xfId="850" xr:uid="{00000000-0005-0000-0000-0000A3030000}"/>
    <cellStyle name="Dziesiętny 4 7 2 3" xfId="851" xr:uid="{00000000-0005-0000-0000-0000A4030000}"/>
    <cellStyle name="Dziesiętny 4 7 2 3 2" xfId="852" xr:uid="{00000000-0005-0000-0000-0000A5030000}"/>
    <cellStyle name="Dziesiętny 4 7 2 4" xfId="853" xr:uid="{00000000-0005-0000-0000-0000A6030000}"/>
    <cellStyle name="Dziesiętny 4 7 3" xfId="854" xr:uid="{00000000-0005-0000-0000-0000A7030000}"/>
    <cellStyle name="Dziesiętny 4 7 3 2" xfId="855" xr:uid="{00000000-0005-0000-0000-0000A8030000}"/>
    <cellStyle name="Dziesiętny 4 7 4" xfId="856" xr:uid="{00000000-0005-0000-0000-0000A9030000}"/>
    <cellStyle name="Dziesiętny 4 7 4 2" xfId="857" xr:uid="{00000000-0005-0000-0000-0000AA030000}"/>
    <cellStyle name="Dziesiętny 4 7 5" xfId="858" xr:uid="{00000000-0005-0000-0000-0000AB030000}"/>
    <cellStyle name="Dziesiętny 4 8" xfId="859" xr:uid="{00000000-0005-0000-0000-0000AC030000}"/>
    <cellStyle name="Dziesiętny 4 8 2" xfId="860" xr:uid="{00000000-0005-0000-0000-0000AD030000}"/>
    <cellStyle name="Dziesiętny 4 8 2 2" xfId="861" xr:uid="{00000000-0005-0000-0000-0000AE030000}"/>
    <cellStyle name="Dziesiętny 4 8 3" xfId="862" xr:uid="{00000000-0005-0000-0000-0000AF030000}"/>
    <cellStyle name="Dziesiętny 4 8 3 2" xfId="863" xr:uid="{00000000-0005-0000-0000-0000B0030000}"/>
    <cellStyle name="Dziesiętny 4 8 4" xfId="864" xr:uid="{00000000-0005-0000-0000-0000B1030000}"/>
    <cellStyle name="Dziesiętny 4 9" xfId="865" xr:uid="{00000000-0005-0000-0000-0000B2030000}"/>
    <cellStyle name="Dziesiętny 4 9 2" xfId="866" xr:uid="{00000000-0005-0000-0000-0000B3030000}"/>
    <cellStyle name="Dziesiętny 5" xfId="867" xr:uid="{00000000-0005-0000-0000-0000B4030000}"/>
    <cellStyle name="Dziesiętny 5 2" xfId="868" xr:uid="{00000000-0005-0000-0000-0000B5030000}"/>
    <cellStyle name="Dziesiętny 5 2 2" xfId="869" xr:uid="{00000000-0005-0000-0000-0000B6030000}"/>
    <cellStyle name="Dziesiętny 5 2 2 2" xfId="2074" xr:uid="{00000000-0005-0000-0000-0000B7030000}"/>
    <cellStyle name="Dziesiętny 5 2 2 2 2" xfId="2450" xr:uid="{00000000-0005-0000-0000-0000B8030000}"/>
    <cellStyle name="Dziesiętny 5 2 2 3" xfId="2265" xr:uid="{00000000-0005-0000-0000-0000B9030000}"/>
    <cellStyle name="Dziesiętny 5 2 3" xfId="2073" xr:uid="{00000000-0005-0000-0000-0000BA030000}"/>
    <cellStyle name="Dziesiętny 5 2 3 2" xfId="2449" xr:uid="{00000000-0005-0000-0000-0000BB030000}"/>
    <cellStyle name="Dziesiętny 5 2 4" xfId="2264" xr:uid="{00000000-0005-0000-0000-0000BC030000}"/>
    <cellStyle name="Dziesiętny 5 3" xfId="870" xr:uid="{00000000-0005-0000-0000-0000BD030000}"/>
    <cellStyle name="Dziesiętny 5 3 2" xfId="871" xr:uid="{00000000-0005-0000-0000-0000BE030000}"/>
    <cellStyle name="Dziesiętny 5 3 2 2" xfId="2076" xr:uid="{00000000-0005-0000-0000-0000BF030000}"/>
    <cellStyle name="Dziesiętny 5 3 2 2 2" xfId="2452" xr:uid="{00000000-0005-0000-0000-0000C0030000}"/>
    <cellStyle name="Dziesiętny 5 3 2 3" xfId="2267" xr:uid="{00000000-0005-0000-0000-0000C1030000}"/>
    <cellStyle name="Dziesiętny 5 3 3" xfId="2075" xr:uid="{00000000-0005-0000-0000-0000C2030000}"/>
    <cellStyle name="Dziesiętny 5 3 3 2" xfId="2451" xr:uid="{00000000-0005-0000-0000-0000C3030000}"/>
    <cellStyle name="Dziesiętny 5 3 4" xfId="2266" xr:uid="{00000000-0005-0000-0000-0000C4030000}"/>
    <cellStyle name="Dziesiętny 5 4" xfId="872" xr:uid="{00000000-0005-0000-0000-0000C5030000}"/>
    <cellStyle name="Dziesiętny 5 4 2" xfId="2077" xr:uid="{00000000-0005-0000-0000-0000C6030000}"/>
    <cellStyle name="Dziesiętny 5 4 2 2" xfId="2453" xr:uid="{00000000-0005-0000-0000-0000C7030000}"/>
    <cellStyle name="Dziesiętny 5 4 3" xfId="2268" xr:uid="{00000000-0005-0000-0000-0000C8030000}"/>
    <cellStyle name="Dziesiętny 5 5" xfId="873" xr:uid="{00000000-0005-0000-0000-0000C9030000}"/>
    <cellStyle name="Dziesiętny 5 6" xfId="2072" xr:uid="{00000000-0005-0000-0000-0000CA030000}"/>
    <cellStyle name="Dziesiętny 5 6 2" xfId="2448" xr:uid="{00000000-0005-0000-0000-0000CB030000}"/>
    <cellStyle name="Dziesiętny 5 7" xfId="2263" xr:uid="{00000000-0005-0000-0000-0000CC030000}"/>
    <cellStyle name="Dziesiętny 6" xfId="874" xr:uid="{00000000-0005-0000-0000-0000CD030000}"/>
    <cellStyle name="Dziesiętny 6 10" xfId="875" xr:uid="{00000000-0005-0000-0000-0000CE030000}"/>
    <cellStyle name="Dziesiętny 6 11" xfId="876" xr:uid="{00000000-0005-0000-0000-0000CF030000}"/>
    <cellStyle name="Dziesiętny 6 2" xfId="877" xr:uid="{00000000-0005-0000-0000-0000D0030000}"/>
    <cellStyle name="Dziesiętny 6 2 2" xfId="878" xr:uid="{00000000-0005-0000-0000-0000D1030000}"/>
    <cellStyle name="Dziesiętny 6 2 2 2" xfId="879" xr:uid="{00000000-0005-0000-0000-0000D2030000}"/>
    <cellStyle name="Dziesiętny 6 2 2 2 2" xfId="880" xr:uid="{00000000-0005-0000-0000-0000D3030000}"/>
    <cellStyle name="Dziesiętny 6 2 2 2 2 2" xfId="881" xr:uid="{00000000-0005-0000-0000-0000D4030000}"/>
    <cellStyle name="Dziesiętny 6 2 2 2 2 2 2" xfId="882" xr:uid="{00000000-0005-0000-0000-0000D5030000}"/>
    <cellStyle name="Dziesiętny 6 2 2 2 2 2 2 2" xfId="883" xr:uid="{00000000-0005-0000-0000-0000D6030000}"/>
    <cellStyle name="Dziesiętny 6 2 2 2 2 2 3" xfId="884" xr:uid="{00000000-0005-0000-0000-0000D7030000}"/>
    <cellStyle name="Dziesiętny 6 2 2 2 2 2 3 2" xfId="885" xr:uid="{00000000-0005-0000-0000-0000D8030000}"/>
    <cellStyle name="Dziesiętny 6 2 2 2 2 2 4" xfId="886" xr:uid="{00000000-0005-0000-0000-0000D9030000}"/>
    <cellStyle name="Dziesiętny 6 2 2 2 2 3" xfId="887" xr:uid="{00000000-0005-0000-0000-0000DA030000}"/>
    <cellStyle name="Dziesiętny 6 2 2 2 2 3 2" xfId="888" xr:uid="{00000000-0005-0000-0000-0000DB030000}"/>
    <cellStyle name="Dziesiętny 6 2 2 2 2 4" xfId="889" xr:uid="{00000000-0005-0000-0000-0000DC030000}"/>
    <cellStyle name="Dziesiętny 6 2 2 2 2 4 2" xfId="890" xr:uid="{00000000-0005-0000-0000-0000DD030000}"/>
    <cellStyle name="Dziesiętny 6 2 2 2 2 5" xfId="891" xr:uid="{00000000-0005-0000-0000-0000DE030000}"/>
    <cellStyle name="Dziesiętny 6 2 2 2 3" xfId="892" xr:uid="{00000000-0005-0000-0000-0000DF030000}"/>
    <cellStyle name="Dziesiętny 6 2 2 2 3 2" xfId="893" xr:uid="{00000000-0005-0000-0000-0000E0030000}"/>
    <cellStyle name="Dziesiętny 6 2 2 2 3 2 2" xfId="894" xr:uid="{00000000-0005-0000-0000-0000E1030000}"/>
    <cellStyle name="Dziesiętny 6 2 2 2 3 3" xfId="895" xr:uid="{00000000-0005-0000-0000-0000E2030000}"/>
    <cellStyle name="Dziesiętny 6 2 2 2 3 3 2" xfId="896" xr:uid="{00000000-0005-0000-0000-0000E3030000}"/>
    <cellStyle name="Dziesiętny 6 2 2 2 3 4" xfId="897" xr:uid="{00000000-0005-0000-0000-0000E4030000}"/>
    <cellStyle name="Dziesiętny 6 2 2 2 4" xfId="898" xr:uid="{00000000-0005-0000-0000-0000E5030000}"/>
    <cellStyle name="Dziesiętny 6 2 2 2 4 2" xfId="899" xr:uid="{00000000-0005-0000-0000-0000E6030000}"/>
    <cellStyle name="Dziesiętny 6 2 2 2 5" xfId="900" xr:uid="{00000000-0005-0000-0000-0000E7030000}"/>
    <cellStyle name="Dziesiętny 6 2 2 2 5 2" xfId="901" xr:uid="{00000000-0005-0000-0000-0000E8030000}"/>
    <cellStyle name="Dziesiętny 6 2 2 2 6" xfId="902" xr:uid="{00000000-0005-0000-0000-0000E9030000}"/>
    <cellStyle name="Dziesiętny 6 2 2 3" xfId="903" xr:uid="{00000000-0005-0000-0000-0000EA030000}"/>
    <cellStyle name="Dziesiętny 6 2 2 3 2" xfId="904" xr:uid="{00000000-0005-0000-0000-0000EB030000}"/>
    <cellStyle name="Dziesiętny 6 2 2 3 2 2" xfId="905" xr:uid="{00000000-0005-0000-0000-0000EC030000}"/>
    <cellStyle name="Dziesiętny 6 2 2 3 2 2 2" xfId="906" xr:uid="{00000000-0005-0000-0000-0000ED030000}"/>
    <cellStyle name="Dziesiętny 6 2 2 3 2 3" xfId="907" xr:uid="{00000000-0005-0000-0000-0000EE030000}"/>
    <cellStyle name="Dziesiętny 6 2 2 3 2 3 2" xfId="908" xr:uid="{00000000-0005-0000-0000-0000EF030000}"/>
    <cellStyle name="Dziesiętny 6 2 2 3 2 4" xfId="909" xr:uid="{00000000-0005-0000-0000-0000F0030000}"/>
    <cellStyle name="Dziesiętny 6 2 2 3 3" xfId="910" xr:uid="{00000000-0005-0000-0000-0000F1030000}"/>
    <cellStyle name="Dziesiętny 6 2 2 3 3 2" xfId="911" xr:uid="{00000000-0005-0000-0000-0000F2030000}"/>
    <cellStyle name="Dziesiętny 6 2 2 3 4" xfId="912" xr:uid="{00000000-0005-0000-0000-0000F3030000}"/>
    <cellStyle name="Dziesiętny 6 2 2 3 4 2" xfId="913" xr:uid="{00000000-0005-0000-0000-0000F4030000}"/>
    <cellStyle name="Dziesiętny 6 2 2 3 5" xfId="914" xr:uid="{00000000-0005-0000-0000-0000F5030000}"/>
    <cellStyle name="Dziesiętny 6 2 2 4" xfId="915" xr:uid="{00000000-0005-0000-0000-0000F6030000}"/>
    <cellStyle name="Dziesiętny 6 2 2 4 2" xfId="916" xr:uid="{00000000-0005-0000-0000-0000F7030000}"/>
    <cellStyle name="Dziesiętny 6 2 2 4 2 2" xfId="917" xr:uid="{00000000-0005-0000-0000-0000F8030000}"/>
    <cellStyle name="Dziesiętny 6 2 2 4 3" xfId="918" xr:uid="{00000000-0005-0000-0000-0000F9030000}"/>
    <cellStyle name="Dziesiętny 6 2 2 4 3 2" xfId="919" xr:uid="{00000000-0005-0000-0000-0000FA030000}"/>
    <cellStyle name="Dziesiętny 6 2 2 4 4" xfId="920" xr:uid="{00000000-0005-0000-0000-0000FB030000}"/>
    <cellStyle name="Dziesiętny 6 2 2 5" xfId="921" xr:uid="{00000000-0005-0000-0000-0000FC030000}"/>
    <cellStyle name="Dziesiętny 6 2 2 5 2" xfId="922" xr:uid="{00000000-0005-0000-0000-0000FD030000}"/>
    <cellStyle name="Dziesiętny 6 2 2 6" xfId="923" xr:uid="{00000000-0005-0000-0000-0000FE030000}"/>
    <cellStyle name="Dziesiętny 6 2 2 6 2" xfId="924" xr:uid="{00000000-0005-0000-0000-0000FF030000}"/>
    <cellStyle name="Dziesiętny 6 2 2 7" xfId="925" xr:uid="{00000000-0005-0000-0000-000000040000}"/>
    <cellStyle name="Dziesiętny 6 2 3" xfId="926" xr:uid="{00000000-0005-0000-0000-000001040000}"/>
    <cellStyle name="Dziesiętny 6 2 3 2" xfId="927" xr:uid="{00000000-0005-0000-0000-000002040000}"/>
    <cellStyle name="Dziesiętny 6 2 3 2 2" xfId="928" xr:uid="{00000000-0005-0000-0000-000003040000}"/>
    <cellStyle name="Dziesiętny 6 2 3 2 2 2" xfId="929" xr:uid="{00000000-0005-0000-0000-000004040000}"/>
    <cellStyle name="Dziesiętny 6 2 3 2 2 2 2" xfId="930" xr:uid="{00000000-0005-0000-0000-000005040000}"/>
    <cellStyle name="Dziesiętny 6 2 3 2 2 2 2 2" xfId="931" xr:uid="{00000000-0005-0000-0000-000006040000}"/>
    <cellStyle name="Dziesiętny 6 2 3 2 2 2 3" xfId="932" xr:uid="{00000000-0005-0000-0000-000007040000}"/>
    <cellStyle name="Dziesiętny 6 2 3 2 2 2 3 2" xfId="933" xr:uid="{00000000-0005-0000-0000-000008040000}"/>
    <cellStyle name="Dziesiętny 6 2 3 2 2 2 4" xfId="934" xr:uid="{00000000-0005-0000-0000-000009040000}"/>
    <cellStyle name="Dziesiętny 6 2 3 2 2 3" xfId="935" xr:uid="{00000000-0005-0000-0000-00000A040000}"/>
    <cellStyle name="Dziesiętny 6 2 3 2 2 3 2" xfId="936" xr:uid="{00000000-0005-0000-0000-00000B040000}"/>
    <cellStyle name="Dziesiętny 6 2 3 2 2 4" xfId="937" xr:uid="{00000000-0005-0000-0000-00000C040000}"/>
    <cellStyle name="Dziesiętny 6 2 3 2 2 4 2" xfId="938" xr:uid="{00000000-0005-0000-0000-00000D040000}"/>
    <cellStyle name="Dziesiętny 6 2 3 2 2 5" xfId="939" xr:uid="{00000000-0005-0000-0000-00000E040000}"/>
    <cellStyle name="Dziesiętny 6 2 3 2 3" xfId="940" xr:uid="{00000000-0005-0000-0000-00000F040000}"/>
    <cellStyle name="Dziesiętny 6 2 3 2 3 2" xfId="941" xr:uid="{00000000-0005-0000-0000-000010040000}"/>
    <cellStyle name="Dziesiętny 6 2 3 2 3 2 2" xfId="942" xr:uid="{00000000-0005-0000-0000-000011040000}"/>
    <cellStyle name="Dziesiętny 6 2 3 2 3 3" xfId="943" xr:uid="{00000000-0005-0000-0000-000012040000}"/>
    <cellStyle name="Dziesiętny 6 2 3 2 3 3 2" xfId="944" xr:uid="{00000000-0005-0000-0000-000013040000}"/>
    <cellStyle name="Dziesiętny 6 2 3 2 3 4" xfId="945" xr:uid="{00000000-0005-0000-0000-000014040000}"/>
    <cellStyle name="Dziesiętny 6 2 3 2 4" xfId="946" xr:uid="{00000000-0005-0000-0000-000015040000}"/>
    <cellStyle name="Dziesiętny 6 2 3 2 4 2" xfId="947" xr:uid="{00000000-0005-0000-0000-000016040000}"/>
    <cellStyle name="Dziesiętny 6 2 3 2 5" xfId="948" xr:uid="{00000000-0005-0000-0000-000017040000}"/>
    <cellStyle name="Dziesiętny 6 2 3 2 5 2" xfId="949" xr:uid="{00000000-0005-0000-0000-000018040000}"/>
    <cellStyle name="Dziesiętny 6 2 3 2 6" xfId="950" xr:uid="{00000000-0005-0000-0000-000019040000}"/>
    <cellStyle name="Dziesiętny 6 2 3 3" xfId="951" xr:uid="{00000000-0005-0000-0000-00001A040000}"/>
    <cellStyle name="Dziesiętny 6 2 3 3 2" xfId="952" xr:uid="{00000000-0005-0000-0000-00001B040000}"/>
    <cellStyle name="Dziesiętny 6 2 3 3 2 2" xfId="953" xr:uid="{00000000-0005-0000-0000-00001C040000}"/>
    <cellStyle name="Dziesiętny 6 2 3 3 2 2 2" xfId="954" xr:uid="{00000000-0005-0000-0000-00001D040000}"/>
    <cellStyle name="Dziesiętny 6 2 3 3 2 3" xfId="955" xr:uid="{00000000-0005-0000-0000-00001E040000}"/>
    <cellStyle name="Dziesiętny 6 2 3 3 2 3 2" xfId="956" xr:uid="{00000000-0005-0000-0000-00001F040000}"/>
    <cellStyle name="Dziesiętny 6 2 3 3 2 4" xfId="957" xr:uid="{00000000-0005-0000-0000-000020040000}"/>
    <cellStyle name="Dziesiętny 6 2 3 3 3" xfId="958" xr:uid="{00000000-0005-0000-0000-000021040000}"/>
    <cellStyle name="Dziesiętny 6 2 3 3 3 2" xfId="959" xr:uid="{00000000-0005-0000-0000-000022040000}"/>
    <cellStyle name="Dziesiętny 6 2 3 3 4" xfId="960" xr:uid="{00000000-0005-0000-0000-000023040000}"/>
    <cellStyle name="Dziesiętny 6 2 3 3 4 2" xfId="961" xr:uid="{00000000-0005-0000-0000-000024040000}"/>
    <cellStyle name="Dziesiętny 6 2 3 3 5" xfId="962" xr:uid="{00000000-0005-0000-0000-000025040000}"/>
    <cellStyle name="Dziesiętny 6 2 3 4" xfId="963" xr:uid="{00000000-0005-0000-0000-000026040000}"/>
    <cellStyle name="Dziesiętny 6 2 3 4 2" xfId="964" xr:uid="{00000000-0005-0000-0000-000027040000}"/>
    <cellStyle name="Dziesiętny 6 2 3 4 2 2" xfId="965" xr:uid="{00000000-0005-0000-0000-000028040000}"/>
    <cellStyle name="Dziesiętny 6 2 3 4 3" xfId="966" xr:uid="{00000000-0005-0000-0000-000029040000}"/>
    <cellStyle name="Dziesiętny 6 2 3 4 3 2" xfId="967" xr:uid="{00000000-0005-0000-0000-00002A040000}"/>
    <cellStyle name="Dziesiętny 6 2 3 4 4" xfId="968" xr:uid="{00000000-0005-0000-0000-00002B040000}"/>
    <cellStyle name="Dziesiętny 6 2 3 5" xfId="969" xr:uid="{00000000-0005-0000-0000-00002C040000}"/>
    <cellStyle name="Dziesiętny 6 2 3 5 2" xfId="970" xr:uid="{00000000-0005-0000-0000-00002D040000}"/>
    <cellStyle name="Dziesiętny 6 2 3 6" xfId="971" xr:uid="{00000000-0005-0000-0000-00002E040000}"/>
    <cellStyle name="Dziesiętny 6 2 3 6 2" xfId="972" xr:uid="{00000000-0005-0000-0000-00002F040000}"/>
    <cellStyle name="Dziesiętny 6 2 3 7" xfId="973" xr:uid="{00000000-0005-0000-0000-000030040000}"/>
    <cellStyle name="Dziesiętny 6 2 4" xfId="974" xr:uid="{00000000-0005-0000-0000-000031040000}"/>
    <cellStyle name="Dziesiętny 6 2 4 2" xfId="975" xr:uid="{00000000-0005-0000-0000-000032040000}"/>
    <cellStyle name="Dziesiętny 6 2 4 2 2" xfId="976" xr:uid="{00000000-0005-0000-0000-000033040000}"/>
    <cellStyle name="Dziesiętny 6 2 4 2 2 2" xfId="977" xr:uid="{00000000-0005-0000-0000-000034040000}"/>
    <cellStyle name="Dziesiętny 6 2 4 2 2 2 2" xfId="978" xr:uid="{00000000-0005-0000-0000-000035040000}"/>
    <cellStyle name="Dziesiętny 6 2 4 2 2 3" xfId="979" xr:uid="{00000000-0005-0000-0000-000036040000}"/>
    <cellStyle name="Dziesiętny 6 2 4 2 2 3 2" xfId="980" xr:uid="{00000000-0005-0000-0000-000037040000}"/>
    <cellStyle name="Dziesiętny 6 2 4 2 2 4" xfId="981" xr:uid="{00000000-0005-0000-0000-000038040000}"/>
    <cellStyle name="Dziesiętny 6 2 4 2 3" xfId="982" xr:uid="{00000000-0005-0000-0000-000039040000}"/>
    <cellStyle name="Dziesiętny 6 2 4 2 3 2" xfId="983" xr:uid="{00000000-0005-0000-0000-00003A040000}"/>
    <cellStyle name="Dziesiętny 6 2 4 2 4" xfId="984" xr:uid="{00000000-0005-0000-0000-00003B040000}"/>
    <cellStyle name="Dziesiętny 6 2 4 2 4 2" xfId="985" xr:uid="{00000000-0005-0000-0000-00003C040000}"/>
    <cellStyle name="Dziesiętny 6 2 4 2 5" xfId="986" xr:uid="{00000000-0005-0000-0000-00003D040000}"/>
    <cellStyle name="Dziesiętny 6 2 4 3" xfId="987" xr:uid="{00000000-0005-0000-0000-00003E040000}"/>
    <cellStyle name="Dziesiętny 6 2 4 3 2" xfId="988" xr:uid="{00000000-0005-0000-0000-00003F040000}"/>
    <cellStyle name="Dziesiętny 6 2 4 3 2 2" xfId="989" xr:uid="{00000000-0005-0000-0000-000040040000}"/>
    <cellStyle name="Dziesiętny 6 2 4 3 3" xfId="990" xr:uid="{00000000-0005-0000-0000-000041040000}"/>
    <cellStyle name="Dziesiętny 6 2 4 3 3 2" xfId="991" xr:uid="{00000000-0005-0000-0000-000042040000}"/>
    <cellStyle name="Dziesiętny 6 2 4 3 4" xfId="992" xr:uid="{00000000-0005-0000-0000-000043040000}"/>
    <cellStyle name="Dziesiętny 6 2 4 4" xfId="993" xr:uid="{00000000-0005-0000-0000-000044040000}"/>
    <cellStyle name="Dziesiętny 6 2 4 4 2" xfId="994" xr:uid="{00000000-0005-0000-0000-000045040000}"/>
    <cellStyle name="Dziesiętny 6 2 4 5" xfId="995" xr:uid="{00000000-0005-0000-0000-000046040000}"/>
    <cellStyle name="Dziesiętny 6 2 4 5 2" xfId="996" xr:uid="{00000000-0005-0000-0000-000047040000}"/>
    <cellStyle name="Dziesiętny 6 2 4 6" xfId="997" xr:uid="{00000000-0005-0000-0000-000048040000}"/>
    <cellStyle name="Dziesiętny 6 2 5" xfId="998" xr:uid="{00000000-0005-0000-0000-000049040000}"/>
    <cellStyle name="Dziesiętny 6 2 5 2" xfId="999" xr:uid="{00000000-0005-0000-0000-00004A040000}"/>
    <cellStyle name="Dziesiętny 6 2 5 2 2" xfId="1000" xr:uid="{00000000-0005-0000-0000-00004B040000}"/>
    <cellStyle name="Dziesiętny 6 2 5 2 2 2" xfId="1001" xr:uid="{00000000-0005-0000-0000-00004C040000}"/>
    <cellStyle name="Dziesiętny 6 2 5 2 3" xfId="1002" xr:uid="{00000000-0005-0000-0000-00004D040000}"/>
    <cellStyle name="Dziesiętny 6 2 5 2 3 2" xfId="1003" xr:uid="{00000000-0005-0000-0000-00004E040000}"/>
    <cellStyle name="Dziesiętny 6 2 5 2 4" xfId="1004" xr:uid="{00000000-0005-0000-0000-00004F040000}"/>
    <cellStyle name="Dziesiętny 6 2 5 3" xfId="1005" xr:uid="{00000000-0005-0000-0000-000050040000}"/>
    <cellStyle name="Dziesiętny 6 2 5 3 2" xfId="1006" xr:uid="{00000000-0005-0000-0000-000051040000}"/>
    <cellStyle name="Dziesiętny 6 2 5 4" xfId="1007" xr:uid="{00000000-0005-0000-0000-000052040000}"/>
    <cellStyle name="Dziesiętny 6 2 5 4 2" xfId="1008" xr:uid="{00000000-0005-0000-0000-000053040000}"/>
    <cellStyle name="Dziesiętny 6 2 5 5" xfId="1009" xr:uid="{00000000-0005-0000-0000-000054040000}"/>
    <cellStyle name="Dziesiętny 6 2 6" xfId="1010" xr:uid="{00000000-0005-0000-0000-000055040000}"/>
    <cellStyle name="Dziesiętny 6 2 6 2" xfId="1011" xr:uid="{00000000-0005-0000-0000-000056040000}"/>
    <cellStyle name="Dziesiętny 6 2 6 2 2" xfId="1012" xr:uid="{00000000-0005-0000-0000-000057040000}"/>
    <cellStyle name="Dziesiętny 6 2 6 3" xfId="1013" xr:uid="{00000000-0005-0000-0000-000058040000}"/>
    <cellStyle name="Dziesiętny 6 2 6 3 2" xfId="1014" xr:uid="{00000000-0005-0000-0000-000059040000}"/>
    <cellStyle name="Dziesiętny 6 2 6 4" xfId="1015" xr:uid="{00000000-0005-0000-0000-00005A040000}"/>
    <cellStyle name="Dziesiętny 6 2 7" xfId="1016" xr:uid="{00000000-0005-0000-0000-00005B040000}"/>
    <cellStyle name="Dziesiętny 6 2 7 2" xfId="1017" xr:uid="{00000000-0005-0000-0000-00005C040000}"/>
    <cellStyle name="Dziesiętny 6 2 8" xfId="1018" xr:uid="{00000000-0005-0000-0000-00005D040000}"/>
    <cellStyle name="Dziesiętny 6 2 8 2" xfId="1019" xr:uid="{00000000-0005-0000-0000-00005E040000}"/>
    <cellStyle name="Dziesiętny 6 2 9" xfId="1020" xr:uid="{00000000-0005-0000-0000-00005F040000}"/>
    <cellStyle name="Dziesiętny 6 3" xfId="1021" xr:uid="{00000000-0005-0000-0000-000060040000}"/>
    <cellStyle name="Dziesiętny 6 3 2" xfId="1022" xr:uid="{00000000-0005-0000-0000-000061040000}"/>
    <cellStyle name="Dziesiętny 6 3 2 2" xfId="1023" xr:uid="{00000000-0005-0000-0000-000062040000}"/>
    <cellStyle name="Dziesiętny 6 3 2 2 2" xfId="1024" xr:uid="{00000000-0005-0000-0000-000063040000}"/>
    <cellStyle name="Dziesiętny 6 3 2 2 2 2" xfId="1025" xr:uid="{00000000-0005-0000-0000-000064040000}"/>
    <cellStyle name="Dziesiętny 6 3 2 2 2 2 2" xfId="1026" xr:uid="{00000000-0005-0000-0000-000065040000}"/>
    <cellStyle name="Dziesiętny 6 3 2 2 2 3" xfId="1027" xr:uid="{00000000-0005-0000-0000-000066040000}"/>
    <cellStyle name="Dziesiętny 6 3 2 2 2 3 2" xfId="1028" xr:uid="{00000000-0005-0000-0000-000067040000}"/>
    <cellStyle name="Dziesiętny 6 3 2 2 2 4" xfId="1029" xr:uid="{00000000-0005-0000-0000-000068040000}"/>
    <cellStyle name="Dziesiętny 6 3 2 2 3" xfId="1030" xr:uid="{00000000-0005-0000-0000-000069040000}"/>
    <cellStyle name="Dziesiętny 6 3 2 2 3 2" xfId="1031" xr:uid="{00000000-0005-0000-0000-00006A040000}"/>
    <cellStyle name="Dziesiętny 6 3 2 2 4" xfId="1032" xr:uid="{00000000-0005-0000-0000-00006B040000}"/>
    <cellStyle name="Dziesiętny 6 3 2 2 4 2" xfId="1033" xr:uid="{00000000-0005-0000-0000-00006C040000}"/>
    <cellStyle name="Dziesiętny 6 3 2 2 5" xfId="1034" xr:uid="{00000000-0005-0000-0000-00006D040000}"/>
    <cellStyle name="Dziesiętny 6 3 2 3" xfId="1035" xr:uid="{00000000-0005-0000-0000-00006E040000}"/>
    <cellStyle name="Dziesiętny 6 3 2 3 2" xfId="1036" xr:uid="{00000000-0005-0000-0000-00006F040000}"/>
    <cellStyle name="Dziesiętny 6 3 2 3 2 2" xfId="1037" xr:uid="{00000000-0005-0000-0000-000070040000}"/>
    <cellStyle name="Dziesiętny 6 3 2 3 3" xfId="1038" xr:uid="{00000000-0005-0000-0000-000071040000}"/>
    <cellStyle name="Dziesiętny 6 3 2 3 3 2" xfId="1039" xr:uid="{00000000-0005-0000-0000-000072040000}"/>
    <cellStyle name="Dziesiętny 6 3 2 3 4" xfId="1040" xr:uid="{00000000-0005-0000-0000-000073040000}"/>
    <cellStyle name="Dziesiętny 6 3 2 4" xfId="1041" xr:uid="{00000000-0005-0000-0000-000074040000}"/>
    <cellStyle name="Dziesiętny 6 3 2 4 2" xfId="1042" xr:uid="{00000000-0005-0000-0000-000075040000}"/>
    <cellStyle name="Dziesiętny 6 3 2 5" xfId="1043" xr:uid="{00000000-0005-0000-0000-000076040000}"/>
    <cellStyle name="Dziesiętny 6 3 2 5 2" xfId="1044" xr:uid="{00000000-0005-0000-0000-000077040000}"/>
    <cellStyle name="Dziesiętny 6 3 2 6" xfId="1045" xr:uid="{00000000-0005-0000-0000-000078040000}"/>
    <cellStyle name="Dziesiętny 6 3 3" xfId="1046" xr:uid="{00000000-0005-0000-0000-000079040000}"/>
    <cellStyle name="Dziesiętny 6 3 3 2" xfId="1047" xr:uid="{00000000-0005-0000-0000-00007A040000}"/>
    <cellStyle name="Dziesiętny 6 3 3 2 2" xfId="1048" xr:uid="{00000000-0005-0000-0000-00007B040000}"/>
    <cellStyle name="Dziesiętny 6 3 3 2 2 2" xfId="1049" xr:uid="{00000000-0005-0000-0000-00007C040000}"/>
    <cellStyle name="Dziesiętny 6 3 3 2 3" xfId="1050" xr:uid="{00000000-0005-0000-0000-00007D040000}"/>
    <cellStyle name="Dziesiętny 6 3 3 2 3 2" xfId="1051" xr:uid="{00000000-0005-0000-0000-00007E040000}"/>
    <cellStyle name="Dziesiętny 6 3 3 2 4" xfId="1052" xr:uid="{00000000-0005-0000-0000-00007F040000}"/>
    <cellStyle name="Dziesiętny 6 3 3 3" xfId="1053" xr:uid="{00000000-0005-0000-0000-000080040000}"/>
    <cellStyle name="Dziesiętny 6 3 3 3 2" xfId="1054" xr:uid="{00000000-0005-0000-0000-000081040000}"/>
    <cellStyle name="Dziesiętny 6 3 3 4" xfId="1055" xr:uid="{00000000-0005-0000-0000-000082040000}"/>
    <cellStyle name="Dziesiętny 6 3 3 4 2" xfId="1056" xr:uid="{00000000-0005-0000-0000-000083040000}"/>
    <cellStyle name="Dziesiętny 6 3 3 5" xfId="1057" xr:uid="{00000000-0005-0000-0000-000084040000}"/>
    <cellStyle name="Dziesiętny 6 3 4" xfId="1058" xr:uid="{00000000-0005-0000-0000-000085040000}"/>
    <cellStyle name="Dziesiętny 6 3 4 2" xfId="1059" xr:uid="{00000000-0005-0000-0000-000086040000}"/>
    <cellStyle name="Dziesiętny 6 3 4 2 2" xfId="1060" xr:uid="{00000000-0005-0000-0000-000087040000}"/>
    <cellStyle name="Dziesiętny 6 3 4 3" xfId="1061" xr:uid="{00000000-0005-0000-0000-000088040000}"/>
    <cellStyle name="Dziesiętny 6 3 4 3 2" xfId="1062" xr:uid="{00000000-0005-0000-0000-000089040000}"/>
    <cellStyle name="Dziesiętny 6 3 4 4" xfId="1063" xr:uid="{00000000-0005-0000-0000-00008A040000}"/>
    <cellStyle name="Dziesiętny 6 3 5" xfId="1064" xr:uid="{00000000-0005-0000-0000-00008B040000}"/>
    <cellStyle name="Dziesiętny 6 3 5 2" xfId="1065" xr:uid="{00000000-0005-0000-0000-00008C040000}"/>
    <cellStyle name="Dziesiętny 6 3 6" xfId="1066" xr:uid="{00000000-0005-0000-0000-00008D040000}"/>
    <cellStyle name="Dziesiętny 6 3 6 2" xfId="1067" xr:uid="{00000000-0005-0000-0000-00008E040000}"/>
    <cellStyle name="Dziesiętny 6 3 7" xfId="1068" xr:uid="{00000000-0005-0000-0000-00008F040000}"/>
    <cellStyle name="Dziesiętny 6 4" xfId="1069" xr:uid="{00000000-0005-0000-0000-000090040000}"/>
    <cellStyle name="Dziesiętny 6 4 2" xfId="1070" xr:uid="{00000000-0005-0000-0000-000091040000}"/>
    <cellStyle name="Dziesiętny 6 4 2 2" xfId="1071" xr:uid="{00000000-0005-0000-0000-000092040000}"/>
    <cellStyle name="Dziesiętny 6 4 2 2 2" xfId="1072" xr:uid="{00000000-0005-0000-0000-000093040000}"/>
    <cellStyle name="Dziesiętny 6 4 2 2 2 2" xfId="1073" xr:uid="{00000000-0005-0000-0000-000094040000}"/>
    <cellStyle name="Dziesiętny 6 4 2 2 2 2 2" xfId="1074" xr:uid="{00000000-0005-0000-0000-000095040000}"/>
    <cellStyle name="Dziesiętny 6 4 2 2 2 3" xfId="1075" xr:uid="{00000000-0005-0000-0000-000096040000}"/>
    <cellStyle name="Dziesiętny 6 4 2 2 2 3 2" xfId="1076" xr:uid="{00000000-0005-0000-0000-000097040000}"/>
    <cellStyle name="Dziesiętny 6 4 2 2 2 4" xfId="1077" xr:uid="{00000000-0005-0000-0000-000098040000}"/>
    <cellStyle name="Dziesiętny 6 4 2 2 3" xfId="1078" xr:uid="{00000000-0005-0000-0000-000099040000}"/>
    <cellStyle name="Dziesiętny 6 4 2 2 3 2" xfId="1079" xr:uid="{00000000-0005-0000-0000-00009A040000}"/>
    <cellStyle name="Dziesiętny 6 4 2 2 4" xfId="1080" xr:uid="{00000000-0005-0000-0000-00009B040000}"/>
    <cellStyle name="Dziesiętny 6 4 2 2 4 2" xfId="1081" xr:uid="{00000000-0005-0000-0000-00009C040000}"/>
    <cellStyle name="Dziesiętny 6 4 2 2 5" xfId="1082" xr:uid="{00000000-0005-0000-0000-00009D040000}"/>
    <cellStyle name="Dziesiętny 6 4 2 3" xfId="1083" xr:uid="{00000000-0005-0000-0000-00009E040000}"/>
    <cellStyle name="Dziesiętny 6 4 2 3 2" xfId="1084" xr:uid="{00000000-0005-0000-0000-00009F040000}"/>
    <cellStyle name="Dziesiętny 6 4 2 3 2 2" xfId="1085" xr:uid="{00000000-0005-0000-0000-0000A0040000}"/>
    <cellStyle name="Dziesiętny 6 4 2 3 3" xfId="1086" xr:uid="{00000000-0005-0000-0000-0000A1040000}"/>
    <cellStyle name="Dziesiętny 6 4 2 3 3 2" xfId="1087" xr:uid="{00000000-0005-0000-0000-0000A2040000}"/>
    <cellStyle name="Dziesiętny 6 4 2 3 4" xfId="1088" xr:uid="{00000000-0005-0000-0000-0000A3040000}"/>
    <cellStyle name="Dziesiętny 6 4 2 4" xfId="1089" xr:uid="{00000000-0005-0000-0000-0000A4040000}"/>
    <cellStyle name="Dziesiętny 6 4 2 4 2" xfId="1090" xr:uid="{00000000-0005-0000-0000-0000A5040000}"/>
    <cellStyle name="Dziesiętny 6 4 2 5" xfId="1091" xr:uid="{00000000-0005-0000-0000-0000A6040000}"/>
    <cellStyle name="Dziesiętny 6 4 2 5 2" xfId="1092" xr:uid="{00000000-0005-0000-0000-0000A7040000}"/>
    <cellStyle name="Dziesiętny 6 4 2 6" xfId="1093" xr:uid="{00000000-0005-0000-0000-0000A8040000}"/>
    <cellStyle name="Dziesiętny 6 4 3" xfId="1094" xr:uid="{00000000-0005-0000-0000-0000A9040000}"/>
    <cellStyle name="Dziesiętny 6 4 3 2" xfId="1095" xr:uid="{00000000-0005-0000-0000-0000AA040000}"/>
    <cellStyle name="Dziesiętny 6 4 3 2 2" xfId="1096" xr:uid="{00000000-0005-0000-0000-0000AB040000}"/>
    <cellStyle name="Dziesiętny 6 4 3 2 2 2" xfId="1097" xr:uid="{00000000-0005-0000-0000-0000AC040000}"/>
    <cellStyle name="Dziesiętny 6 4 3 2 3" xfId="1098" xr:uid="{00000000-0005-0000-0000-0000AD040000}"/>
    <cellStyle name="Dziesiętny 6 4 3 2 3 2" xfId="1099" xr:uid="{00000000-0005-0000-0000-0000AE040000}"/>
    <cellStyle name="Dziesiętny 6 4 3 2 4" xfId="1100" xr:uid="{00000000-0005-0000-0000-0000AF040000}"/>
    <cellStyle name="Dziesiętny 6 4 3 3" xfId="1101" xr:uid="{00000000-0005-0000-0000-0000B0040000}"/>
    <cellStyle name="Dziesiętny 6 4 3 3 2" xfId="1102" xr:uid="{00000000-0005-0000-0000-0000B1040000}"/>
    <cellStyle name="Dziesiętny 6 4 3 4" xfId="1103" xr:uid="{00000000-0005-0000-0000-0000B2040000}"/>
    <cellStyle name="Dziesiętny 6 4 3 4 2" xfId="1104" xr:uid="{00000000-0005-0000-0000-0000B3040000}"/>
    <cellStyle name="Dziesiętny 6 4 3 5" xfId="1105" xr:uid="{00000000-0005-0000-0000-0000B4040000}"/>
    <cellStyle name="Dziesiętny 6 4 4" xfId="1106" xr:uid="{00000000-0005-0000-0000-0000B5040000}"/>
    <cellStyle name="Dziesiętny 6 4 4 2" xfId="1107" xr:uid="{00000000-0005-0000-0000-0000B6040000}"/>
    <cellStyle name="Dziesiętny 6 4 4 2 2" xfId="1108" xr:uid="{00000000-0005-0000-0000-0000B7040000}"/>
    <cellStyle name="Dziesiętny 6 4 4 3" xfId="1109" xr:uid="{00000000-0005-0000-0000-0000B8040000}"/>
    <cellStyle name="Dziesiętny 6 4 4 3 2" xfId="1110" xr:uid="{00000000-0005-0000-0000-0000B9040000}"/>
    <cellStyle name="Dziesiętny 6 4 4 4" xfId="1111" xr:uid="{00000000-0005-0000-0000-0000BA040000}"/>
    <cellStyle name="Dziesiętny 6 4 5" xfId="1112" xr:uid="{00000000-0005-0000-0000-0000BB040000}"/>
    <cellStyle name="Dziesiętny 6 4 5 2" xfId="1113" xr:uid="{00000000-0005-0000-0000-0000BC040000}"/>
    <cellStyle name="Dziesiętny 6 4 6" xfId="1114" xr:uid="{00000000-0005-0000-0000-0000BD040000}"/>
    <cellStyle name="Dziesiętny 6 4 6 2" xfId="1115" xr:uid="{00000000-0005-0000-0000-0000BE040000}"/>
    <cellStyle name="Dziesiętny 6 4 7" xfId="1116" xr:uid="{00000000-0005-0000-0000-0000BF040000}"/>
    <cellStyle name="Dziesiętny 6 5" xfId="1117" xr:uid="{00000000-0005-0000-0000-0000C0040000}"/>
    <cellStyle name="Dziesiętny 6 5 2" xfId="1118" xr:uid="{00000000-0005-0000-0000-0000C1040000}"/>
    <cellStyle name="Dziesiętny 6 5 2 2" xfId="1119" xr:uid="{00000000-0005-0000-0000-0000C2040000}"/>
    <cellStyle name="Dziesiętny 6 5 2 2 2" xfId="1120" xr:uid="{00000000-0005-0000-0000-0000C3040000}"/>
    <cellStyle name="Dziesiętny 6 5 2 2 2 2" xfId="1121" xr:uid="{00000000-0005-0000-0000-0000C4040000}"/>
    <cellStyle name="Dziesiętny 6 5 2 2 3" xfId="1122" xr:uid="{00000000-0005-0000-0000-0000C5040000}"/>
    <cellStyle name="Dziesiętny 6 5 2 2 3 2" xfId="1123" xr:uid="{00000000-0005-0000-0000-0000C6040000}"/>
    <cellStyle name="Dziesiętny 6 5 2 2 4" xfId="1124" xr:uid="{00000000-0005-0000-0000-0000C7040000}"/>
    <cellStyle name="Dziesiętny 6 5 2 3" xfId="1125" xr:uid="{00000000-0005-0000-0000-0000C8040000}"/>
    <cellStyle name="Dziesiętny 6 5 2 3 2" xfId="1126" xr:uid="{00000000-0005-0000-0000-0000C9040000}"/>
    <cellStyle name="Dziesiętny 6 5 2 4" xfId="1127" xr:uid="{00000000-0005-0000-0000-0000CA040000}"/>
    <cellStyle name="Dziesiętny 6 5 2 4 2" xfId="1128" xr:uid="{00000000-0005-0000-0000-0000CB040000}"/>
    <cellStyle name="Dziesiętny 6 5 2 5" xfId="1129" xr:uid="{00000000-0005-0000-0000-0000CC040000}"/>
    <cellStyle name="Dziesiętny 6 5 3" xfId="1130" xr:uid="{00000000-0005-0000-0000-0000CD040000}"/>
    <cellStyle name="Dziesiętny 6 5 3 2" xfId="1131" xr:uid="{00000000-0005-0000-0000-0000CE040000}"/>
    <cellStyle name="Dziesiętny 6 5 3 2 2" xfId="1132" xr:uid="{00000000-0005-0000-0000-0000CF040000}"/>
    <cellStyle name="Dziesiętny 6 5 3 3" xfId="1133" xr:uid="{00000000-0005-0000-0000-0000D0040000}"/>
    <cellStyle name="Dziesiętny 6 5 3 3 2" xfId="1134" xr:uid="{00000000-0005-0000-0000-0000D1040000}"/>
    <cellStyle name="Dziesiętny 6 5 3 4" xfId="1135" xr:uid="{00000000-0005-0000-0000-0000D2040000}"/>
    <cellStyle name="Dziesiętny 6 5 4" xfId="1136" xr:uid="{00000000-0005-0000-0000-0000D3040000}"/>
    <cellStyle name="Dziesiętny 6 5 4 2" xfId="1137" xr:uid="{00000000-0005-0000-0000-0000D4040000}"/>
    <cellStyle name="Dziesiętny 6 5 5" xfId="1138" xr:uid="{00000000-0005-0000-0000-0000D5040000}"/>
    <cellStyle name="Dziesiętny 6 5 5 2" xfId="1139" xr:uid="{00000000-0005-0000-0000-0000D6040000}"/>
    <cellStyle name="Dziesiętny 6 5 6" xfId="1140" xr:uid="{00000000-0005-0000-0000-0000D7040000}"/>
    <cellStyle name="Dziesiętny 6 6" xfId="1141" xr:uid="{00000000-0005-0000-0000-0000D8040000}"/>
    <cellStyle name="Dziesiętny 6 6 2" xfId="1142" xr:uid="{00000000-0005-0000-0000-0000D9040000}"/>
    <cellStyle name="Dziesiętny 6 6 2 2" xfId="1143" xr:uid="{00000000-0005-0000-0000-0000DA040000}"/>
    <cellStyle name="Dziesiętny 6 6 2 2 2" xfId="1144" xr:uid="{00000000-0005-0000-0000-0000DB040000}"/>
    <cellStyle name="Dziesiętny 6 6 2 3" xfId="1145" xr:uid="{00000000-0005-0000-0000-0000DC040000}"/>
    <cellStyle name="Dziesiętny 6 6 2 3 2" xfId="1146" xr:uid="{00000000-0005-0000-0000-0000DD040000}"/>
    <cellStyle name="Dziesiętny 6 6 2 4" xfId="1147" xr:uid="{00000000-0005-0000-0000-0000DE040000}"/>
    <cellStyle name="Dziesiętny 6 6 3" xfId="1148" xr:uid="{00000000-0005-0000-0000-0000DF040000}"/>
    <cellStyle name="Dziesiętny 6 6 3 2" xfId="1149" xr:uid="{00000000-0005-0000-0000-0000E0040000}"/>
    <cellStyle name="Dziesiętny 6 6 4" xfId="1150" xr:uid="{00000000-0005-0000-0000-0000E1040000}"/>
    <cellStyle name="Dziesiętny 6 6 4 2" xfId="1151" xr:uid="{00000000-0005-0000-0000-0000E2040000}"/>
    <cellStyle name="Dziesiętny 6 6 5" xfId="1152" xr:uid="{00000000-0005-0000-0000-0000E3040000}"/>
    <cellStyle name="Dziesiętny 6 7" xfId="1153" xr:uid="{00000000-0005-0000-0000-0000E4040000}"/>
    <cellStyle name="Dziesiętny 6 7 2" xfId="1154" xr:uid="{00000000-0005-0000-0000-0000E5040000}"/>
    <cellStyle name="Dziesiętny 6 7 2 2" xfId="1155" xr:uid="{00000000-0005-0000-0000-0000E6040000}"/>
    <cellStyle name="Dziesiętny 6 7 3" xfId="1156" xr:uid="{00000000-0005-0000-0000-0000E7040000}"/>
    <cellStyle name="Dziesiętny 6 7 3 2" xfId="1157" xr:uid="{00000000-0005-0000-0000-0000E8040000}"/>
    <cellStyle name="Dziesiętny 6 7 4" xfId="1158" xr:uid="{00000000-0005-0000-0000-0000E9040000}"/>
    <cellStyle name="Dziesiętny 6 8" xfId="1159" xr:uid="{00000000-0005-0000-0000-0000EA040000}"/>
    <cellStyle name="Dziesiętny 6 8 2" xfId="1160" xr:uid="{00000000-0005-0000-0000-0000EB040000}"/>
    <cellStyle name="Dziesiętny 6 9" xfId="1161" xr:uid="{00000000-0005-0000-0000-0000EC040000}"/>
    <cellStyle name="Dziesiętny 6 9 2" xfId="1162" xr:uid="{00000000-0005-0000-0000-0000ED040000}"/>
    <cellStyle name="Dziesiętny 7" xfId="1163" xr:uid="{00000000-0005-0000-0000-0000EE040000}"/>
    <cellStyle name="Dziesiętny 7 2" xfId="1164" xr:uid="{00000000-0005-0000-0000-0000EF040000}"/>
    <cellStyle name="Dziesiętny 7 2 2" xfId="1165" xr:uid="{00000000-0005-0000-0000-0000F0040000}"/>
    <cellStyle name="Dziesiętny 7 2 2 2" xfId="2080" xr:uid="{00000000-0005-0000-0000-0000F1040000}"/>
    <cellStyle name="Dziesiętny 7 2 2 2 2" xfId="2456" xr:uid="{00000000-0005-0000-0000-0000F2040000}"/>
    <cellStyle name="Dziesiętny 7 2 2 3" xfId="2271" xr:uid="{00000000-0005-0000-0000-0000F3040000}"/>
    <cellStyle name="Dziesiętny 7 2 3" xfId="2079" xr:uid="{00000000-0005-0000-0000-0000F4040000}"/>
    <cellStyle name="Dziesiętny 7 2 3 2" xfId="2455" xr:uid="{00000000-0005-0000-0000-0000F5040000}"/>
    <cellStyle name="Dziesiętny 7 2 4" xfId="2270" xr:uid="{00000000-0005-0000-0000-0000F6040000}"/>
    <cellStyle name="Dziesiętny 7 3" xfId="1166" xr:uid="{00000000-0005-0000-0000-0000F7040000}"/>
    <cellStyle name="Dziesiętny 7 3 2" xfId="1167" xr:uid="{00000000-0005-0000-0000-0000F8040000}"/>
    <cellStyle name="Dziesiętny 7 3 2 2" xfId="2082" xr:uid="{00000000-0005-0000-0000-0000F9040000}"/>
    <cellStyle name="Dziesiętny 7 3 2 2 2" xfId="2458" xr:uid="{00000000-0005-0000-0000-0000FA040000}"/>
    <cellStyle name="Dziesiętny 7 3 2 3" xfId="2273" xr:uid="{00000000-0005-0000-0000-0000FB040000}"/>
    <cellStyle name="Dziesiętny 7 3 3" xfId="2081" xr:uid="{00000000-0005-0000-0000-0000FC040000}"/>
    <cellStyle name="Dziesiętny 7 3 3 2" xfId="2457" xr:uid="{00000000-0005-0000-0000-0000FD040000}"/>
    <cellStyle name="Dziesiętny 7 3 4" xfId="2272" xr:uid="{00000000-0005-0000-0000-0000FE040000}"/>
    <cellStyle name="Dziesiętny 7 4" xfId="1168" xr:uid="{00000000-0005-0000-0000-0000FF040000}"/>
    <cellStyle name="Dziesiętny 7 4 2" xfId="2083" xr:uid="{00000000-0005-0000-0000-000000050000}"/>
    <cellStyle name="Dziesiętny 7 4 2 2" xfId="2459" xr:uid="{00000000-0005-0000-0000-000001050000}"/>
    <cellStyle name="Dziesiętny 7 4 3" xfId="2274" xr:uid="{00000000-0005-0000-0000-000002050000}"/>
    <cellStyle name="Dziesiętny 7 5" xfId="1169" xr:uid="{00000000-0005-0000-0000-000003050000}"/>
    <cellStyle name="Dziesiętny 7 6" xfId="2078" xr:uid="{00000000-0005-0000-0000-000004050000}"/>
    <cellStyle name="Dziesiętny 7 6 2" xfId="2454" xr:uid="{00000000-0005-0000-0000-000005050000}"/>
    <cellStyle name="Dziesiętny 7 7" xfId="2269" xr:uid="{00000000-0005-0000-0000-000006050000}"/>
    <cellStyle name="Dziesiętny 8" xfId="1170" xr:uid="{00000000-0005-0000-0000-000007050000}"/>
    <cellStyle name="Dziesiętny 8 2" xfId="1171" xr:uid="{00000000-0005-0000-0000-000008050000}"/>
    <cellStyle name="Dziesiętny 8 2 2" xfId="1172" xr:uid="{00000000-0005-0000-0000-000009050000}"/>
    <cellStyle name="Dziesiętny 8 2 2 2" xfId="1173" xr:uid="{00000000-0005-0000-0000-00000A050000}"/>
    <cellStyle name="Dziesiętny 8 2 2 2 2" xfId="1174" xr:uid="{00000000-0005-0000-0000-00000B050000}"/>
    <cellStyle name="Dziesiętny 8 2 2 2 2 2" xfId="1175" xr:uid="{00000000-0005-0000-0000-00000C050000}"/>
    <cellStyle name="Dziesiętny 8 2 2 2 2 2 2" xfId="1176" xr:uid="{00000000-0005-0000-0000-00000D050000}"/>
    <cellStyle name="Dziesiętny 8 2 2 2 2 3" xfId="1177" xr:uid="{00000000-0005-0000-0000-00000E050000}"/>
    <cellStyle name="Dziesiętny 8 2 2 2 2 3 2" xfId="1178" xr:uid="{00000000-0005-0000-0000-00000F050000}"/>
    <cellStyle name="Dziesiętny 8 2 2 2 2 4" xfId="1179" xr:uid="{00000000-0005-0000-0000-000010050000}"/>
    <cellStyle name="Dziesiętny 8 2 2 2 3" xfId="1180" xr:uid="{00000000-0005-0000-0000-000011050000}"/>
    <cellStyle name="Dziesiętny 8 2 2 2 3 2" xfId="1181" xr:uid="{00000000-0005-0000-0000-000012050000}"/>
    <cellStyle name="Dziesiętny 8 2 2 2 4" xfId="1182" xr:uid="{00000000-0005-0000-0000-000013050000}"/>
    <cellStyle name="Dziesiętny 8 2 2 2 4 2" xfId="1183" xr:uid="{00000000-0005-0000-0000-000014050000}"/>
    <cellStyle name="Dziesiętny 8 2 2 2 5" xfId="1184" xr:uid="{00000000-0005-0000-0000-000015050000}"/>
    <cellStyle name="Dziesiętny 8 2 2 3" xfId="1185" xr:uid="{00000000-0005-0000-0000-000016050000}"/>
    <cellStyle name="Dziesiętny 8 2 2 3 2" xfId="1186" xr:uid="{00000000-0005-0000-0000-000017050000}"/>
    <cellStyle name="Dziesiętny 8 2 2 3 2 2" xfId="1187" xr:uid="{00000000-0005-0000-0000-000018050000}"/>
    <cellStyle name="Dziesiętny 8 2 2 3 3" xfId="1188" xr:uid="{00000000-0005-0000-0000-000019050000}"/>
    <cellStyle name="Dziesiętny 8 2 2 3 3 2" xfId="1189" xr:uid="{00000000-0005-0000-0000-00001A050000}"/>
    <cellStyle name="Dziesiętny 8 2 2 3 4" xfId="1190" xr:uid="{00000000-0005-0000-0000-00001B050000}"/>
    <cellStyle name="Dziesiętny 8 2 2 4" xfId="1191" xr:uid="{00000000-0005-0000-0000-00001C050000}"/>
    <cellStyle name="Dziesiętny 8 2 2 4 2" xfId="1192" xr:uid="{00000000-0005-0000-0000-00001D050000}"/>
    <cellStyle name="Dziesiętny 8 2 2 5" xfId="1193" xr:uid="{00000000-0005-0000-0000-00001E050000}"/>
    <cellStyle name="Dziesiętny 8 2 2 5 2" xfId="1194" xr:uid="{00000000-0005-0000-0000-00001F050000}"/>
    <cellStyle name="Dziesiętny 8 2 2 6" xfId="1195" xr:uid="{00000000-0005-0000-0000-000020050000}"/>
    <cellStyle name="Dziesiętny 8 2 3" xfId="1196" xr:uid="{00000000-0005-0000-0000-000021050000}"/>
    <cellStyle name="Dziesiętny 8 2 3 2" xfId="1197" xr:uid="{00000000-0005-0000-0000-000022050000}"/>
    <cellStyle name="Dziesiętny 8 2 3 2 2" xfId="1198" xr:uid="{00000000-0005-0000-0000-000023050000}"/>
    <cellStyle name="Dziesiętny 8 2 3 2 2 2" xfId="1199" xr:uid="{00000000-0005-0000-0000-000024050000}"/>
    <cellStyle name="Dziesiętny 8 2 3 2 3" xfId="1200" xr:uid="{00000000-0005-0000-0000-000025050000}"/>
    <cellStyle name="Dziesiętny 8 2 3 2 3 2" xfId="1201" xr:uid="{00000000-0005-0000-0000-000026050000}"/>
    <cellStyle name="Dziesiętny 8 2 3 2 4" xfId="1202" xr:uid="{00000000-0005-0000-0000-000027050000}"/>
    <cellStyle name="Dziesiętny 8 2 3 3" xfId="1203" xr:uid="{00000000-0005-0000-0000-000028050000}"/>
    <cellStyle name="Dziesiętny 8 2 3 3 2" xfId="1204" xr:uid="{00000000-0005-0000-0000-000029050000}"/>
    <cellStyle name="Dziesiętny 8 2 3 4" xfId="1205" xr:uid="{00000000-0005-0000-0000-00002A050000}"/>
    <cellStyle name="Dziesiętny 8 2 3 4 2" xfId="1206" xr:uid="{00000000-0005-0000-0000-00002B050000}"/>
    <cellStyle name="Dziesiętny 8 2 3 5" xfId="1207" xr:uid="{00000000-0005-0000-0000-00002C050000}"/>
    <cellStyle name="Dziesiętny 8 2 4" xfId="1208" xr:uid="{00000000-0005-0000-0000-00002D050000}"/>
    <cellStyle name="Dziesiętny 8 2 4 2" xfId="1209" xr:uid="{00000000-0005-0000-0000-00002E050000}"/>
    <cellStyle name="Dziesiętny 8 2 4 2 2" xfId="1210" xr:uid="{00000000-0005-0000-0000-00002F050000}"/>
    <cellStyle name="Dziesiętny 8 2 4 3" xfId="1211" xr:uid="{00000000-0005-0000-0000-000030050000}"/>
    <cellStyle name="Dziesiętny 8 2 4 3 2" xfId="1212" xr:uid="{00000000-0005-0000-0000-000031050000}"/>
    <cellStyle name="Dziesiętny 8 2 4 4" xfId="1213" xr:uid="{00000000-0005-0000-0000-000032050000}"/>
    <cellStyle name="Dziesiętny 8 2 5" xfId="1214" xr:uid="{00000000-0005-0000-0000-000033050000}"/>
    <cellStyle name="Dziesiętny 8 2 5 2" xfId="1215" xr:uid="{00000000-0005-0000-0000-000034050000}"/>
    <cellStyle name="Dziesiętny 8 2 6" xfId="1216" xr:uid="{00000000-0005-0000-0000-000035050000}"/>
    <cellStyle name="Dziesiętny 8 2 6 2" xfId="1217" xr:uid="{00000000-0005-0000-0000-000036050000}"/>
    <cellStyle name="Dziesiętny 8 2 7" xfId="1218" xr:uid="{00000000-0005-0000-0000-000037050000}"/>
    <cellStyle name="Dziesiętny 8 3" xfId="1219" xr:uid="{00000000-0005-0000-0000-000038050000}"/>
    <cellStyle name="Dziesiętny 8 3 2" xfId="1220" xr:uid="{00000000-0005-0000-0000-000039050000}"/>
    <cellStyle name="Dziesiętny 8 3 2 2" xfId="1221" xr:uid="{00000000-0005-0000-0000-00003A050000}"/>
    <cellStyle name="Dziesiętny 8 3 2 2 2" xfId="1222" xr:uid="{00000000-0005-0000-0000-00003B050000}"/>
    <cellStyle name="Dziesiętny 8 3 2 2 2 2" xfId="1223" xr:uid="{00000000-0005-0000-0000-00003C050000}"/>
    <cellStyle name="Dziesiętny 8 3 2 2 2 2 2" xfId="1224" xr:uid="{00000000-0005-0000-0000-00003D050000}"/>
    <cellStyle name="Dziesiętny 8 3 2 2 2 3" xfId="1225" xr:uid="{00000000-0005-0000-0000-00003E050000}"/>
    <cellStyle name="Dziesiętny 8 3 2 2 2 3 2" xfId="1226" xr:uid="{00000000-0005-0000-0000-00003F050000}"/>
    <cellStyle name="Dziesiętny 8 3 2 2 2 4" xfId="1227" xr:uid="{00000000-0005-0000-0000-000040050000}"/>
    <cellStyle name="Dziesiętny 8 3 2 2 3" xfId="1228" xr:uid="{00000000-0005-0000-0000-000041050000}"/>
    <cellStyle name="Dziesiętny 8 3 2 2 3 2" xfId="1229" xr:uid="{00000000-0005-0000-0000-000042050000}"/>
    <cellStyle name="Dziesiętny 8 3 2 2 4" xfId="1230" xr:uid="{00000000-0005-0000-0000-000043050000}"/>
    <cellStyle name="Dziesiętny 8 3 2 2 4 2" xfId="1231" xr:uid="{00000000-0005-0000-0000-000044050000}"/>
    <cellStyle name="Dziesiętny 8 3 2 2 5" xfId="1232" xr:uid="{00000000-0005-0000-0000-000045050000}"/>
    <cellStyle name="Dziesiętny 8 3 2 3" xfId="1233" xr:uid="{00000000-0005-0000-0000-000046050000}"/>
    <cellStyle name="Dziesiętny 8 3 2 3 2" xfId="1234" xr:uid="{00000000-0005-0000-0000-000047050000}"/>
    <cellStyle name="Dziesiętny 8 3 2 3 2 2" xfId="1235" xr:uid="{00000000-0005-0000-0000-000048050000}"/>
    <cellStyle name="Dziesiętny 8 3 2 3 3" xfId="1236" xr:uid="{00000000-0005-0000-0000-000049050000}"/>
    <cellStyle name="Dziesiętny 8 3 2 3 3 2" xfId="1237" xr:uid="{00000000-0005-0000-0000-00004A050000}"/>
    <cellStyle name="Dziesiętny 8 3 2 3 4" xfId="1238" xr:uid="{00000000-0005-0000-0000-00004B050000}"/>
    <cellStyle name="Dziesiętny 8 3 2 4" xfId="1239" xr:uid="{00000000-0005-0000-0000-00004C050000}"/>
    <cellStyle name="Dziesiętny 8 3 2 4 2" xfId="1240" xr:uid="{00000000-0005-0000-0000-00004D050000}"/>
    <cellStyle name="Dziesiętny 8 3 2 5" xfId="1241" xr:uid="{00000000-0005-0000-0000-00004E050000}"/>
    <cellStyle name="Dziesiętny 8 3 2 5 2" xfId="1242" xr:uid="{00000000-0005-0000-0000-00004F050000}"/>
    <cellStyle name="Dziesiętny 8 3 2 6" xfId="1243" xr:uid="{00000000-0005-0000-0000-000050050000}"/>
    <cellStyle name="Dziesiętny 8 3 3" xfId="1244" xr:uid="{00000000-0005-0000-0000-000051050000}"/>
    <cellStyle name="Dziesiętny 8 3 3 2" xfId="1245" xr:uid="{00000000-0005-0000-0000-000052050000}"/>
    <cellStyle name="Dziesiętny 8 3 3 2 2" xfId="1246" xr:uid="{00000000-0005-0000-0000-000053050000}"/>
    <cellStyle name="Dziesiętny 8 3 3 2 2 2" xfId="1247" xr:uid="{00000000-0005-0000-0000-000054050000}"/>
    <cellStyle name="Dziesiętny 8 3 3 2 3" xfId="1248" xr:uid="{00000000-0005-0000-0000-000055050000}"/>
    <cellStyle name="Dziesiętny 8 3 3 2 3 2" xfId="1249" xr:uid="{00000000-0005-0000-0000-000056050000}"/>
    <cellStyle name="Dziesiętny 8 3 3 2 4" xfId="1250" xr:uid="{00000000-0005-0000-0000-000057050000}"/>
    <cellStyle name="Dziesiętny 8 3 3 3" xfId="1251" xr:uid="{00000000-0005-0000-0000-000058050000}"/>
    <cellStyle name="Dziesiętny 8 3 3 3 2" xfId="1252" xr:uid="{00000000-0005-0000-0000-000059050000}"/>
    <cellStyle name="Dziesiętny 8 3 3 4" xfId="1253" xr:uid="{00000000-0005-0000-0000-00005A050000}"/>
    <cellStyle name="Dziesiętny 8 3 3 4 2" xfId="1254" xr:uid="{00000000-0005-0000-0000-00005B050000}"/>
    <cellStyle name="Dziesiętny 8 3 3 5" xfId="1255" xr:uid="{00000000-0005-0000-0000-00005C050000}"/>
    <cellStyle name="Dziesiętny 8 3 4" xfId="1256" xr:uid="{00000000-0005-0000-0000-00005D050000}"/>
    <cellStyle name="Dziesiętny 8 3 4 2" xfId="1257" xr:uid="{00000000-0005-0000-0000-00005E050000}"/>
    <cellStyle name="Dziesiętny 8 3 4 2 2" xfId="1258" xr:uid="{00000000-0005-0000-0000-00005F050000}"/>
    <cellStyle name="Dziesiętny 8 3 4 3" xfId="1259" xr:uid="{00000000-0005-0000-0000-000060050000}"/>
    <cellStyle name="Dziesiętny 8 3 4 3 2" xfId="1260" xr:uid="{00000000-0005-0000-0000-000061050000}"/>
    <cellStyle name="Dziesiętny 8 3 4 4" xfId="1261" xr:uid="{00000000-0005-0000-0000-000062050000}"/>
    <cellStyle name="Dziesiętny 8 3 5" xfId="1262" xr:uid="{00000000-0005-0000-0000-000063050000}"/>
    <cellStyle name="Dziesiętny 8 3 5 2" xfId="1263" xr:uid="{00000000-0005-0000-0000-000064050000}"/>
    <cellStyle name="Dziesiętny 8 3 6" xfId="1264" xr:uid="{00000000-0005-0000-0000-000065050000}"/>
    <cellStyle name="Dziesiętny 8 3 6 2" xfId="1265" xr:uid="{00000000-0005-0000-0000-000066050000}"/>
    <cellStyle name="Dziesiętny 8 3 7" xfId="1266" xr:uid="{00000000-0005-0000-0000-000067050000}"/>
    <cellStyle name="Dziesiętny 8 4" xfId="1267" xr:uid="{00000000-0005-0000-0000-000068050000}"/>
    <cellStyle name="Dziesiętny 8 4 2" xfId="1268" xr:uid="{00000000-0005-0000-0000-000069050000}"/>
    <cellStyle name="Dziesiętny 8 4 2 2" xfId="1269" xr:uid="{00000000-0005-0000-0000-00006A050000}"/>
    <cellStyle name="Dziesiętny 8 4 2 2 2" xfId="1270" xr:uid="{00000000-0005-0000-0000-00006B050000}"/>
    <cellStyle name="Dziesiętny 8 4 2 2 2 2" xfId="1271" xr:uid="{00000000-0005-0000-0000-00006C050000}"/>
    <cellStyle name="Dziesiętny 8 4 2 2 3" xfId="1272" xr:uid="{00000000-0005-0000-0000-00006D050000}"/>
    <cellStyle name="Dziesiętny 8 4 2 2 3 2" xfId="1273" xr:uid="{00000000-0005-0000-0000-00006E050000}"/>
    <cellStyle name="Dziesiętny 8 4 2 2 4" xfId="1274" xr:uid="{00000000-0005-0000-0000-00006F050000}"/>
    <cellStyle name="Dziesiętny 8 4 2 3" xfId="1275" xr:uid="{00000000-0005-0000-0000-000070050000}"/>
    <cellStyle name="Dziesiętny 8 4 2 3 2" xfId="1276" xr:uid="{00000000-0005-0000-0000-000071050000}"/>
    <cellStyle name="Dziesiętny 8 4 2 4" xfId="1277" xr:uid="{00000000-0005-0000-0000-000072050000}"/>
    <cellStyle name="Dziesiętny 8 4 2 4 2" xfId="1278" xr:uid="{00000000-0005-0000-0000-000073050000}"/>
    <cellStyle name="Dziesiętny 8 4 2 5" xfId="1279" xr:uid="{00000000-0005-0000-0000-000074050000}"/>
    <cellStyle name="Dziesiętny 8 4 3" xfId="1280" xr:uid="{00000000-0005-0000-0000-000075050000}"/>
    <cellStyle name="Dziesiętny 8 4 3 2" xfId="1281" xr:uid="{00000000-0005-0000-0000-000076050000}"/>
    <cellStyle name="Dziesiętny 8 4 3 2 2" xfId="1282" xr:uid="{00000000-0005-0000-0000-000077050000}"/>
    <cellStyle name="Dziesiętny 8 4 3 3" xfId="1283" xr:uid="{00000000-0005-0000-0000-000078050000}"/>
    <cellStyle name="Dziesiętny 8 4 3 3 2" xfId="1284" xr:uid="{00000000-0005-0000-0000-000079050000}"/>
    <cellStyle name="Dziesiętny 8 4 3 4" xfId="1285" xr:uid="{00000000-0005-0000-0000-00007A050000}"/>
    <cellStyle name="Dziesiętny 8 4 4" xfId="1286" xr:uid="{00000000-0005-0000-0000-00007B050000}"/>
    <cellStyle name="Dziesiętny 8 4 4 2" xfId="1287" xr:uid="{00000000-0005-0000-0000-00007C050000}"/>
    <cellStyle name="Dziesiętny 8 4 5" xfId="1288" xr:uid="{00000000-0005-0000-0000-00007D050000}"/>
    <cellStyle name="Dziesiętny 8 4 5 2" xfId="1289" xr:uid="{00000000-0005-0000-0000-00007E050000}"/>
    <cellStyle name="Dziesiętny 8 4 6" xfId="1290" xr:uid="{00000000-0005-0000-0000-00007F050000}"/>
    <cellStyle name="Dziesiętny 8 5" xfId="1291" xr:uid="{00000000-0005-0000-0000-000080050000}"/>
    <cellStyle name="Dziesiętny 8 5 2" xfId="1292" xr:uid="{00000000-0005-0000-0000-000081050000}"/>
    <cellStyle name="Dziesiętny 8 5 2 2" xfId="1293" xr:uid="{00000000-0005-0000-0000-000082050000}"/>
    <cellStyle name="Dziesiętny 8 5 2 2 2" xfId="1294" xr:uid="{00000000-0005-0000-0000-000083050000}"/>
    <cellStyle name="Dziesiętny 8 5 2 3" xfId="1295" xr:uid="{00000000-0005-0000-0000-000084050000}"/>
    <cellStyle name="Dziesiętny 8 5 2 3 2" xfId="1296" xr:uid="{00000000-0005-0000-0000-000085050000}"/>
    <cellStyle name="Dziesiętny 8 5 2 4" xfId="1297" xr:uid="{00000000-0005-0000-0000-000086050000}"/>
    <cellStyle name="Dziesiętny 8 5 3" xfId="1298" xr:uid="{00000000-0005-0000-0000-000087050000}"/>
    <cellStyle name="Dziesiętny 8 5 3 2" xfId="1299" xr:uid="{00000000-0005-0000-0000-000088050000}"/>
    <cellStyle name="Dziesiętny 8 5 4" xfId="1300" xr:uid="{00000000-0005-0000-0000-000089050000}"/>
    <cellStyle name="Dziesiętny 8 5 4 2" xfId="1301" xr:uid="{00000000-0005-0000-0000-00008A050000}"/>
    <cellStyle name="Dziesiętny 8 5 5" xfId="1302" xr:uid="{00000000-0005-0000-0000-00008B050000}"/>
    <cellStyle name="Dziesiętny 8 6" xfId="1303" xr:uid="{00000000-0005-0000-0000-00008C050000}"/>
    <cellStyle name="Dziesiętny 8 6 2" xfId="1304" xr:uid="{00000000-0005-0000-0000-00008D050000}"/>
    <cellStyle name="Dziesiętny 8 6 2 2" xfId="1305" xr:uid="{00000000-0005-0000-0000-00008E050000}"/>
    <cellStyle name="Dziesiętny 8 6 3" xfId="1306" xr:uid="{00000000-0005-0000-0000-00008F050000}"/>
    <cellStyle name="Dziesiętny 8 6 3 2" xfId="1307" xr:uid="{00000000-0005-0000-0000-000090050000}"/>
    <cellStyle name="Dziesiętny 8 6 4" xfId="1308" xr:uid="{00000000-0005-0000-0000-000091050000}"/>
    <cellStyle name="Dziesiętny 8 7" xfId="1309" xr:uid="{00000000-0005-0000-0000-000092050000}"/>
    <cellStyle name="Dziesiętny 8 7 2" xfId="1310" xr:uid="{00000000-0005-0000-0000-000093050000}"/>
    <cellStyle name="Dziesiętny 8 8" xfId="1311" xr:uid="{00000000-0005-0000-0000-000094050000}"/>
    <cellStyle name="Dziesiętny 8 8 2" xfId="1312" xr:uid="{00000000-0005-0000-0000-000095050000}"/>
    <cellStyle name="Dziesiętny 8 9" xfId="1313" xr:uid="{00000000-0005-0000-0000-000096050000}"/>
    <cellStyle name="Dziesiętny 9" xfId="1314" xr:uid="{00000000-0005-0000-0000-000097050000}"/>
    <cellStyle name="Dziesiętny 9 2" xfId="1315" xr:uid="{00000000-0005-0000-0000-000098050000}"/>
    <cellStyle name="Dziesiętny 9 2 2" xfId="1316" xr:uid="{00000000-0005-0000-0000-000099050000}"/>
    <cellStyle name="Dziesiętny 9 2 2 2" xfId="2086" xr:uid="{00000000-0005-0000-0000-00009A050000}"/>
    <cellStyle name="Dziesiętny 9 2 2 2 2" xfId="2462" xr:uid="{00000000-0005-0000-0000-00009B050000}"/>
    <cellStyle name="Dziesiętny 9 2 2 3" xfId="2277" xr:uid="{00000000-0005-0000-0000-00009C050000}"/>
    <cellStyle name="Dziesiętny 9 2 3" xfId="2085" xr:uid="{00000000-0005-0000-0000-00009D050000}"/>
    <cellStyle name="Dziesiętny 9 2 3 2" xfId="2461" xr:uid="{00000000-0005-0000-0000-00009E050000}"/>
    <cellStyle name="Dziesiętny 9 2 4" xfId="2276" xr:uid="{00000000-0005-0000-0000-00009F050000}"/>
    <cellStyle name="Dziesiętny 9 3" xfId="1317" xr:uid="{00000000-0005-0000-0000-0000A0050000}"/>
    <cellStyle name="Dziesiętny 9 3 2" xfId="1318" xr:uid="{00000000-0005-0000-0000-0000A1050000}"/>
    <cellStyle name="Dziesiętny 9 3 2 2" xfId="2088" xr:uid="{00000000-0005-0000-0000-0000A2050000}"/>
    <cellStyle name="Dziesiętny 9 3 2 2 2" xfId="2464" xr:uid="{00000000-0005-0000-0000-0000A3050000}"/>
    <cellStyle name="Dziesiętny 9 3 2 3" xfId="2279" xr:uid="{00000000-0005-0000-0000-0000A4050000}"/>
    <cellStyle name="Dziesiętny 9 3 3" xfId="2087" xr:uid="{00000000-0005-0000-0000-0000A5050000}"/>
    <cellStyle name="Dziesiętny 9 3 3 2" xfId="2463" xr:uid="{00000000-0005-0000-0000-0000A6050000}"/>
    <cellStyle name="Dziesiętny 9 3 4" xfId="2278" xr:uid="{00000000-0005-0000-0000-0000A7050000}"/>
    <cellStyle name="Dziesiętny 9 4" xfId="1319" xr:uid="{00000000-0005-0000-0000-0000A8050000}"/>
    <cellStyle name="Dziesiętny 9 4 2" xfId="2089" xr:uid="{00000000-0005-0000-0000-0000A9050000}"/>
    <cellStyle name="Dziesiętny 9 4 2 2" xfId="2465" xr:uid="{00000000-0005-0000-0000-0000AA050000}"/>
    <cellStyle name="Dziesiętny 9 4 3" xfId="2280" xr:uid="{00000000-0005-0000-0000-0000AB050000}"/>
    <cellStyle name="Dziesiętny 9 5" xfId="2084" xr:uid="{00000000-0005-0000-0000-0000AC050000}"/>
    <cellStyle name="Dziesiętny 9 5 2" xfId="2460" xr:uid="{00000000-0005-0000-0000-0000AD050000}"/>
    <cellStyle name="Dziesiętny 9 6" xfId="2275" xr:uid="{00000000-0005-0000-0000-0000AE050000}"/>
    <cellStyle name="Hiperłącze" xfId="3" builtinId="8"/>
    <cellStyle name="Hiperłącze 2" xfId="2610" xr:uid="{00000000-0005-0000-0000-0000B0050000}"/>
    <cellStyle name="Hiperłącze_RoedlConsult_311202_sprawozdanie_z_dział_jedn" xfId="4" xr:uid="{00000000-0005-0000-0000-0000B1050000}"/>
    <cellStyle name="Normal 2" xfId="14" xr:uid="{00000000-0005-0000-0000-0000B2050000}"/>
    <cellStyle name="Normal 2 2" xfId="2040" xr:uid="{00000000-0005-0000-0000-0000B3050000}"/>
    <cellStyle name="Normal 2 2 2" xfId="2416" xr:uid="{00000000-0005-0000-0000-0000B4050000}"/>
    <cellStyle name="Normal 2 3" xfId="2231" xr:uid="{00000000-0005-0000-0000-0000B5050000}"/>
    <cellStyle name="Normal 3" xfId="2039" xr:uid="{00000000-0005-0000-0000-0000B6050000}"/>
    <cellStyle name="Normal 5 2 2" xfId="2603" xr:uid="{00000000-0005-0000-0000-0000B7050000}"/>
    <cellStyle name="Normal 5 2 2 2" xfId="2606" xr:uid="{00000000-0005-0000-0000-0000B8050000}"/>
    <cellStyle name="Normal_Financial Statements PL ver 11 10 2006" xfId="2230" xr:uid="{00000000-0005-0000-0000-0000B9050000}"/>
    <cellStyle name="Normalny" xfId="0" builtinId="0"/>
    <cellStyle name="Normalny 10" xfId="1320" xr:uid="{00000000-0005-0000-0000-0000BB050000}"/>
    <cellStyle name="Normalny 10 2" xfId="1321" xr:uid="{00000000-0005-0000-0000-0000BC050000}"/>
    <cellStyle name="Normalny 10 2 2" xfId="1322" xr:uid="{00000000-0005-0000-0000-0000BD050000}"/>
    <cellStyle name="Normalny 10 2 2 2" xfId="1323" xr:uid="{00000000-0005-0000-0000-0000BE050000}"/>
    <cellStyle name="Normalny 10 2 2 2 2" xfId="2093" xr:uid="{00000000-0005-0000-0000-0000BF050000}"/>
    <cellStyle name="Normalny 10 2 2 2 2 2" xfId="2469" xr:uid="{00000000-0005-0000-0000-0000C0050000}"/>
    <cellStyle name="Normalny 10 2 2 2 3" xfId="2284" xr:uid="{00000000-0005-0000-0000-0000C1050000}"/>
    <cellStyle name="Normalny 10 2 2 3" xfId="2092" xr:uid="{00000000-0005-0000-0000-0000C2050000}"/>
    <cellStyle name="Normalny 10 2 2 3 2" xfId="2468" xr:uid="{00000000-0005-0000-0000-0000C3050000}"/>
    <cellStyle name="Normalny 10 2 2 4" xfId="2283" xr:uid="{00000000-0005-0000-0000-0000C4050000}"/>
    <cellStyle name="Normalny 10 2 3" xfId="1324" xr:uid="{00000000-0005-0000-0000-0000C5050000}"/>
    <cellStyle name="Normalny 10 2 3 2" xfId="2094" xr:uid="{00000000-0005-0000-0000-0000C6050000}"/>
    <cellStyle name="Normalny 10 2 3 2 2" xfId="2470" xr:uid="{00000000-0005-0000-0000-0000C7050000}"/>
    <cellStyle name="Normalny 10 2 3 3" xfId="2285" xr:uid="{00000000-0005-0000-0000-0000C8050000}"/>
    <cellStyle name="Normalny 10 2 4" xfId="2091" xr:uid="{00000000-0005-0000-0000-0000C9050000}"/>
    <cellStyle name="Normalny 10 2 4 2" xfId="2467" xr:uid="{00000000-0005-0000-0000-0000CA050000}"/>
    <cellStyle name="Normalny 10 2 5" xfId="2282" xr:uid="{00000000-0005-0000-0000-0000CB050000}"/>
    <cellStyle name="Normalny 10 3" xfId="1325" xr:uid="{00000000-0005-0000-0000-0000CC050000}"/>
    <cellStyle name="Normalny 10 3 2" xfId="1326" xr:uid="{00000000-0005-0000-0000-0000CD050000}"/>
    <cellStyle name="Normalny 10 3 2 2" xfId="2096" xr:uid="{00000000-0005-0000-0000-0000CE050000}"/>
    <cellStyle name="Normalny 10 3 2 2 2" xfId="2472" xr:uid="{00000000-0005-0000-0000-0000CF050000}"/>
    <cellStyle name="Normalny 10 3 2 3" xfId="2287" xr:uid="{00000000-0005-0000-0000-0000D0050000}"/>
    <cellStyle name="Normalny 10 3 3" xfId="2095" xr:uid="{00000000-0005-0000-0000-0000D1050000}"/>
    <cellStyle name="Normalny 10 3 3 2" xfId="2471" xr:uid="{00000000-0005-0000-0000-0000D2050000}"/>
    <cellStyle name="Normalny 10 3 4" xfId="2286" xr:uid="{00000000-0005-0000-0000-0000D3050000}"/>
    <cellStyle name="Normalny 10 4" xfId="1327" xr:uid="{00000000-0005-0000-0000-0000D4050000}"/>
    <cellStyle name="Normalny 10 4 2" xfId="1328" xr:uid="{00000000-0005-0000-0000-0000D5050000}"/>
    <cellStyle name="Normalny 10 4 2 2" xfId="2098" xr:uid="{00000000-0005-0000-0000-0000D6050000}"/>
    <cellStyle name="Normalny 10 4 2 2 2" xfId="2474" xr:uid="{00000000-0005-0000-0000-0000D7050000}"/>
    <cellStyle name="Normalny 10 4 2 3" xfId="2289" xr:uid="{00000000-0005-0000-0000-0000D8050000}"/>
    <cellStyle name="Normalny 10 4 3" xfId="2097" xr:uid="{00000000-0005-0000-0000-0000D9050000}"/>
    <cellStyle name="Normalny 10 4 3 2" xfId="2473" xr:uid="{00000000-0005-0000-0000-0000DA050000}"/>
    <cellStyle name="Normalny 10 4 4" xfId="2288" xr:uid="{00000000-0005-0000-0000-0000DB050000}"/>
    <cellStyle name="Normalny 10 5" xfId="1329" xr:uid="{00000000-0005-0000-0000-0000DC050000}"/>
    <cellStyle name="Normalny 10 5 2" xfId="1330" xr:uid="{00000000-0005-0000-0000-0000DD050000}"/>
    <cellStyle name="Normalny 10 5 2 2" xfId="2100" xr:uid="{00000000-0005-0000-0000-0000DE050000}"/>
    <cellStyle name="Normalny 10 5 2 2 2" xfId="2476" xr:uid="{00000000-0005-0000-0000-0000DF050000}"/>
    <cellStyle name="Normalny 10 5 2 3" xfId="2291" xr:uid="{00000000-0005-0000-0000-0000E0050000}"/>
    <cellStyle name="Normalny 10 5 3" xfId="2099" xr:uid="{00000000-0005-0000-0000-0000E1050000}"/>
    <cellStyle name="Normalny 10 5 3 2" xfId="2475" xr:uid="{00000000-0005-0000-0000-0000E2050000}"/>
    <cellStyle name="Normalny 10 5 4" xfId="2290" xr:uid="{00000000-0005-0000-0000-0000E3050000}"/>
    <cellStyle name="Normalny 10 6" xfId="1331" xr:uid="{00000000-0005-0000-0000-0000E4050000}"/>
    <cellStyle name="Normalny 10 6 2" xfId="2101" xr:uid="{00000000-0005-0000-0000-0000E5050000}"/>
    <cellStyle name="Normalny 10 6 2 2" xfId="2477" xr:uid="{00000000-0005-0000-0000-0000E6050000}"/>
    <cellStyle name="Normalny 10 6 3" xfId="2292" xr:uid="{00000000-0005-0000-0000-0000E7050000}"/>
    <cellStyle name="Normalny 10 7" xfId="1332" xr:uid="{00000000-0005-0000-0000-0000E8050000}"/>
    <cellStyle name="Normalny 10 8" xfId="2090" xr:uid="{00000000-0005-0000-0000-0000E9050000}"/>
    <cellStyle name="Normalny 10 8 2" xfId="2466" xr:uid="{00000000-0005-0000-0000-0000EA050000}"/>
    <cellStyle name="Normalny 10 9" xfId="2281" xr:uid="{00000000-0005-0000-0000-0000EB050000}"/>
    <cellStyle name="Normalny 11" xfId="1333" xr:uid="{00000000-0005-0000-0000-0000EC050000}"/>
    <cellStyle name="Normalny 11 2" xfId="1334" xr:uid="{00000000-0005-0000-0000-0000ED050000}"/>
    <cellStyle name="Normalny 11 2 2" xfId="1335" xr:uid="{00000000-0005-0000-0000-0000EE050000}"/>
    <cellStyle name="Normalny 11 2 2 2" xfId="1336" xr:uid="{00000000-0005-0000-0000-0000EF050000}"/>
    <cellStyle name="Normalny 11 2 2 2 2" xfId="1337" xr:uid="{00000000-0005-0000-0000-0000F0050000}"/>
    <cellStyle name="Normalny 11 2 2 2 2 2" xfId="1338" xr:uid="{00000000-0005-0000-0000-0000F1050000}"/>
    <cellStyle name="Normalny 11 2 2 2 3" xfId="1339" xr:uid="{00000000-0005-0000-0000-0000F2050000}"/>
    <cellStyle name="Normalny 11 2 2 2_RPP" xfId="1340" xr:uid="{00000000-0005-0000-0000-0000F3050000}"/>
    <cellStyle name="Normalny 11 2 2 3" xfId="1341" xr:uid="{00000000-0005-0000-0000-0000F4050000}"/>
    <cellStyle name="Normalny 11 2 2 3 2" xfId="1342" xr:uid="{00000000-0005-0000-0000-0000F5050000}"/>
    <cellStyle name="Normalny 11 2 2 4" xfId="1343" xr:uid="{00000000-0005-0000-0000-0000F6050000}"/>
    <cellStyle name="Normalny 11 2 2_RPP" xfId="1344" xr:uid="{00000000-0005-0000-0000-0000F7050000}"/>
    <cellStyle name="Normalny 11 2 3" xfId="1345" xr:uid="{00000000-0005-0000-0000-0000F8050000}"/>
    <cellStyle name="Normalny 11 2 3 2" xfId="1346" xr:uid="{00000000-0005-0000-0000-0000F9050000}"/>
    <cellStyle name="Normalny 11 2 3 2 2" xfId="1347" xr:uid="{00000000-0005-0000-0000-0000FA050000}"/>
    <cellStyle name="Normalny 11 2 3 3" xfId="1348" xr:uid="{00000000-0005-0000-0000-0000FB050000}"/>
    <cellStyle name="Normalny 11 2 3_RPP" xfId="1349" xr:uid="{00000000-0005-0000-0000-0000FC050000}"/>
    <cellStyle name="Normalny 11 2 4" xfId="1350" xr:uid="{00000000-0005-0000-0000-0000FD050000}"/>
    <cellStyle name="Normalny 11 2 4 2" xfId="1351" xr:uid="{00000000-0005-0000-0000-0000FE050000}"/>
    <cellStyle name="Normalny 11 2 5" xfId="1352" xr:uid="{00000000-0005-0000-0000-0000FF050000}"/>
    <cellStyle name="Normalny 11 2_RPP" xfId="1353" xr:uid="{00000000-0005-0000-0000-000000060000}"/>
    <cellStyle name="Normalny 11 3" xfId="1354" xr:uid="{00000000-0005-0000-0000-000001060000}"/>
    <cellStyle name="Normalny 11 3 2" xfId="1355" xr:uid="{00000000-0005-0000-0000-000002060000}"/>
    <cellStyle name="Normalny 11 3 2 2" xfId="1356" xr:uid="{00000000-0005-0000-0000-000003060000}"/>
    <cellStyle name="Normalny 11 3 2 2 2" xfId="1357" xr:uid="{00000000-0005-0000-0000-000004060000}"/>
    <cellStyle name="Normalny 11 3 2 2 2 2" xfId="1358" xr:uid="{00000000-0005-0000-0000-000005060000}"/>
    <cellStyle name="Normalny 11 3 2 2 3" xfId="1359" xr:uid="{00000000-0005-0000-0000-000006060000}"/>
    <cellStyle name="Normalny 11 3 2 2_RPP" xfId="1360" xr:uid="{00000000-0005-0000-0000-000007060000}"/>
    <cellStyle name="Normalny 11 3 2 3" xfId="1361" xr:uid="{00000000-0005-0000-0000-000008060000}"/>
    <cellStyle name="Normalny 11 3 2 3 2" xfId="1362" xr:uid="{00000000-0005-0000-0000-000009060000}"/>
    <cellStyle name="Normalny 11 3 2 4" xfId="1363" xr:uid="{00000000-0005-0000-0000-00000A060000}"/>
    <cellStyle name="Normalny 11 3 2_RPP" xfId="1364" xr:uid="{00000000-0005-0000-0000-00000B060000}"/>
    <cellStyle name="Normalny 11 3 3" xfId="1365" xr:uid="{00000000-0005-0000-0000-00000C060000}"/>
    <cellStyle name="Normalny 11 3 3 2" xfId="1366" xr:uid="{00000000-0005-0000-0000-00000D060000}"/>
    <cellStyle name="Normalny 11 3 3 2 2" xfId="1367" xr:uid="{00000000-0005-0000-0000-00000E060000}"/>
    <cellStyle name="Normalny 11 3 3 3" xfId="1368" xr:uid="{00000000-0005-0000-0000-00000F060000}"/>
    <cellStyle name="Normalny 11 3 3_RPP" xfId="1369" xr:uid="{00000000-0005-0000-0000-000010060000}"/>
    <cellStyle name="Normalny 11 3 4" xfId="1370" xr:uid="{00000000-0005-0000-0000-000011060000}"/>
    <cellStyle name="Normalny 11 3 4 2" xfId="1371" xr:uid="{00000000-0005-0000-0000-000012060000}"/>
    <cellStyle name="Normalny 11 3 5" xfId="1372" xr:uid="{00000000-0005-0000-0000-000013060000}"/>
    <cellStyle name="Normalny 11 3_RPP" xfId="1373" xr:uid="{00000000-0005-0000-0000-000014060000}"/>
    <cellStyle name="Normalny 11 4" xfId="1374" xr:uid="{00000000-0005-0000-0000-000015060000}"/>
    <cellStyle name="Normalny 11 4 2" xfId="1375" xr:uid="{00000000-0005-0000-0000-000016060000}"/>
    <cellStyle name="Normalny 11 4 2 2" xfId="1376" xr:uid="{00000000-0005-0000-0000-000017060000}"/>
    <cellStyle name="Normalny 11 4 2 2 2" xfId="1377" xr:uid="{00000000-0005-0000-0000-000018060000}"/>
    <cellStyle name="Normalny 11 4 2 3" xfId="1378" xr:uid="{00000000-0005-0000-0000-000019060000}"/>
    <cellStyle name="Normalny 11 4 2_RPP" xfId="1379" xr:uid="{00000000-0005-0000-0000-00001A060000}"/>
    <cellStyle name="Normalny 11 4 3" xfId="1380" xr:uid="{00000000-0005-0000-0000-00001B060000}"/>
    <cellStyle name="Normalny 11 4 3 2" xfId="1381" xr:uid="{00000000-0005-0000-0000-00001C060000}"/>
    <cellStyle name="Normalny 11 4 4" xfId="1382" xr:uid="{00000000-0005-0000-0000-00001D060000}"/>
    <cellStyle name="Normalny 11 4_RPP" xfId="1383" xr:uid="{00000000-0005-0000-0000-00001E060000}"/>
    <cellStyle name="Normalny 11 5" xfId="1384" xr:uid="{00000000-0005-0000-0000-00001F060000}"/>
    <cellStyle name="Normalny 11 5 2" xfId="1385" xr:uid="{00000000-0005-0000-0000-000020060000}"/>
    <cellStyle name="Normalny 11 5 2 2" xfId="1386" xr:uid="{00000000-0005-0000-0000-000021060000}"/>
    <cellStyle name="Normalny 11 5 3" xfId="1387" xr:uid="{00000000-0005-0000-0000-000022060000}"/>
    <cellStyle name="Normalny 11 5_RPP" xfId="1388" xr:uid="{00000000-0005-0000-0000-000023060000}"/>
    <cellStyle name="Normalny 11 6" xfId="1389" xr:uid="{00000000-0005-0000-0000-000024060000}"/>
    <cellStyle name="Normalny 11 6 2" xfId="1390" xr:uid="{00000000-0005-0000-0000-000025060000}"/>
    <cellStyle name="Normalny 11 7" xfId="1391" xr:uid="{00000000-0005-0000-0000-000026060000}"/>
    <cellStyle name="Normalny 11_RPP" xfId="1392" xr:uid="{00000000-0005-0000-0000-000027060000}"/>
    <cellStyle name="Normalny 12" xfId="1393" xr:uid="{00000000-0005-0000-0000-000028060000}"/>
    <cellStyle name="Normalny 12 2" xfId="1394" xr:uid="{00000000-0005-0000-0000-000029060000}"/>
    <cellStyle name="Normalny 12 2 2" xfId="1395" xr:uid="{00000000-0005-0000-0000-00002A060000}"/>
    <cellStyle name="Normalny 12 2 2 2" xfId="2104" xr:uid="{00000000-0005-0000-0000-00002B060000}"/>
    <cellStyle name="Normalny 12 2 2 2 2" xfId="2480" xr:uid="{00000000-0005-0000-0000-00002C060000}"/>
    <cellStyle name="Normalny 12 2 2 3" xfId="2295" xr:uid="{00000000-0005-0000-0000-00002D060000}"/>
    <cellStyle name="Normalny 12 2 3" xfId="2103" xr:uid="{00000000-0005-0000-0000-00002E060000}"/>
    <cellStyle name="Normalny 12 2 3 2" xfId="2479" xr:uid="{00000000-0005-0000-0000-00002F060000}"/>
    <cellStyle name="Normalny 12 2 4" xfId="2294" xr:uid="{00000000-0005-0000-0000-000030060000}"/>
    <cellStyle name="Normalny 12 3" xfId="1396" xr:uid="{00000000-0005-0000-0000-000031060000}"/>
    <cellStyle name="Normalny 12 3 2" xfId="1397" xr:uid="{00000000-0005-0000-0000-000032060000}"/>
    <cellStyle name="Normalny 12 3 2 2" xfId="2106" xr:uid="{00000000-0005-0000-0000-000033060000}"/>
    <cellStyle name="Normalny 12 3 2 2 2" xfId="2482" xr:uid="{00000000-0005-0000-0000-000034060000}"/>
    <cellStyle name="Normalny 12 3 2 3" xfId="2297" xr:uid="{00000000-0005-0000-0000-000035060000}"/>
    <cellStyle name="Normalny 12 3 3" xfId="2105" xr:uid="{00000000-0005-0000-0000-000036060000}"/>
    <cellStyle name="Normalny 12 3 3 2" xfId="2481" xr:uid="{00000000-0005-0000-0000-000037060000}"/>
    <cellStyle name="Normalny 12 3 4" xfId="2296" xr:uid="{00000000-0005-0000-0000-000038060000}"/>
    <cellStyle name="Normalny 12 4" xfId="1398" xr:uid="{00000000-0005-0000-0000-000039060000}"/>
    <cellStyle name="Normalny 12 4 2" xfId="2107" xr:uid="{00000000-0005-0000-0000-00003A060000}"/>
    <cellStyle name="Normalny 12 4 2 2" xfId="2483" xr:uid="{00000000-0005-0000-0000-00003B060000}"/>
    <cellStyle name="Normalny 12 4 3" xfId="2298" xr:uid="{00000000-0005-0000-0000-00003C060000}"/>
    <cellStyle name="Normalny 12 5" xfId="1399" xr:uid="{00000000-0005-0000-0000-00003D060000}"/>
    <cellStyle name="Normalny 12 6" xfId="2102" xr:uid="{00000000-0005-0000-0000-00003E060000}"/>
    <cellStyle name="Normalny 12 6 2" xfId="2478" xr:uid="{00000000-0005-0000-0000-00003F060000}"/>
    <cellStyle name="Normalny 12 7" xfId="2293" xr:uid="{00000000-0005-0000-0000-000040060000}"/>
    <cellStyle name="Normalny 13" xfId="1400" xr:uid="{00000000-0005-0000-0000-000041060000}"/>
    <cellStyle name="Normalny 13 2" xfId="1401" xr:uid="{00000000-0005-0000-0000-000042060000}"/>
    <cellStyle name="Normalny 13 2 2" xfId="1402" xr:uid="{00000000-0005-0000-0000-000043060000}"/>
    <cellStyle name="Normalny 13 2 2 2" xfId="1403" xr:uid="{00000000-0005-0000-0000-000044060000}"/>
    <cellStyle name="Normalny 13 2 2 2 2" xfId="1404" xr:uid="{00000000-0005-0000-0000-000045060000}"/>
    <cellStyle name="Normalny 13 2 2 3" xfId="1405" xr:uid="{00000000-0005-0000-0000-000046060000}"/>
    <cellStyle name="Normalny 13 2 2_RPP" xfId="1406" xr:uid="{00000000-0005-0000-0000-000047060000}"/>
    <cellStyle name="Normalny 13 2 3" xfId="1407" xr:uid="{00000000-0005-0000-0000-000048060000}"/>
    <cellStyle name="Normalny 13 2 3 2" xfId="1408" xr:uid="{00000000-0005-0000-0000-000049060000}"/>
    <cellStyle name="Normalny 13 2 4" xfId="1409" xr:uid="{00000000-0005-0000-0000-00004A060000}"/>
    <cellStyle name="Normalny 13 2_RPP" xfId="1410" xr:uid="{00000000-0005-0000-0000-00004B060000}"/>
    <cellStyle name="Normalny 13 3" xfId="1411" xr:uid="{00000000-0005-0000-0000-00004C060000}"/>
    <cellStyle name="Normalny 13 3 2" xfId="1412" xr:uid="{00000000-0005-0000-0000-00004D060000}"/>
    <cellStyle name="Normalny 13 3 2 2" xfId="1413" xr:uid="{00000000-0005-0000-0000-00004E060000}"/>
    <cellStyle name="Normalny 13 3 3" xfId="1414" xr:uid="{00000000-0005-0000-0000-00004F060000}"/>
    <cellStyle name="Normalny 13 3_RPP" xfId="1415" xr:uid="{00000000-0005-0000-0000-000050060000}"/>
    <cellStyle name="Normalny 13 4" xfId="1416" xr:uid="{00000000-0005-0000-0000-000051060000}"/>
    <cellStyle name="Normalny 13 4 2" xfId="1417" xr:uid="{00000000-0005-0000-0000-000052060000}"/>
    <cellStyle name="Normalny 13 5" xfId="1418" xr:uid="{00000000-0005-0000-0000-000053060000}"/>
    <cellStyle name="Normalny 13_RPP" xfId="1419" xr:uid="{00000000-0005-0000-0000-000054060000}"/>
    <cellStyle name="Normalny 14" xfId="1420" xr:uid="{00000000-0005-0000-0000-000055060000}"/>
    <cellStyle name="Normalny 15" xfId="1421" xr:uid="{00000000-0005-0000-0000-000056060000}"/>
    <cellStyle name="Normalny 15 2" xfId="1422" xr:uid="{00000000-0005-0000-0000-000057060000}"/>
    <cellStyle name="Normalny 15 2 2" xfId="1423" xr:uid="{00000000-0005-0000-0000-000058060000}"/>
    <cellStyle name="Normalny 15 2 2 2" xfId="1424" xr:uid="{00000000-0005-0000-0000-000059060000}"/>
    <cellStyle name="Normalny 15 2 2 2 2" xfId="1425" xr:uid="{00000000-0005-0000-0000-00005A060000}"/>
    <cellStyle name="Normalny 15 2 2 3" xfId="1426" xr:uid="{00000000-0005-0000-0000-00005B060000}"/>
    <cellStyle name="Normalny 15 2 2_RPP" xfId="1427" xr:uid="{00000000-0005-0000-0000-00005C060000}"/>
    <cellStyle name="Normalny 15 2 3" xfId="1428" xr:uid="{00000000-0005-0000-0000-00005D060000}"/>
    <cellStyle name="Normalny 15 2 3 2" xfId="1429" xr:uid="{00000000-0005-0000-0000-00005E060000}"/>
    <cellStyle name="Normalny 15 2 4" xfId="1430" xr:uid="{00000000-0005-0000-0000-00005F060000}"/>
    <cellStyle name="Normalny 15 2_RPP" xfId="1431" xr:uid="{00000000-0005-0000-0000-000060060000}"/>
    <cellStyle name="Normalny 15 3" xfId="1432" xr:uid="{00000000-0005-0000-0000-000061060000}"/>
    <cellStyle name="Normalny 15 3 2" xfId="1433" xr:uid="{00000000-0005-0000-0000-000062060000}"/>
    <cellStyle name="Normalny 15 3 2 2" xfId="1434" xr:uid="{00000000-0005-0000-0000-000063060000}"/>
    <cellStyle name="Normalny 15 3 3" xfId="1435" xr:uid="{00000000-0005-0000-0000-000064060000}"/>
    <cellStyle name="Normalny 15 3_RPP" xfId="1436" xr:uid="{00000000-0005-0000-0000-000065060000}"/>
    <cellStyle name="Normalny 15 4" xfId="1437" xr:uid="{00000000-0005-0000-0000-000066060000}"/>
    <cellStyle name="Normalny 15 4 2" xfId="1438" xr:uid="{00000000-0005-0000-0000-000067060000}"/>
    <cellStyle name="Normalny 15 5" xfId="1439" xr:uid="{00000000-0005-0000-0000-000068060000}"/>
    <cellStyle name="Normalny 15 6" xfId="1440" xr:uid="{00000000-0005-0000-0000-000069060000}"/>
    <cellStyle name="Normalny 15_RPP" xfId="1441" xr:uid="{00000000-0005-0000-0000-00006A060000}"/>
    <cellStyle name="Normalny 16" xfId="1442" xr:uid="{00000000-0005-0000-0000-00006B060000}"/>
    <cellStyle name="Normalny 16 2" xfId="1443" xr:uid="{00000000-0005-0000-0000-00006C060000}"/>
    <cellStyle name="Normalny 16 2 2" xfId="1444" xr:uid="{00000000-0005-0000-0000-00006D060000}"/>
    <cellStyle name="Normalny 16 2 2 2" xfId="1445" xr:uid="{00000000-0005-0000-0000-00006E060000}"/>
    <cellStyle name="Normalny 16 2 3" xfId="1446" xr:uid="{00000000-0005-0000-0000-00006F060000}"/>
    <cellStyle name="Normalny 16 2_RPP" xfId="1447" xr:uid="{00000000-0005-0000-0000-000070060000}"/>
    <cellStyle name="Normalny 16 3" xfId="1448" xr:uid="{00000000-0005-0000-0000-000071060000}"/>
    <cellStyle name="Normalny 16 3 2" xfId="1449" xr:uid="{00000000-0005-0000-0000-000072060000}"/>
    <cellStyle name="Normalny 16 4" xfId="1450" xr:uid="{00000000-0005-0000-0000-000073060000}"/>
    <cellStyle name="Normalny 16 5" xfId="1451" xr:uid="{00000000-0005-0000-0000-000074060000}"/>
    <cellStyle name="Normalny 16_RPP" xfId="1452" xr:uid="{00000000-0005-0000-0000-000075060000}"/>
    <cellStyle name="Normalny 17" xfId="1453" xr:uid="{00000000-0005-0000-0000-000076060000}"/>
    <cellStyle name="Normalny 17 2" xfId="1454" xr:uid="{00000000-0005-0000-0000-000077060000}"/>
    <cellStyle name="Normalny 17 2 2" xfId="1455" xr:uid="{00000000-0005-0000-0000-000078060000}"/>
    <cellStyle name="Normalny 17 2 2 2" xfId="1456" xr:uid="{00000000-0005-0000-0000-000079060000}"/>
    <cellStyle name="Normalny 17 2 3" xfId="1457" xr:uid="{00000000-0005-0000-0000-00007A060000}"/>
    <cellStyle name="Normalny 17 2_RPP" xfId="1458" xr:uid="{00000000-0005-0000-0000-00007B060000}"/>
    <cellStyle name="Normalny 17 3" xfId="1459" xr:uid="{00000000-0005-0000-0000-00007C060000}"/>
    <cellStyle name="Normalny 17 3 2" xfId="1460" xr:uid="{00000000-0005-0000-0000-00007D060000}"/>
    <cellStyle name="Normalny 17 4" xfId="1461" xr:uid="{00000000-0005-0000-0000-00007E060000}"/>
    <cellStyle name="Normalny 17 5" xfId="1462" xr:uid="{00000000-0005-0000-0000-00007F060000}"/>
    <cellStyle name="Normalny 17_RPP" xfId="1463" xr:uid="{00000000-0005-0000-0000-000080060000}"/>
    <cellStyle name="Normalny 18" xfId="1464" xr:uid="{00000000-0005-0000-0000-000081060000}"/>
    <cellStyle name="Normalny 18 2" xfId="1465" xr:uid="{00000000-0005-0000-0000-000082060000}"/>
    <cellStyle name="Normalny 18 2 2" xfId="1466" xr:uid="{00000000-0005-0000-0000-000083060000}"/>
    <cellStyle name="Normalny 18 2 2 2" xfId="1467" xr:uid="{00000000-0005-0000-0000-000084060000}"/>
    <cellStyle name="Normalny 18 2 3" xfId="1468" xr:uid="{00000000-0005-0000-0000-000085060000}"/>
    <cellStyle name="Normalny 18 2_RPP" xfId="1469" xr:uid="{00000000-0005-0000-0000-000086060000}"/>
    <cellStyle name="Normalny 18 3" xfId="1470" xr:uid="{00000000-0005-0000-0000-000087060000}"/>
    <cellStyle name="Normalny 18 3 2" xfId="1471" xr:uid="{00000000-0005-0000-0000-000088060000}"/>
    <cellStyle name="Normalny 18 4" xfId="1472" xr:uid="{00000000-0005-0000-0000-000089060000}"/>
    <cellStyle name="Normalny 18_RPP" xfId="1473" xr:uid="{00000000-0005-0000-0000-00008A060000}"/>
    <cellStyle name="Normalny 19" xfId="1474" xr:uid="{00000000-0005-0000-0000-00008B060000}"/>
    <cellStyle name="Normalny 19 2" xfId="1475" xr:uid="{00000000-0005-0000-0000-00008C060000}"/>
    <cellStyle name="Normalny 19_RPP2012" xfId="1476" xr:uid="{00000000-0005-0000-0000-00008D060000}"/>
    <cellStyle name="Normalny 2" xfId="13" xr:uid="{00000000-0005-0000-0000-00008E060000}"/>
    <cellStyle name="Normalny 2 2" xfId="1477" xr:uid="{00000000-0005-0000-0000-00008F060000}"/>
    <cellStyle name="Normalny 2 3" xfId="1478" xr:uid="{00000000-0005-0000-0000-000090060000}"/>
    <cellStyle name="Normalny 2 4" xfId="1479" xr:uid="{00000000-0005-0000-0000-000091060000}"/>
    <cellStyle name="Normalny 2_Bilans 2012 Forte" xfId="1480" xr:uid="{00000000-0005-0000-0000-000092060000}"/>
    <cellStyle name="Normalny 20" xfId="1481" xr:uid="{00000000-0005-0000-0000-000093060000}"/>
    <cellStyle name="Normalny 20 2" xfId="1482" xr:uid="{00000000-0005-0000-0000-000094060000}"/>
    <cellStyle name="Normalny 20 2 2" xfId="1483" xr:uid="{00000000-0005-0000-0000-000095060000}"/>
    <cellStyle name="Normalny 20 3" xfId="1484" xr:uid="{00000000-0005-0000-0000-000096060000}"/>
    <cellStyle name="Normalny 20_RPP" xfId="1485" xr:uid="{00000000-0005-0000-0000-000097060000}"/>
    <cellStyle name="Normalny 21" xfId="1486" xr:uid="{00000000-0005-0000-0000-000098060000}"/>
    <cellStyle name="Normalny 21 2" xfId="1487" xr:uid="{00000000-0005-0000-0000-000099060000}"/>
    <cellStyle name="Normalny 21 3" xfId="1488" xr:uid="{00000000-0005-0000-0000-00009A060000}"/>
    <cellStyle name="Normalny 21_RPP" xfId="1489" xr:uid="{00000000-0005-0000-0000-00009B060000}"/>
    <cellStyle name="Normalny 22" xfId="1490" xr:uid="{00000000-0005-0000-0000-00009C060000}"/>
    <cellStyle name="Normalny 22 2" xfId="1491" xr:uid="{00000000-0005-0000-0000-00009D060000}"/>
    <cellStyle name="Normalny 23" xfId="1492" xr:uid="{00000000-0005-0000-0000-00009E060000}"/>
    <cellStyle name="Normalny 23 2" xfId="1493" xr:uid="{00000000-0005-0000-0000-00009F060000}"/>
    <cellStyle name="Normalny 24" xfId="1494" xr:uid="{00000000-0005-0000-0000-0000A0060000}"/>
    <cellStyle name="Normalny 24 2" xfId="1495" xr:uid="{00000000-0005-0000-0000-0000A1060000}"/>
    <cellStyle name="Normalny 25" xfId="1496" xr:uid="{00000000-0005-0000-0000-0000A2060000}"/>
    <cellStyle name="Normalny 25 2" xfId="1497" xr:uid="{00000000-0005-0000-0000-0000A3060000}"/>
    <cellStyle name="Normalny 26" xfId="1498" xr:uid="{00000000-0005-0000-0000-0000A4060000}"/>
    <cellStyle name="Normalny 26 2" xfId="1499" xr:uid="{00000000-0005-0000-0000-0000A5060000}"/>
    <cellStyle name="Normalny 27" xfId="1500" xr:uid="{00000000-0005-0000-0000-0000A6060000}"/>
    <cellStyle name="Normalny 27 2" xfId="1501" xr:uid="{00000000-0005-0000-0000-0000A7060000}"/>
    <cellStyle name="Normalny 28" xfId="1502" xr:uid="{00000000-0005-0000-0000-0000A8060000}"/>
    <cellStyle name="Normalny 28 2" xfId="1503" xr:uid="{00000000-0005-0000-0000-0000A9060000}"/>
    <cellStyle name="Normalny 29" xfId="1504" xr:uid="{00000000-0005-0000-0000-0000AA060000}"/>
    <cellStyle name="Normalny 29 2" xfId="1505" xr:uid="{00000000-0005-0000-0000-0000AB060000}"/>
    <cellStyle name="Normalny 3" xfId="1506" xr:uid="{00000000-0005-0000-0000-0000AC060000}"/>
    <cellStyle name="Normalny 3 2" xfId="1507" xr:uid="{00000000-0005-0000-0000-0000AD060000}"/>
    <cellStyle name="Normalny 3 2 2" xfId="1508" xr:uid="{00000000-0005-0000-0000-0000AE060000}"/>
    <cellStyle name="Normalny 3 3" xfId="1509" xr:uid="{00000000-0005-0000-0000-0000AF060000}"/>
    <cellStyle name="Normalny 3 3 2" xfId="1510" xr:uid="{00000000-0005-0000-0000-0000B0060000}"/>
    <cellStyle name="Normalny 3 4" xfId="1511" xr:uid="{00000000-0005-0000-0000-0000B1060000}"/>
    <cellStyle name="Normalny 3 5" xfId="1512" xr:uid="{00000000-0005-0000-0000-0000B2060000}"/>
    <cellStyle name="Normalny 3 5 2" xfId="1513" xr:uid="{00000000-0005-0000-0000-0000B3060000}"/>
    <cellStyle name="Normalny 3 5 2 2" xfId="1514" xr:uid="{00000000-0005-0000-0000-0000B4060000}"/>
    <cellStyle name="Normalny 3 5 2 2 2" xfId="2110" xr:uid="{00000000-0005-0000-0000-0000B5060000}"/>
    <cellStyle name="Normalny 3 5 2 2 2 2" xfId="2486" xr:uid="{00000000-0005-0000-0000-0000B6060000}"/>
    <cellStyle name="Normalny 3 5 2 2 3" xfId="2301" xr:uid="{00000000-0005-0000-0000-0000B7060000}"/>
    <cellStyle name="Normalny 3 5 2 3" xfId="2109" xr:uid="{00000000-0005-0000-0000-0000B8060000}"/>
    <cellStyle name="Normalny 3 5 2 3 2" xfId="2485" xr:uid="{00000000-0005-0000-0000-0000B9060000}"/>
    <cellStyle name="Normalny 3 5 2 4" xfId="2300" xr:uid="{00000000-0005-0000-0000-0000BA060000}"/>
    <cellStyle name="Normalny 3 5 3" xfId="1515" xr:uid="{00000000-0005-0000-0000-0000BB060000}"/>
    <cellStyle name="Normalny 3 5 3 2" xfId="1516" xr:uid="{00000000-0005-0000-0000-0000BC060000}"/>
    <cellStyle name="Normalny 3 5 3 2 2" xfId="2112" xr:uid="{00000000-0005-0000-0000-0000BD060000}"/>
    <cellStyle name="Normalny 3 5 3 2 2 2" xfId="2488" xr:uid="{00000000-0005-0000-0000-0000BE060000}"/>
    <cellStyle name="Normalny 3 5 3 2 3" xfId="2303" xr:uid="{00000000-0005-0000-0000-0000BF060000}"/>
    <cellStyle name="Normalny 3 5 3 3" xfId="2111" xr:uid="{00000000-0005-0000-0000-0000C0060000}"/>
    <cellStyle name="Normalny 3 5 3 3 2" xfId="2487" xr:uid="{00000000-0005-0000-0000-0000C1060000}"/>
    <cellStyle name="Normalny 3 5 3 4" xfId="2302" xr:uid="{00000000-0005-0000-0000-0000C2060000}"/>
    <cellStyle name="Normalny 3 5 4" xfId="1517" xr:uid="{00000000-0005-0000-0000-0000C3060000}"/>
    <cellStyle name="Normalny 3 5 4 2" xfId="2113" xr:uid="{00000000-0005-0000-0000-0000C4060000}"/>
    <cellStyle name="Normalny 3 5 4 2 2" xfId="2489" xr:uid="{00000000-0005-0000-0000-0000C5060000}"/>
    <cellStyle name="Normalny 3 5 4 3" xfId="2304" xr:uid="{00000000-0005-0000-0000-0000C6060000}"/>
    <cellStyle name="Normalny 3 5 5" xfId="2108" xr:uid="{00000000-0005-0000-0000-0000C7060000}"/>
    <cellStyle name="Normalny 3 5 5 2" xfId="2484" xr:uid="{00000000-0005-0000-0000-0000C8060000}"/>
    <cellStyle name="Normalny 3 5 6" xfId="2299" xr:uid="{00000000-0005-0000-0000-0000C9060000}"/>
    <cellStyle name="Normalny 3 6" xfId="1518" xr:uid="{00000000-0005-0000-0000-0000CA060000}"/>
    <cellStyle name="Normalny 3 6 2" xfId="1519" xr:uid="{00000000-0005-0000-0000-0000CB060000}"/>
    <cellStyle name="Normalny 3 6 2 2" xfId="2115" xr:uid="{00000000-0005-0000-0000-0000CC060000}"/>
    <cellStyle name="Normalny 3 6 2 2 2" xfId="2491" xr:uid="{00000000-0005-0000-0000-0000CD060000}"/>
    <cellStyle name="Normalny 3 6 2 3" xfId="2306" xr:uid="{00000000-0005-0000-0000-0000CE060000}"/>
    <cellStyle name="Normalny 3 6 3" xfId="2114" xr:uid="{00000000-0005-0000-0000-0000CF060000}"/>
    <cellStyle name="Normalny 3 6 3 2" xfId="2490" xr:uid="{00000000-0005-0000-0000-0000D0060000}"/>
    <cellStyle name="Normalny 3 6 4" xfId="2305" xr:uid="{00000000-0005-0000-0000-0000D1060000}"/>
    <cellStyle name="Normalny 3_Bilans 2012 Forte" xfId="1520" xr:uid="{00000000-0005-0000-0000-0000D2060000}"/>
    <cellStyle name="Normalny 30" xfId="1521" xr:uid="{00000000-0005-0000-0000-0000D3060000}"/>
    <cellStyle name="Normalny 30 2" xfId="1522" xr:uid="{00000000-0005-0000-0000-0000D4060000}"/>
    <cellStyle name="Normalny 31" xfId="1523" xr:uid="{00000000-0005-0000-0000-0000D5060000}"/>
    <cellStyle name="Normalny 31 2" xfId="1524" xr:uid="{00000000-0005-0000-0000-0000D6060000}"/>
    <cellStyle name="Normalny 32" xfId="1525" xr:uid="{00000000-0005-0000-0000-0000D7060000}"/>
    <cellStyle name="Normalny 32 2" xfId="1526" xr:uid="{00000000-0005-0000-0000-0000D8060000}"/>
    <cellStyle name="Normalny 33" xfId="1527" xr:uid="{00000000-0005-0000-0000-0000D9060000}"/>
    <cellStyle name="Normalny 33 2" xfId="1528" xr:uid="{00000000-0005-0000-0000-0000DA060000}"/>
    <cellStyle name="Normalny 34" xfId="1529" xr:uid="{00000000-0005-0000-0000-0000DB060000}"/>
    <cellStyle name="Normalny 34 2" xfId="1530" xr:uid="{00000000-0005-0000-0000-0000DC060000}"/>
    <cellStyle name="Normalny 35" xfId="1531" xr:uid="{00000000-0005-0000-0000-0000DD060000}"/>
    <cellStyle name="Normalny 35 2" xfId="1532" xr:uid="{00000000-0005-0000-0000-0000DE060000}"/>
    <cellStyle name="Normalny 36" xfId="1533" xr:uid="{00000000-0005-0000-0000-0000DF060000}"/>
    <cellStyle name="Normalny 36 2" xfId="1534" xr:uid="{00000000-0005-0000-0000-0000E0060000}"/>
    <cellStyle name="Normalny 37" xfId="1535" xr:uid="{00000000-0005-0000-0000-0000E1060000}"/>
    <cellStyle name="Normalny 37 2" xfId="1536" xr:uid="{00000000-0005-0000-0000-0000E2060000}"/>
    <cellStyle name="Normalny 38" xfId="1537" xr:uid="{00000000-0005-0000-0000-0000E3060000}"/>
    <cellStyle name="Normalny 38 2" xfId="1538" xr:uid="{00000000-0005-0000-0000-0000E4060000}"/>
    <cellStyle name="Normalny 39" xfId="1539" xr:uid="{00000000-0005-0000-0000-0000E5060000}"/>
    <cellStyle name="Normalny 39 2" xfId="1540" xr:uid="{00000000-0005-0000-0000-0000E6060000}"/>
    <cellStyle name="Normalny 4" xfId="1541" xr:uid="{00000000-0005-0000-0000-0000E7060000}"/>
    <cellStyle name="Normalny 4 2" xfId="1542" xr:uid="{00000000-0005-0000-0000-0000E8060000}"/>
    <cellStyle name="Normalny 4_Saldo" xfId="1543" xr:uid="{00000000-0005-0000-0000-0000E9060000}"/>
    <cellStyle name="Normalny 40" xfId="1544" xr:uid="{00000000-0005-0000-0000-0000EA060000}"/>
    <cellStyle name="Normalny 40 2" xfId="1545" xr:uid="{00000000-0005-0000-0000-0000EB060000}"/>
    <cellStyle name="Normalny 41" xfId="1546" xr:uid="{00000000-0005-0000-0000-0000EC060000}"/>
    <cellStyle name="Normalny 41 2" xfId="1547" xr:uid="{00000000-0005-0000-0000-0000ED060000}"/>
    <cellStyle name="Normalny 41 3" xfId="1548" xr:uid="{00000000-0005-0000-0000-0000EE060000}"/>
    <cellStyle name="Normalny 41 3 2" xfId="2117" xr:uid="{00000000-0005-0000-0000-0000EF060000}"/>
    <cellStyle name="Normalny 41 3 2 2" xfId="2493" xr:uid="{00000000-0005-0000-0000-0000F0060000}"/>
    <cellStyle name="Normalny 41 3 3" xfId="2308" xr:uid="{00000000-0005-0000-0000-0000F1060000}"/>
    <cellStyle name="Normalny 41 4" xfId="2116" xr:uid="{00000000-0005-0000-0000-0000F2060000}"/>
    <cellStyle name="Normalny 41 4 2" xfId="2492" xr:uid="{00000000-0005-0000-0000-0000F3060000}"/>
    <cellStyle name="Normalny 41 5" xfId="2307" xr:uid="{00000000-0005-0000-0000-0000F4060000}"/>
    <cellStyle name="Normalny 42" xfId="1549" xr:uid="{00000000-0005-0000-0000-0000F5060000}"/>
    <cellStyle name="Normalny 42 2" xfId="1550" xr:uid="{00000000-0005-0000-0000-0000F6060000}"/>
    <cellStyle name="Normalny 42 3" xfId="1551" xr:uid="{00000000-0005-0000-0000-0000F7060000}"/>
    <cellStyle name="Normalny 42 3 2" xfId="2119" xr:uid="{00000000-0005-0000-0000-0000F8060000}"/>
    <cellStyle name="Normalny 42 3 2 2" xfId="2495" xr:uid="{00000000-0005-0000-0000-0000F9060000}"/>
    <cellStyle name="Normalny 42 3 3" xfId="2310" xr:uid="{00000000-0005-0000-0000-0000FA060000}"/>
    <cellStyle name="Normalny 42 4" xfId="2118" xr:uid="{00000000-0005-0000-0000-0000FB060000}"/>
    <cellStyle name="Normalny 42 4 2" xfId="2494" xr:uid="{00000000-0005-0000-0000-0000FC060000}"/>
    <cellStyle name="Normalny 42 5" xfId="2309" xr:uid="{00000000-0005-0000-0000-0000FD060000}"/>
    <cellStyle name="Normalny 43" xfId="1552" xr:uid="{00000000-0005-0000-0000-0000FE060000}"/>
    <cellStyle name="Normalny 43 2" xfId="1553" xr:uid="{00000000-0005-0000-0000-0000FF060000}"/>
    <cellStyle name="Normalny 43 2 2" xfId="1554" xr:uid="{00000000-0005-0000-0000-000000070000}"/>
    <cellStyle name="Normalny 43 2 2 2" xfId="2122" xr:uid="{00000000-0005-0000-0000-000001070000}"/>
    <cellStyle name="Normalny 43 2 2 2 2" xfId="2498" xr:uid="{00000000-0005-0000-0000-000002070000}"/>
    <cellStyle name="Normalny 43 2 2 3" xfId="2313" xr:uid="{00000000-0005-0000-0000-000003070000}"/>
    <cellStyle name="Normalny 43 2 3" xfId="2121" xr:uid="{00000000-0005-0000-0000-000004070000}"/>
    <cellStyle name="Normalny 43 2 3 2" xfId="2497" xr:uid="{00000000-0005-0000-0000-000005070000}"/>
    <cellStyle name="Normalny 43 2 4" xfId="2312" xr:uid="{00000000-0005-0000-0000-000006070000}"/>
    <cellStyle name="Normalny 43 3" xfId="1555" xr:uid="{00000000-0005-0000-0000-000007070000}"/>
    <cellStyle name="Normalny 43 3 2" xfId="2123" xr:uid="{00000000-0005-0000-0000-000008070000}"/>
    <cellStyle name="Normalny 43 3 2 2" xfId="2499" xr:uid="{00000000-0005-0000-0000-000009070000}"/>
    <cellStyle name="Normalny 43 3 3" xfId="2314" xr:uid="{00000000-0005-0000-0000-00000A070000}"/>
    <cellStyle name="Normalny 43 4" xfId="2120" xr:uid="{00000000-0005-0000-0000-00000B070000}"/>
    <cellStyle name="Normalny 43 4 2" xfId="2496" xr:uid="{00000000-0005-0000-0000-00000C070000}"/>
    <cellStyle name="Normalny 43 5" xfId="2311" xr:uid="{00000000-0005-0000-0000-00000D070000}"/>
    <cellStyle name="Normalny 44" xfId="1556" xr:uid="{00000000-0005-0000-0000-00000E070000}"/>
    <cellStyle name="Normalny 44 2" xfId="1557" xr:uid="{00000000-0005-0000-0000-00000F070000}"/>
    <cellStyle name="Normalny 44 2 2" xfId="1558" xr:uid="{00000000-0005-0000-0000-000010070000}"/>
    <cellStyle name="Normalny 44 2 2 2" xfId="2126" xr:uid="{00000000-0005-0000-0000-000011070000}"/>
    <cellStyle name="Normalny 44 2 2 2 2" xfId="2502" xr:uid="{00000000-0005-0000-0000-000012070000}"/>
    <cellStyle name="Normalny 44 2 2 3" xfId="2317" xr:uid="{00000000-0005-0000-0000-000013070000}"/>
    <cellStyle name="Normalny 44 2 3" xfId="2125" xr:uid="{00000000-0005-0000-0000-000014070000}"/>
    <cellStyle name="Normalny 44 2 3 2" xfId="2501" xr:uid="{00000000-0005-0000-0000-000015070000}"/>
    <cellStyle name="Normalny 44 2 4" xfId="2316" xr:uid="{00000000-0005-0000-0000-000016070000}"/>
    <cellStyle name="Normalny 44 3" xfId="1559" xr:uid="{00000000-0005-0000-0000-000017070000}"/>
    <cellStyle name="Normalny 44 3 2" xfId="2127" xr:uid="{00000000-0005-0000-0000-000018070000}"/>
    <cellStyle name="Normalny 44 3 2 2" xfId="2503" xr:uid="{00000000-0005-0000-0000-000019070000}"/>
    <cellStyle name="Normalny 44 3 3" xfId="2318" xr:uid="{00000000-0005-0000-0000-00001A070000}"/>
    <cellStyle name="Normalny 44 4" xfId="2124" xr:uid="{00000000-0005-0000-0000-00001B070000}"/>
    <cellStyle name="Normalny 44 4 2" xfId="2500" xr:uid="{00000000-0005-0000-0000-00001C070000}"/>
    <cellStyle name="Normalny 44 5" xfId="2315" xr:uid="{00000000-0005-0000-0000-00001D070000}"/>
    <cellStyle name="Normalny 45" xfId="1560" xr:uid="{00000000-0005-0000-0000-00001E070000}"/>
    <cellStyle name="Normalny 45 2" xfId="1561" xr:uid="{00000000-0005-0000-0000-00001F070000}"/>
    <cellStyle name="Normalny 45 2 2" xfId="1562" xr:uid="{00000000-0005-0000-0000-000020070000}"/>
    <cellStyle name="Normalny 45 2 2 2" xfId="2130" xr:uid="{00000000-0005-0000-0000-000021070000}"/>
    <cellStyle name="Normalny 45 2 2 2 2" xfId="2506" xr:uid="{00000000-0005-0000-0000-000022070000}"/>
    <cellStyle name="Normalny 45 2 2 3" xfId="2321" xr:uid="{00000000-0005-0000-0000-000023070000}"/>
    <cellStyle name="Normalny 45 2 3" xfId="2129" xr:uid="{00000000-0005-0000-0000-000024070000}"/>
    <cellStyle name="Normalny 45 2 3 2" xfId="2505" xr:uid="{00000000-0005-0000-0000-000025070000}"/>
    <cellStyle name="Normalny 45 2 4" xfId="2320" xr:uid="{00000000-0005-0000-0000-000026070000}"/>
    <cellStyle name="Normalny 45 3" xfId="1563" xr:uid="{00000000-0005-0000-0000-000027070000}"/>
    <cellStyle name="Normalny 45 3 2" xfId="2131" xr:uid="{00000000-0005-0000-0000-000028070000}"/>
    <cellStyle name="Normalny 45 3 2 2" xfId="2507" xr:uid="{00000000-0005-0000-0000-000029070000}"/>
    <cellStyle name="Normalny 45 3 3" xfId="2322" xr:uid="{00000000-0005-0000-0000-00002A070000}"/>
    <cellStyle name="Normalny 45 4" xfId="2128" xr:uid="{00000000-0005-0000-0000-00002B070000}"/>
    <cellStyle name="Normalny 45 4 2" xfId="2504" xr:uid="{00000000-0005-0000-0000-00002C070000}"/>
    <cellStyle name="Normalny 45 5" xfId="2319" xr:uid="{00000000-0005-0000-0000-00002D070000}"/>
    <cellStyle name="Normalny 46" xfId="1564" xr:uid="{00000000-0005-0000-0000-00002E070000}"/>
    <cellStyle name="Normalny 46 2" xfId="1565" xr:uid="{00000000-0005-0000-0000-00002F070000}"/>
    <cellStyle name="Normalny 46 2 2" xfId="1566" xr:uid="{00000000-0005-0000-0000-000030070000}"/>
    <cellStyle name="Normalny 46 2 2 2" xfId="2134" xr:uid="{00000000-0005-0000-0000-000031070000}"/>
    <cellStyle name="Normalny 46 2 2 2 2" xfId="2510" xr:uid="{00000000-0005-0000-0000-000032070000}"/>
    <cellStyle name="Normalny 46 2 2 3" xfId="2325" xr:uid="{00000000-0005-0000-0000-000033070000}"/>
    <cellStyle name="Normalny 46 2 3" xfId="2133" xr:uid="{00000000-0005-0000-0000-000034070000}"/>
    <cellStyle name="Normalny 46 2 3 2" xfId="2509" xr:uid="{00000000-0005-0000-0000-000035070000}"/>
    <cellStyle name="Normalny 46 2 4" xfId="2324" xr:uid="{00000000-0005-0000-0000-000036070000}"/>
    <cellStyle name="Normalny 46 3" xfId="1567" xr:uid="{00000000-0005-0000-0000-000037070000}"/>
    <cellStyle name="Normalny 46 3 2" xfId="2135" xr:uid="{00000000-0005-0000-0000-000038070000}"/>
    <cellStyle name="Normalny 46 3 2 2" xfId="2511" xr:uid="{00000000-0005-0000-0000-000039070000}"/>
    <cellStyle name="Normalny 46 3 3" xfId="2326" xr:uid="{00000000-0005-0000-0000-00003A070000}"/>
    <cellStyle name="Normalny 46 4" xfId="2132" xr:uid="{00000000-0005-0000-0000-00003B070000}"/>
    <cellStyle name="Normalny 46 4 2" xfId="2508" xr:uid="{00000000-0005-0000-0000-00003C070000}"/>
    <cellStyle name="Normalny 46 5" xfId="2323" xr:uid="{00000000-0005-0000-0000-00003D070000}"/>
    <cellStyle name="Normalny 47" xfId="1568" xr:uid="{00000000-0005-0000-0000-00003E070000}"/>
    <cellStyle name="Normalny 47 2" xfId="1569" xr:uid="{00000000-0005-0000-0000-00003F070000}"/>
    <cellStyle name="Normalny 47 2 2" xfId="1570" xr:uid="{00000000-0005-0000-0000-000040070000}"/>
    <cellStyle name="Normalny 47 2 2 2" xfId="2138" xr:uid="{00000000-0005-0000-0000-000041070000}"/>
    <cellStyle name="Normalny 47 2 2 2 2" xfId="2514" xr:uid="{00000000-0005-0000-0000-000042070000}"/>
    <cellStyle name="Normalny 47 2 2 3" xfId="2329" xr:uid="{00000000-0005-0000-0000-000043070000}"/>
    <cellStyle name="Normalny 47 2 3" xfId="2137" xr:uid="{00000000-0005-0000-0000-000044070000}"/>
    <cellStyle name="Normalny 47 2 3 2" xfId="2513" xr:uid="{00000000-0005-0000-0000-000045070000}"/>
    <cellStyle name="Normalny 47 2 4" xfId="2328" xr:uid="{00000000-0005-0000-0000-000046070000}"/>
    <cellStyle name="Normalny 47 3" xfId="1571" xr:uid="{00000000-0005-0000-0000-000047070000}"/>
    <cellStyle name="Normalny 47 3 2" xfId="2139" xr:uid="{00000000-0005-0000-0000-000048070000}"/>
    <cellStyle name="Normalny 47 3 2 2" xfId="2515" xr:uid="{00000000-0005-0000-0000-000049070000}"/>
    <cellStyle name="Normalny 47 3 3" xfId="2330" xr:uid="{00000000-0005-0000-0000-00004A070000}"/>
    <cellStyle name="Normalny 47 4" xfId="2136" xr:uid="{00000000-0005-0000-0000-00004B070000}"/>
    <cellStyle name="Normalny 47 4 2" xfId="2512" xr:uid="{00000000-0005-0000-0000-00004C070000}"/>
    <cellStyle name="Normalny 47 5" xfId="2327" xr:uid="{00000000-0005-0000-0000-00004D070000}"/>
    <cellStyle name="Normalny 48" xfId="1572" xr:uid="{00000000-0005-0000-0000-00004E070000}"/>
    <cellStyle name="Normalny 48 2" xfId="1573" xr:uid="{00000000-0005-0000-0000-00004F070000}"/>
    <cellStyle name="Normalny 48 2 2" xfId="1574" xr:uid="{00000000-0005-0000-0000-000050070000}"/>
    <cellStyle name="Normalny 48 2 2 2" xfId="2142" xr:uid="{00000000-0005-0000-0000-000051070000}"/>
    <cellStyle name="Normalny 48 2 2 2 2" xfId="2518" xr:uid="{00000000-0005-0000-0000-000052070000}"/>
    <cellStyle name="Normalny 48 2 2 3" xfId="2333" xr:uid="{00000000-0005-0000-0000-000053070000}"/>
    <cellStyle name="Normalny 48 2 3" xfId="2141" xr:uid="{00000000-0005-0000-0000-000054070000}"/>
    <cellStyle name="Normalny 48 2 3 2" xfId="2517" xr:uid="{00000000-0005-0000-0000-000055070000}"/>
    <cellStyle name="Normalny 48 2 4" xfId="2332" xr:uid="{00000000-0005-0000-0000-000056070000}"/>
    <cellStyle name="Normalny 48 3" xfId="1575" xr:uid="{00000000-0005-0000-0000-000057070000}"/>
    <cellStyle name="Normalny 48 3 2" xfId="2143" xr:uid="{00000000-0005-0000-0000-000058070000}"/>
    <cellStyle name="Normalny 48 3 2 2" xfId="2519" xr:uid="{00000000-0005-0000-0000-000059070000}"/>
    <cellStyle name="Normalny 48 3 3" xfId="2334" xr:uid="{00000000-0005-0000-0000-00005A070000}"/>
    <cellStyle name="Normalny 48 4" xfId="2140" xr:uid="{00000000-0005-0000-0000-00005B070000}"/>
    <cellStyle name="Normalny 48 4 2" xfId="2516" xr:uid="{00000000-0005-0000-0000-00005C070000}"/>
    <cellStyle name="Normalny 48 5" xfId="2331" xr:uid="{00000000-0005-0000-0000-00005D070000}"/>
    <cellStyle name="Normalny 49" xfId="1576" xr:uid="{00000000-0005-0000-0000-00005E070000}"/>
    <cellStyle name="Normalny 49 2" xfId="1577" xr:uid="{00000000-0005-0000-0000-00005F070000}"/>
    <cellStyle name="Normalny 49 2 2" xfId="1578" xr:uid="{00000000-0005-0000-0000-000060070000}"/>
    <cellStyle name="Normalny 49 2 2 2" xfId="2146" xr:uid="{00000000-0005-0000-0000-000061070000}"/>
    <cellStyle name="Normalny 49 2 2 2 2" xfId="2522" xr:uid="{00000000-0005-0000-0000-000062070000}"/>
    <cellStyle name="Normalny 49 2 2 3" xfId="2337" xr:uid="{00000000-0005-0000-0000-000063070000}"/>
    <cellStyle name="Normalny 49 2 3" xfId="2145" xr:uid="{00000000-0005-0000-0000-000064070000}"/>
    <cellStyle name="Normalny 49 2 3 2" xfId="2521" xr:uid="{00000000-0005-0000-0000-000065070000}"/>
    <cellStyle name="Normalny 49 2 4" xfId="2336" xr:uid="{00000000-0005-0000-0000-000066070000}"/>
    <cellStyle name="Normalny 49 3" xfId="1579" xr:uid="{00000000-0005-0000-0000-000067070000}"/>
    <cellStyle name="Normalny 49 3 2" xfId="2147" xr:uid="{00000000-0005-0000-0000-000068070000}"/>
    <cellStyle name="Normalny 49 3 2 2" xfId="2523" xr:uid="{00000000-0005-0000-0000-000069070000}"/>
    <cellStyle name="Normalny 49 3 3" xfId="2338" xr:uid="{00000000-0005-0000-0000-00006A070000}"/>
    <cellStyle name="Normalny 49 4" xfId="2144" xr:uid="{00000000-0005-0000-0000-00006B070000}"/>
    <cellStyle name="Normalny 49 4 2" xfId="2520" xr:uid="{00000000-0005-0000-0000-00006C070000}"/>
    <cellStyle name="Normalny 49 5" xfId="2335" xr:uid="{00000000-0005-0000-0000-00006D070000}"/>
    <cellStyle name="Normalny 5" xfId="1580" xr:uid="{00000000-0005-0000-0000-00006E070000}"/>
    <cellStyle name="Normalny 5 2" xfId="1581" xr:uid="{00000000-0005-0000-0000-00006F070000}"/>
    <cellStyle name="Normalny 5 2 2" xfId="2148" xr:uid="{00000000-0005-0000-0000-000070070000}"/>
    <cellStyle name="Normalny 5 2 2 2" xfId="2524" xr:uid="{00000000-0005-0000-0000-000071070000}"/>
    <cellStyle name="Normalny 5 2 3" xfId="2339" xr:uid="{00000000-0005-0000-0000-000072070000}"/>
    <cellStyle name="Normalny 50" xfId="1582" xr:uid="{00000000-0005-0000-0000-000073070000}"/>
    <cellStyle name="Normalny 50 2" xfId="1583" xr:uid="{00000000-0005-0000-0000-000074070000}"/>
    <cellStyle name="Normalny 50 2 2" xfId="1584" xr:uid="{00000000-0005-0000-0000-000075070000}"/>
    <cellStyle name="Normalny 50 2 2 2" xfId="2151" xr:uid="{00000000-0005-0000-0000-000076070000}"/>
    <cellStyle name="Normalny 50 2 2 2 2" xfId="2527" xr:uid="{00000000-0005-0000-0000-000077070000}"/>
    <cellStyle name="Normalny 50 2 2 3" xfId="2342" xr:uid="{00000000-0005-0000-0000-000078070000}"/>
    <cellStyle name="Normalny 50 2 3" xfId="2150" xr:uid="{00000000-0005-0000-0000-000079070000}"/>
    <cellStyle name="Normalny 50 2 3 2" xfId="2526" xr:uid="{00000000-0005-0000-0000-00007A070000}"/>
    <cellStyle name="Normalny 50 2 4" xfId="2341" xr:uid="{00000000-0005-0000-0000-00007B070000}"/>
    <cellStyle name="Normalny 50 3" xfId="1585" xr:uid="{00000000-0005-0000-0000-00007C070000}"/>
    <cellStyle name="Normalny 50 3 2" xfId="2152" xr:uid="{00000000-0005-0000-0000-00007D070000}"/>
    <cellStyle name="Normalny 50 3 2 2" xfId="2528" xr:uid="{00000000-0005-0000-0000-00007E070000}"/>
    <cellStyle name="Normalny 50 3 3" xfId="2343" xr:uid="{00000000-0005-0000-0000-00007F070000}"/>
    <cellStyle name="Normalny 50 4" xfId="2149" xr:uid="{00000000-0005-0000-0000-000080070000}"/>
    <cellStyle name="Normalny 50 4 2" xfId="2525" xr:uid="{00000000-0005-0000-0000-000081070000}"/>
    <cellStyle name="Normalny 50 5" xfId="2340" xr:uid="{00000000-0005-0000-0000-000082070000}"/>
    <cellStyle name="Normalny 51" xfId="1586" xr:uid="{00000000-0005-0000-0000-000083070000}"/>
    <cellStyle name="Normalny 51 2" xfId="1587" xr:uid="{00000000-0005-0000-0000-000084070000}"/>
    <cellStyle name="Normalny 51 2 2" xfId="1588" xr:uid="{00000000-0005-0000-0000-000085070000}"/>
    <cellStyle name="Normalny 51 2 2 2" xfId="2155" xr:uid="{00000000-0005-0000-0000-000086070000}"/>
    <cellStyle name="Normalny 51 2 2 2 2" xfId="2531" xr:uid="{00000000-0005-0000-0000-000087070000}"/>
    <cellStyle name="Normalny 51 2 2 3" xfId="2346" xr:uid="{00000000-0005-0000-0000-000088070000}"/>
    <cellStyle name="Normalny 51 2 3" xfId="2154" xr:uid="{00000000-0005-0000-0000-000089070000}"/>
    <cellStyle name="Normalny 51 2 3 2" xfId="2530" xr:uid="{00000000-0005-0000-0000-00008A070000}"/>
    <cellStyle name="Normalny 51 2 4" xfId="2345" xr:uid="{00000000-0005-0000-0000-00008B070000}"/>
    <cellStyle name="Normalny 51 3" xfId="1589" xr:uid="{00000000-0005-0000-0000-00008C070000}"/>
    <cellStyle name="Normalny 51 3 2" xfId="2156" xr:uid="{00000000-0005-0000-0000-00008D070000}"/>
    <cellStyle name="Normalny 51 3 2 2" xfId="2532" xr:uid="{00000000-0005-0000-0000-00008E070000}"/>
    <cellStyle name="Normalny 51 3 3" xfId="2347" xr:uid="{00000000-0005-0000-0000-00008F070000}"/>
    <cellStyle name="Normalny 51 4" xfId="2153" xr:uid="{00000000-0005-0000-0000-000090070000}"/>
    <cellStyle name="Normalny 51 4 2" xfId="2529" xr:uid="{00000000-0005-0000-0000-000091070000}"/>
    <cellStyle name="Normalny 51 5" xfId="2344" xr:uid="{00000000-0005-0000-0000-000092070000}"/>
    <cellStyle name="Normalny 52" xfId="1590" xr:uid="{00000000-0005-0000-0000-000093070000}"/>
    <cellStyle name="Normalny 52 2" xfId="1591" xr:uid="{00000000-0005-0000-0000-000094070000}"/>
    <cellStyle name="Normalny 52 2 2" xfId="1592" xr:uid="{00000000-0005-0000-0000-000095070000}"/>
    <cellStyle name="Normalny 52 2 2 2" xfId="2159" xr:uid="{00000000-0005-0000-0000-000096070000}"/>
    <cellStyle name="Normalny 52 2 2 2 2" xfId="2535" xr:uid="{00000000-0005-0000-0000-000097070000}"/>
    <cellStyle name="Normalny 52 2 2 3" xfId="2350" xr:uid="{00000000-0005-0000-0000-000098070000}"/>
    <cellStyle name="Normalny 52 2 3" xfId="2158" xr:uid="{00000000-0005-0000-0000-000099070000}"/>
    <cellStyle name="Normalny 52 2 3 2" xfId="2534" xr:uid="{00000000-0005-0000-0000-00009A070000}"/>
    <cellStyle name="Normalny 52 2 4" xfId="2349" xr:uid="{00000000-0005-0000-0000-00009B070000}"/>
    <cellStyle name="Normalny 52 3" xfId="1593" xr:uid="{00000000-0005-0000-0000-00009C070000}"/>
    <cellStyle name="Normalny 52 3 2" xfId="2160" xr:uid="{00000000-0005-0000-0000-00009D070000}"/>
    <cellStyle name="Normalny 52 3 2 2" xfId="2536" xr:uid="{00000000-0005-0000-0000-00009E070000}"/>
    <cellStyle name="Normalny 52 3 3" xfId="2351" xr:uid="{00000000-0005-0000-0000-00009F070000}"/>
    <cellStyle name="Normalny 52 4" xfId="2157" xr:uid="{00000000-0005-0000-0000-0000A0070000}"/>
    <cellStyle name="Normalny 52 4 2" xfId="2533" xr:uid="{00000000-0005-0000-0000-0000A1070000}"/>
    <cellStyle name="Normalny 52 5" xfId="2348" xr:uid="{00000000-0005-0000-0000-0000A2070000}"/>
    <cellStyle name="Normalny 53" xfId="1594" xr:uid="{00000000-0005-0000-0000-0000A3070000}"/>
    <cellStyle name="Normalny 53 2" xfId="1595" xr:uid="{00000000-0005-0000-0000-0000A4070000}"/>
    <cellStyle name="Normalny 53 2 2" xfId="1596" xr:uid="{00000000-0005-0000-0000-0000A5070000}"/>
    <cellStyle name="Normalny 53 2 2 2" xfId="2163" xr:uid="{00000000-0005-0000-0000-0000A6070000}"/>
    <cellStyle name="Normalny 53 2 2 2 2" xfId="2539" xr:uid="{00000000-0005-0000-0000-0000A7070000}"/>
    <cellStyle name="Normalny 53 2 2 3" xfId="2354" xr:uid="{00000000-0005-0000-0000-0000A8070000}"/>
    <cellStyle name="Normalny 53 2 3" xfId="2162" xr:uid="{00000000-0005-0000-0000-0000A9070000}"/>
    <cellStyle name="Normalny 53 2 3 2" xfId="2538" xr:uid="{00000000-0005-0000-0000-0000AA070000}"/>
    <cellStyle name="Normalny 53 2 4" xfId="2353" xr:uid="{00000000-0005-0000-0000-0000AB070000}"/>
    <cellStyle name="Normalny 53 3" xfId="1597" xr:uid="{00000000-0005-0000-0000-0000AC070000}"/>
    <cellStyle name="Normalny 53 3 2" xfId="2164" xr:uid="{00000000-0005-0000-0000-0000AD070000}"/>
    <cellStyle name="Normalny 53 3 2 2" xfId="2540" xr:uid="{00000000-0005-0000-0000-0000AE070000}"/>
    <cellStyle name="Normalny 53 3 3" xfId="2355" xr:uid="{00000000-0005-0000-0000-0000AF070000}"/>
    <cellStyle name="Normalny 53 4" xfId="2161" xr:uid="{00000000-0005-0000-0000-0000B0070000}"/>
    <cellStyle name="Normalny 53 4 2" xfId="2537" xr:uid="{00000000-0005-0000-0000-0000B1070000}"/>
    <cellStyle name="Normalny 53 5" xfId="2352" xr:uid="{00000000-0005-0000-0000-0000B2070000}"/>
    <cellStyle name="Normalny 54" xfId="1598" xr:uid="{00000000-0005-0000-0000-0000B3070000}"/>
    <cellStyle name="Normalny 54 2" xfId="1599" xr:uid="{00000000-0005-0000-0000-0000B4070000}"/>
    <cellStyle name="Normalny 54 2 2" xfId="1600" xr:uid="{00000000-0005-0000-0000-0000B5070000}"/>
    <cellStyle name="Normalny 54 2 2 2" xfId="2166" xr:uid="{00000000-0005-0000-0000-0000B6070000}"/>
    <cellStyle name="Normalny 54 2 2 2 2" xfId="2542" xr:uid="{00000000-0005-0000-0000-0000B7070000}"/>
    <cellStyle name="Normalny 54 2 2 3" xfId="2357" xr:uid="{00000000-0005-0000-0000-0000B8070000}"/>
    <cellStyle name="Normalny 54 2 3" xfId="2165" xr:uid="{00000000-0005-0000-0000-0000B9070000}"/>
    <cellStyle name="Normalny 54 2 3 2" xfId="2541" xr:uid="{00000000-0005-0000-0000-0000BA070000}"/>
    <cellStyle name="Normalny 54 2 4" xfId="2356" xr:uid="{00000000-0005-0000-0000-0000BB070000}"/>
    <cellStyle name="Normalny 55" xfId="1601" xr:uid="{00000000-0005-0000-0000-0000BC070000}"/>
    <cellStyle name="Normalny 55 2" xfId="1602" xr:uid="{00000000-0005-0000-0000-0000BD070000}"/>
    <cellStyle name="Normalny 55 2 2" xfId="1603" xr:uid="{00000000-0005-0000-0000-0000BE070000}"/>
    <cellStyle name="Normalny 55 2 2 2" xfId="2168" xr:uid="{00000000-0005-0000-0000-0000BF070000}"/>
    <cellStyle name="Normalny 55 2 2 2 2" xfId="2544" xr:uid="{00000000-0005-0000-0000-0000C0070000}"/>
    <cellStyle name="Normalny 55 2 2 3" xfId="2359" xr:uid="{00000000-0005-0000-0000-0000C1070000}"/>
    <cellStyle name="Normalny 55 2 3" xfId="2167" xr:uid="{00000000-0005-0000-0000-0000C2070000}"/>
    <cellStyle name="Normalny 55 2 3 2" xfId="2543" xr:uid="{00000000-0005-0000-0000-0000C3070000}"/>
    <cellStyle name="Normalny 55 2 4" xfId="2358" xr:uid="{00000000-0005-0000-0000-0000C4070000}"/>
    <cellStyle name="Normalny 56" xfId="1604" xr:uid="{00000000-0005-0000-0000-0000C5070000}"/>
    <cellStyle name="Normalny 56 2" xfId="1605" xr:uid="{00000000-0005-0000-0000-0000C6070000}"/>
    <cellStyle name="Normalny 56 2 2" xfId="1606" xr:uid="{00000000-0005-0000-0000-0000C7070000}"/>
    <cellStyle name="Normalny 56 2 2 2" xfId="2170" xr:uid="{00000000-0005-0000-0000-0000C8070000}"/>
    <cellStyle name="Normalny 56 2 2 2 2" xfId="2546" xr:uid="{00000000-0005-0000-0000-0000C9070000}"/>
    <cellStyle name="Normalny 56 2 2 3" xfId="2361" xr:uid="{00000000-0005-0000-0000-0000CA070000}"/>
    <cellStyle name="Normalny 56 2 3" xfId="2169" xr:uid="{00000000-0005-0000-0000-0000CB070000}"/>
    <cellStyle name="Normalny 56 2 3 2" xfId="2545" xr:uid="{00000000-0005-0000-0000-0000CC070000}"/>
    <cellStyle name="Normalny 56 2 4" xfId="2360" xr:uid="{00000000-0005-0000-0000-0000CD070000}"/>
    <cellStyle name="Normalny 57" xfId="1607" xr:uid="{00000000-0005-0000-0000-0000CE070000}"/>
    <cellStyle name="Normalny 57 2" xfId="1608" xr:uid="{00000000-0005-0000-0000-0000CF070000}"/>
    <cellStyle name="Normalny 57 2 2" xfId="1609" xr:uid="{00000000-0005-0000-0000-0000D0070000}"/>
    <cellStyle name="Normalny 57 2 2 2" xfId="2173" xr:uid="{00000000-0005-0000-0000-0000D1070000}"/>
    <cellStyle name="Normalny 57 2 2 2 2" xfId="2549" xr:uid="{00000000-0005-0000-0000-0000D2070000}"/>
    <cellStyle name="Normalny 57 2 2 3" xfId="2364" xr:uid="{00000000-0005-0000-0000-0000D3070000}"/>
    <cellStyle name="Normalny 57 2 3" xfId="2172" xr:uid="{00000000-0005-0000-0000-0000D4070000}"/>
    <cellStyle name="Normalny 57 2 3 2" xfId="2548" xr:uid="{00000000-0005-0000-0000-0000D5070000}"/>
    <cellStyle name="Normalny 57 2 4" xfId="2363" xr:uid="{00000000-0005-0000-0000-0000D6070000}"/>
    <cellStyle name="Normalny 57 3" xfId="1610" xr:uid="{00000000-0005-0000-0000-0000D7070000}"/>
    <cellStyle name="Normalny 57 3 2" xfId="2174" xr:uid="{00000000-0005-0000-0000-0000D8070000}"/>
    <cellStyle name="Normalny 57 3 2 2" xfId="2550" xr:uid="{00000000-0005-0000-0000-0000D9070000}"/>
    <cellStyle name="Normalny 57 3 3" xfId="2365" xr:uid="{00000000-0005-0000-0000-0000DA070000}"/>
    <cellStyle name="Normalny 57 4" xfId="2171" xr:uid="{00000000-0005-0000-0000-0000DB070000}"/>
    <cellStyle name="Normalny 57 4 2" xfId="2547" xr:uid="{00000000-0005-0000-0000-0000DC070000}"/>
    <cellStyle name="Normalny 57 5" xfId="2362" xr:uid="{00000000-0005-0000-0000-0000DD070000}"/>
    <cellStyle name="Normalny 58" xfId="1611" xr:uid="{00000000-0005-0000-0000-0000DE070000}"/>
    <cellStyle name="Normalny 58 2" xfId="1612" xr:uid="{00000000-0005-0000-0000-0000DF070000}"/>
    <cellStyle name="Normalny 58 2 2" xfId="1613" xr:uid="{00000000-0005-0000-0000-0000E0070000}"/>
    <cellStyle name="Normalny 58 2 2 2" xfId="2177" xr:uid="{00000000-0005-0000-0000-0000E1070000}"/>
    <cellStyle name="Normalny 58 2 2 2 2" xfId="2553" xr:uid="{00000000-0005-0000-0000-0000E2070000}"/>
    <cellStyle name="Normalny 58 2 2 3" xfId="2368" xr:uid="{00000000-0005-0000-0000-0000E3070000}"/>
    <cellStyle name="Normalny 58 2 3" xfId="2176" xr:uid="{00000000-0005-0000-0000-0000E4070000}"/>
    <cellStyle name="Normalny 58 2 3 2" xfId="2552" xr:uid="{00000000-0005-0000-0000-0000E5070000}"/>
    <cellStyle name="Normalny 58 2 4" xfId="2367" xr:uid="{00000000-0005-0000-0000-0000E6070000}"/>
    <cellStyle name="Normalny 58 3" xfId="1614" xr:uid="{00000000-0005-0000-0000-0000E7070000}"/>
    <cellStyle name="Normalny 58 3 2" xfId="2178" xr:uid="{00000000-0005-0000-0000-0000E8070000}"/>
    <cellStyle name="Normalny 58 3 2 2" xfId="2554" xr:uid="{00000000-0005-0000-0000-0000E9070000}"/>
    <cellStyle name="Normalny 58 3 3" xfId="2369" xr:uid="{00000000-0005-0000-0000-0000EA070000}"/>
    <cellStyle name="Normalny 58 4" xfId="2175" xr:uid="{00000000-0005-0000-0000-0000EB070000}"/>
    <cellStyle name="Normalny 58 4 2" xfId="2551" xr:uid="{00000000-0005-0000-0000-0000EC070000}"/>
    <cellStyle name="Normalny 58 5" xfId="2366" xr:uid="{00000000-0005-0000-0000-0000ED070000}"/>
    <cellStyle name="Normalny 59" xfId="1615" xr:uid="{00000000-0005-0000-0000-0000EE070000}"/>
    <cellStyle name="Normalny 59 2" xfId="1616" xr:uid="{00000000-0005-0000-0000-0000EF070000}"/>
    <cellStyle name="Normalny 59 2 2" xfId="1617" xr:uid="{00000000-0005-0000-0000-0000F0070000}"/>
    <cellStyle name="Normalny 59 2 2 2" xfId="2181" xr:uid="{00000000-0005-0000-0000-0000F1070000}"/>
    <cellStyle name="Normalny 59 2 2 2 2" xfId="2557" xr:uid="{00000000-0005-0000-0000-0000F2070000}"/>
    <cellStyle name="Normalny 59 2 2 3" xfId="2372" xr:uid="{00000000-0005-0000-0000-0000F3070000}"/>
    <cellStyle name="Normalny 59 2 3" xfId="2180" xr:uid="{00000000-0005-0000-0000-0000F4070000}"/>
    <cellStyle name="Normalny 59 2 3 2" xfId="2556" xr:uid="{00000000-0005-0000-0000-0000F5070000}"/>
    <cellStyle name="Normalny 59 2 4" xfId="2371" xr:uid="{00000000-0005-0000-0000-0000F6070000}"/>
    <cellStyle name="Normalny 59 3" xfId="1618" xr:uid="{00000000-0005-0000-0000-0000F7070000}"/>
    <cellStyle name="Normalny 59 3 2" xfId="2182" xr:uid="{00000000-0005-0000-0000-0000F8070000}"/>
    <cellStyle name="Normalny 59 3 2 2" xfId="2558" xr:uid="{00000000-0005-0000-0000-0000F9070000}"/>
    <cellStyle name="Normalny 59 3 3" xfId="2373" xr:uid="{00000000-0005-0000-0000-0000FA070000}"/>
    <cellStyle name="Normalny 59 4" xfId="2179" xr:uid="{00000000-0005-0000-0000-0000FB070000}"/>
    <cellStyle name="Normalny 59 4 2" xfId="2555" xr:uid="{00000000-0005-0000-0000-0000FC070000}"/>
    <cellStyle name="Normalny 59 5" xfId="2370" xr:uid="{00000000-0005-0000-0000-0000FD070000}"/>
    <cellStyle name="Normalny 6" xfId="1619" xr:uid="{00000000-0005-0000-0000-0000FE070000}"/>
    <cellStyle name="Normalny 6 2" xfId="1620" xr:uid="{00000000-0005-0000-0000-0000FF070000}"/>
    <cellStyle name="Normalny 6 2 2" xfId="1621" xr:uid="{00000000-0005-0000-0000-000000080000}"/>
    <cellStyle name="Normalny 6 2 2 2" xfId="2185" xr:uid="{00000000-0005-0000-0000-000001080000}"/>
    <cellStyle name="Normalny 6 2 2 2 2" xfId="2561" xr:uid="{00000000-0005-0000-0000-000002080000}"/>
    <cellStyle name="Normalny 6 2 2 3" xfId="2376" xr:uid="{00000000-0005-0000-0000-000003080000}"/>
    <cellStyle name="Normalny 6 2 3" xfId="2184" xr:uid="{00000000-0005-0000-0000-000004080000}"/>
    <cellStyle name="Normalny 6 2 3 2" xfId="2560" xr:uid="{00000000-0005-0000-0000-000005080000}"/>
    <cellStyle name="Normalny 6 2 4" xfId="2375" xr:uid="{00000000-0005-0000-0000-000006080000}"/>
    <cellStyle name="Normalny 6 3" xfId="1622" xr:uid="{00000000-0005-0000-0000-000007080000}"/>
    <cellStyle name="Normalny 6 3 2" xfId="1623" xr:uid="{00000000-0005-0000-0000-000008080000}"/>
    <cellStyle name="Normalny 6 3 2 2" xfId="2187" xr:uid="{00000000-0005-0000-0000-000009080000}"/>
    <cellStyle name="Normalny 6 3 2 2 2" xfId="2563" xr:uid="{00000000-0005-0000-0000-00000A080000}"/>
    <cellStyle name="Normalny 6 3 2 3" xfId="2378" xr:uid="{00000000-0005-0000-0000-00000B080000}"/>
    <cellStyle name="Normalny 6 3 3" xfId="2186" xr:uid="{00000000-0005-0000-0000-00000C080000}"/>
    <cellStyle name="Normalny 6 3 3 2" xfId="2562" xr:uid="{00000000-0005-0000-0000-00000D080000}"/>
    <cellStyle name="Normalny 6 3 4" xfId="2377" xr:uid="{00000000-0005-0000-0000-00000E080000}"/>
    <cellStyle name="Normalny 6 4" xfId="1624" xr:uid="{00000000-0005-0000-0000-00000F080000}"/>
    <cellStyle name="Normalny 6 4 2" xfId="2188" xr:uid="{00000000-0005-0000-0000-000010080000}"/>
    <cellStyle name="Normalny 6 4 2 2" xfId="2564" xr:uid="{00000000-0005-0000-0000-000011080000}"/>
    <cellStyle name="Normalny 6 4 3" xfId="2379" xr:uid="{00000000-0005-0000-0000-000012080000}"/>
    <cellStyle name="Normalny 6 5" xfId="1625" xr:uid="{00000000-0005-0000-0000-000013080000}"/>
    <cellStyle name="Normalny 6 6" xfId="2183" xr:uid="{00000000-0005-0000-0000-000014080000}"/>
    <cellStyle name="Normalny 6 6 2" xfId="2559" xr:uid="{00000000-0005-0000-0000-000015080000}"/>
    <cellStyle name="Normalny 6 7" xfId="2374" xr:uid="{00000000-0005-0000-0000-000016080000}"/>
    <cellStyle name="Normalny 60" xfId="1626" xr:uid="{00000000-0005-0000-0000-000017080000}"/>
    <cellStyle name="Normalny 60 2" xfId="1627" xr:uid="{00000000-0005-0000-0000-000018080000}"/>
    <cellStyle name="Normalny 60 2 2" xfId="1628" xr:uid="{00000000-0005-0000-0000-000019080000}"/>
    <cellStyle name="Normalny 60 2 2 2" xfId="2191" xr:uid="{00000000-0005-0000-0000-00001A080000}"/>
    <cellStyle name="Normalny 60 2 2 2 2" xfId="2567" xr:uid="{00000000-0005-0000-0000-00001B080000}"/>
    <cellStyle name="Normalny 60 2 2 3" xfId="2382" xr:uid="{00000000-0005-0000-0000-00001C080000}"/>
    <cellStyle name="Normalny 60 2 3" xfId="2190" xr:uid="{00000000-0005-0000-0000-00001D080000}"/>
    <cellStyle name="Normalny 60 2 3 2" xfId="2566" xr:uid="{00000000-0005-0000-0000-00001E080000}"/>
    <cellStyle name="Normalny 60 2 4" xfId="2381" xr:uid="{00000000-0005-0000-0000-00001F080000}"/>
    <cellStyle name="Normalny 60 3" xfId="1629" xr:uid="{00000000-0005-0000-0000-000020080000}"/>
    <cellStyle name="Normalny 60 3 2" xfId="2192" xr:uid="{00000000-0005-0000-0000-000021080000}"/>
    <cellStyle name="Normalny 60 3 2 2" xfId="2568" xr:uid="{00000000-0005-0000-0000-000022080000}"/>
    <cellStyle name="Normalny 60 3 3" xfId="2383" xr:uid="{00000000-0005-0000-0000-000023080000}"/>
    <cellStyle name="Normalny 60 4" xfId="2189" xr:uid="{00000000-0005-0000-0000-000024080000}"/>
    <cellStyle name="Normalny 60 4 2" xfId="2565" xr:uid="{00000000-0005-0000-0000-000025080000}"/>
    <cellStyle name="Normalny 60 5" xfId="2380" xr:uid="{00000000-0005-0000-0000-000026080000}"/>
    <cellStyle name="Normalny 61" xfId="1630" xr:uid="{00000000-0005-0000-0000-000027080000}"/>
    <cellStyle name="Normalny 61 2" xfId="1631" xr:uid="{00000000-0005-0000-0000-000028080000}"/>
    <cellStyle name="Normalny 61 2 2" xfId="2194" xr:uid="{00000000-0005-0000-0000-000029080000}"/>
    <cellStyle name="Normalny 61 2 2 2" xfId="2570" xr:uid="{00000000-0005-0000-0000-00002A080000}"/>
    <cellStyle name="Normalny 61 2 3" xfId="2385" xr:uid="{00000000-0005-0000-0000-00002B080000}"/>
    <cellStyle name="Normalny 61 3" xfId="2193" xr:uid="{00000000-0005-0000-0000-00002C080000}"/>
    <cellStyle name="Normalny 61 3 2" xfId="2569" xr:uid="{00000000-0005-0000-0000-00002D080000}"/>
    <cellStyle name="Normalny 61 4" xfId="2384" xr:uid="{00000000-0005-0000-0000-00002E080000}"/>
    <cellStyle name="Normalny 62" xfId="1632" xr:uid="{00000000-0005-0000-0000-00002F080000}"/>
    <cellStyle name="Normalny 62 2" xfId="1633" xr:uid="{00000000-0005-0000-0000-000030080000}"/>
    <cellStyle name="Normalny 62 2 2" xfId="2196" xr:uid="{00000000-0005-0000-0000-000031080000}"/>
    <cellStyle name="Normalny 62 2 2 2" xfId="2572" xr:uid="{00000000-0005-0000-0000-000032080000}"/>
    <cellStyle name="Normalny 62 2 3" xfId="2387" xr:uid="{00000000-0005-0000-0000-000033080000}"/>
    <cellStyle name="Normalny 62 3" xfId="2195" xr:uid="{00000000-0005-0000-0000-000034080000}"/>
    <cellStyle name="Normalny 62 3 2" xfId="2571" xr:uid="{00000000-0005-0000-0000-000035080000}"/>
    <cellStyle name="Normalny 62 4" xfId="2386" xr:uid="{00000000-0005-0000-0000-000036080000}"/>
    <cellStyle name="Normalny 63" xfId="1634" xr:uid="{00000000-0005-0000-0000-000037080000}"/>
    <cellStyle name="Normalny 63 2" xfId="1635" xr:uid="{00000000-0005-0000-0000-000038080000}"/>
    <cellStyle name="Normalny 63 2 2" xfId="2198" xr:uid="{00000000-0005-0000-0000-000039080000}"/>
    <cellStyle name="Normalny 63 2 2 2" xfId="2574" xr:uid="{00000000-0005-0000-0000-00003A080000}"/>
    <cellStyle name="Normalny 63 2 3" xfId="2389" xr:uid="{00000000-0005-0000-0000-00003B080000}"/>
    <cellStyle name="Normalny 63 3" xfId="2197" xr:uid="{00000000-0005-0000-0000-00003C080000}"/>
    <cellStyle name="Normalny 63 3 2" xfId="2573" xr:uid="{00000000-0005-0000-0000-00003D080000}"/>
    <cellStyle name="Normalny 63 4" xfId="2388" xr:uid="{00000000-0005-0000-0000-00003E080000}"/>
    <cellStyle name="Normalny 64" xfId="1636" xr:uid="{00000000-0005-0000-0000-00003F080000}"/>
    <cellStyle name="Normalny 65" xfId="1637" xr:uid="{00000000-0005-0000-0000-000040080000}"/>
    <cellStyle name="Normalny 65 2" xfId="1638" xr:uid="{00000000-0005-0000-0000-000041080000}"/>
    <cellStyle name="Normalny 65 2 2" xfId="2200" xr:uid="{00000000-0005-0000-0000-000042080000}"/>
    <cellStyle name="Normalny 65 2 2 2" xfId="2576" xr:uid="{00000000-0005-0000-0000-000043080000}"/>
    <cellStyle name="Normalny 65 2 3" xfId="2391" xr:uid="{00000000-0005-0000-0000-000044080000}"/>
    <cellStyle name="Normalny 65 3" xfId="2199" xr:uid="{00000000-0005-0000-0000-000045080000}"/>
    <cellStyle name="Normalny 65 3 2" xfId="2575" xr:uid="{00000000-0005-0000-0000-000046080000}"/>
    <cellStyle name="Normalny 65 4" xfId="2390" xr:uid="{00000000-0005-0000-0000-000047080000}"/>
    <cellStyle name="Normalny 66" xfId="1639" xr:uid="{00000000-0005-0000-0000-000048080000}"/>
    <cellStyle name="Normalny 66 2" xfId="1640" xr:uid="{00000000-0005-0000-0000-000049080000}"/>
    <cellStyle name="Normalny 66 2 2" xfId="2202" xr:uid="{00000000-0005-0000-0000-00004A080000}"/>
    <cellStyle name="Normalny 66 2 2 2" xfId="2578" xr:uid="{00000000-0005-0000-0000-00004B080000}"/>
    <cellStyle name="Normalny 66 2 3" xfId="2393" xr:uid="{00000000-0005-0000-0000-00004C080000}"/>
    <cellStyle name="Normalny 66 3" xfId="2201" xr:uid="{00000000-0005-0000-0000-00004D080000}"/>
    <cellStyle name="Normalny 66 3 2" xfId="2577" xr:uid="{00000000-0005-0000-0000-00004E080000}"/>
    <cellStyle name="Normalny 66 4" xfId="2392" xr:uid="{00000000-0005-0000-0000-00004F080000}"/>
    <cellStyle name="Normalny 67" xfId="1641" xr:uid="{00000000-0005-0000-0000-000050080000}"/>
    <cellStyle name="Normalny 67 2" xfId="1642" xr:uid="{00000000-0005-0000-0000-000051080000}"/>
    <cellStyle name="Normalny 67 2 2" xfId="2204" xr:uid="{00000000-0005-0000-0000-000052080000}"/>
    <cellStyle name="Normalny 67 2 2 2" xfId="2580" xr:uid="{00000000-0005-0000-0000-000053080000}"/>
    <cellStyle name="Normalny 67 2 3" xfId="2395" xr:uid="{00000000-0005-0000-0000-000054080000}"/>
    <cellStyle name="Normalny 67 3" xfId="2203" xr:uid="{00000000-0005-0000-0000-000055080000}"/>
    <cellStyle name="Normalny 67 3 2" xfId="2579" xr:uid="{00000000-0005-0000-0000-000056080000}"/>
    <cellStyle name="Normalny 67 4" xfId="2394" xr:uid="{00000000-0005-0000-0000-000057080000}"/>
    <cellStyle name="Normalny 68" xfId="1643" xr:uid="{00000000-0005-0000-0000-000058080000}"/>
    <cellStyle name="Normalny 68 2" xfId="1644" xr:uid="{00000000-0005-0000-0000-000059080000}"/>
    <cellStyle name="Normalny 68 2 2" xfId="2206" xr:uid="{00000000-0005-0000-0000-00005A080000}"/>
    <cellStyle name="Normalny 68 2 2 2" xfId="2582" xr:uid="{00000000-0005-0000-0000-00005B080000}"/>
    <cellStyle name="Normalny 68 2 3" xfId="2397" xr:uid="{00000000-0005-0000-0000-00005C080000}"/>
    <cellStyle name="Normalny 68 3" xfId="2205" xr:uid="{00000000-0005-0000-0000-00005D080000}"/>
    <cellStyle name="Normalny 68 3 2" xfId="2581" xr:uid="{00000000-0005-0000-0000-00005E080000}"/>
    <cellStyle name="Normalny 68 4" xfId="2396" xr:uid="{00000000-0005-0000-0000-00005F080000}"/>
    <cellStyle name="Normalny 69" xfId="1645" xr:uid="{00000000-0005-0000-0000-000060080000}"/>
    <cellStyle name="Normalny 69 2" xfId="1646" xr:uid="{00000000-0005-0000-0000-000061080000}"/>
    <cellStyle name="Normalny 69 2 2" xfId="2208" xr:uid="{00000000-0005-0000-0000-000062080000}"/>
    <cellStyle name="Normalny 69 2 2 2" xfId="2584" xr:uid="{00000000-0005-0000-0000-000063080000}"/>
    <cellStyle name="Normalny 69 2 3" xfId="2399" xr:uid="{00000000-0005-0000-0000-000064080000}"/>
    <cellStyle name="Normalny 69 3" xfId="2207" xr:uid="{00000000-0005-0000-0000-000065080000}"/>
    <cellStyle name="Normalny 69 3 2" xfId="2583" xr:uid="{00000000-0005-0000-0000-000066080000}"/>
    <cellStyle name="Normalny 69 4" xfId="2398" xr:uid="{00000000-0005-0000-0000-000067080000}"/>
    <cellStyle name="Normalny 7" xfId="1647" xr:uid="{00000000-0005-0000-0000-000068080000}"/>
    <cellStyle name="Normalny 7 10" xfId="1648" xr:uid="{00000000-0005-0000-0000-000069080000}"/>
    <cellStyle name="Normalny 7 2" xfId="1649" xr:uid="{00000000-0005-0000-0000-00006A080000}"/>
    <cellStyle name="Normalny 7 2 2" xfId="1650" xr:uid="{00000000-0005-0000-0000-00006B080000}"/>
    <cellStyle name="Normalny 7 2 2 2" xfId="1651" xr:uid="{00000000-0005-0000-0000-00006C080000}"/>
    <cellStyle name="Normalny 7 2 2 2 2" xfId="1652" xr:uid="{00000000-0005-0000-0000-00006D080000}"/>
    <cellStyle name="Normalny 7 2 2 2 2 2" xfId="1653" xr:uid="{00000000-0005-0000-0000-00006E080000}"/>
    <cellStyle name="Normalny 7 2 2 2 2 2 2" xfId="1654" xr:uid="{00000000-0005-0000-0000-00006F080000}"/>
    <cellStyle name="Normalny 7 2 2 2 2 2 2 2" xfId="1655" xr:uid="{00000000-0005-0000-0000-000070080000}"/>
    <cellStyle name="Normalny 7 2 2 2 2 2 3" xfId="1656" xr:uid="{00000000-0005-0000-0000-000071080000}"/>
    <cellStyle name="Normalny 7 2 2 2 2 2_RPP" xfId="1657" xr:uid="{00000000-0005-0000-0000-000072080000}"/>
    <cellStyle name="Normalny 7 2 2 2 2 3" xfId="1658" xr:uid="{00000000-0005-0000-0000-000073080000}"/>
    <cellStyle name="Normalny 7 2 2 2 2 3 2" xfId="1659" xr:uid="{00000000-0005-0000-0000-000074080000}"/>
    <cellStyle name="Normalny 7 2 2 2 2 4" xfId="1660" xr:uid="{00000000-0005-0000-0000-000075080000}"/>
    <cellStyle name="Normalny 7 2 2 2 2_RPP" xfId="1661" xr:uid="{00000000-0005-0000-0000-000076080000}"/>
    <cellStyle name="Normalny 7 2 2 2 3" xfId="1662" xr:uid="{00000000-0005-0000-0000-000077080000}"/>
    <cellStyle name="Normalny 7 2 2 2 3 2" xfId="1663" xr:uid="{00000000-0005-0000-0000-000078080000}"/>
    <cellStyle name="Normalny 7 2 2 2 3 2 2" xfId="1664" xr:uid="{00000000-0005-0000-0000-000079080000}"/>
    <cellStyle name="Normalny 7 2 2 2 3 3" xfId="1665" xr:uid="{00000000-0005-0000-0000-00007A080000}"/>
    <cellStyle name="Normalny 7 2 2 2 3_RPP" xfId="1666" xr:uid="{00000000-0005-0000-0000-00007B080000}"/>
    <cellStyle name="Normalny 7 2 2 2 4" xfId="1667" xr:uid="{00000000-0005-0000-0000-00007C080000}"/>
    <cellStyle name="Normalny 7 2 2 2 4 2" xfId="1668" xr:uid="{00000000-0005-0000-0000-00007D080000}"/>
    <cellStyle name="Normalny 7 2 2 2 5" xfId="1669" xr:uid="{00000000-0005-0000-0000-00007E080000}"/>
    <cellStyle name="Normalny 7 2 2 2_RPP" xfId="1670" xr:uid="{00000000-0005-0000-0000-00007F080000}"/>
    <cellStyle name="Normalny 7 2 2 3" xfId="1671" xr:uid="{00000000-0005-0000-0000-000080080000}"/>
    <cellStyle name="Normalny 7 2 2 3 2" xfId="1672" xr:uid="{00000000-0005-0000-0000-000081080000}"/>
    <cellStyle name="Normalny 7 2 2 3 2 2" xfId="1673" xr:uid="{00000000-0005-0000-0000-000082080000}"/>
    <cellStyle name="Normalny 7 2 2 3 2 2 2" xfId="1674" xr:uid="{00000000-0005-0000-0000-000083080000}"/>
    <cellStyle name="Normalny 7 2 2 3 2 2 2 2" xfId="1675" xr:uid="{00000000-0005-0000-0000-000084080000}"/>
    <cellStyle name="Normalny 7 2 2 3 2 2 3" xfId="1676" xr:uid="{00000000-0005-0000-0000-000085080000}"/>
    <cellStyle name="Normalny 7 2 2 3 2 2_RPP" xfId="1677" xr:uid="{00000000-0005-0000-0000-000086080000}"/>
    <cellStyle name="Normalny 7 2 2 3 2 3" xfId="1678" xr:uid="{00000000-0005-0000-0000-000087080000}"/>
    <cellStyle name="Normalny 7 2 2 3 2 3 2" xfId="1679" xr:uid="{00000000-0005-0000-0000-000088080000}"/>
    <cellStyle name="Normalny 7 2 2 3 2 4" xfId="1680" xr:uid="{00000000-0005-0000-0000-000089080000}"/>
    <cellStyle name="Normalny 7 2 2 3 2_RPP" xfId="1681" xr:uid="{00000000-0005-0000-0000-00008A080000}"/>
    <cellStyle name="Normalny 7 2 2 3 3" xfId="1682" xr:uid="{00000000-0005-0000-0000-00008B080000}"/>
    <cellStyle name="Normalny 7 2 2 3 3 2" xfId="1683" xr:uid="{00000000-0005-0000-0000-00008C080000}"/>
    <cellStyle name="Normalny 7 2 2 3 3 2 2" xfId="1684" xr:uid="{00000000-0005-0000-0000-00008D080000}"/>
    <cellStyle name="Normalny 7 2 2 3 3 3" xfId="1685" xr:uid="{00000000-0005-0000-0000-00008E080000}"/>
    <cellStyle name="Normalny 7 2 2 3 3_RPP" xfId="1686" xr:uid="{00000000-0005-0000-0000-00008F080000}"/>
    <cellStyle name="Normalny 7 2 2 3 4" xfId="1687" xr:uid="{00000000-0005-0000-0000-000090080000}"/>
    <cellStyle name="Normalny 7 2 2 3 4 2" xfId="1688" xr:uid="{00000000-0005-0000-0000-000091080000}"/>
    <cellStyle name="Normalny 7 2 2 3 5" xfId="1689" xr:uid="{00000000-0005-0000-0000-000092080000}"/>
    <cellStyle name="Normalny 7 2 2 3_RPP" xfId="1690" xr:uid="{00000000-0005-0000-0000-000093080000}"/>
    <cellStyle name="Normalny 7 2 2 4" xfId="1691" xr:uid="{00000000-0005-0000-0000-000094080000}"/>
    <cellStyle name="Normalny 7 2 2 4 2" xfId="1692" xr:uid="{00000000-0005-0000-0000-000095080000}"/>
    <cellStyle name="Normalny 7 2 2 4 2 2" xfId="1693" xr:uid="{00000000-0005-0000-0000-000096080000}"/>
    <cellStyle name="Normalny 7 2 2 4 2 2 2" xfId="1694" xr:uid="{00000000-0005-0000-0000-000097080000}"/>
    <cellStyle name="Normalny 7 2 2 4 2 3" xfId="1695" xr:uid="{00000000-0005-0000-0000-000098080000}"/>
    <cellStyle name="Normalny 7 2 2 4 2_RPP" xfId="1696" xr:uid="{00000000-0005-0000-0000-000099080000}"/>
    <cellStyle name="Normalny 7 2 2 4 3" xfId="1697" xr:uid="{00000000-0005-0000-0000-00009A080000}"/>
    <cellStyle name="Normalny 7 2 2 4 3 2" xfId="1698" xr:uid="{00000000-0005-0000-0000-00009B080000}"/>
    <cellStyle name="Normalny 7 2 2 4 4" xfId="1699" xr:uid="{00000000-0005-0000-0000-00009C080000}"/>
    <cellStyle name="Normalny 7 2 2 4_RPP" xfId="1700" xr:uid="{00000000-0005-0000-0000-00009D080000}"/>
    <cellStyle name="Normalny 7 2 2 5" xfId="1701" xr:uid="{00000000-0005-0000-0000-00009E080000}"/>
    <cellStyle name="Normalny 7 2 2 5 2" xfId="1702" xr:uid="{00000000-0005-0000-0000-00009F080000}"/>
    <cellStyle name="Normalny 7 2 2 5 2 2" xfId="1703" xr:uid="{00000000-0005-0000-0000-0000A0080000}"/>
    <cellStyle name="Normalny 7 2 2 5 3" xfId="1704" xr:uid="{00000000-0005-0000-0000-0000A1080000}"/>
    <cellStyle name="Normalny 7 2 2 5_RPP" xfId="1705" xr:uid="{00000000-0005-0000-0000-0000A2080000}"/>
    <cellStyle name="Normalny 7 2 2 6" xfId="1706" xr:uid="{00000000-0005-0000-0000-0000A3080000}"/>
    <cellStyle name="Normalny 7 2 2 6 2" xfId="1707" xr:uid="{00000000-0005-0000-0000-0000A4080000}"/>
    <cellStyle name="Normalny 7 2 2 7" xfId="1708" xr:uid="{00000000-0005-0000-0000-0000A5080000}"/>
    <cellStyle name="Normalny 7 2 2_RPP" xfId="1709" xr:uid="{00000000-0005-0000-0000-0000A6080000}"/>
    <cellStyle name="Normalny 7 2 3" xfId="1710" xr:uid="{00000000-0005-0000-0000-0000A7080000}"/>
    <cellStyle name="Normalny 7 2 3 2" xfId="1711" xr:uid="{00000000-0005-0000-0000-0000A8080000}"/>
    <cellStyle name="Normalny 7 2 3 2 2" xfId="1712" xr:uid="{00000000-0005-0000-0000-0000A9080000}"/>
    <cellStyle name="Normalny 7 2 3 2 2 2" xfId="1713" xr:uid="{00000000-0005-0000-0000-0000AA080000}"/>
    <cellStyle name="Normalny 7 2 3 2 2 2 2" xfId="1714" xr:uid="{00000000-0005-0000-0000-0000AB080000}"/>
    <cellStyle name="Normalny 7 2 3 2 2 3" xfId="1715" xr:uid="{00000000-0005-0000-0000-0000AC080000}"/>
    <cellStyle name="Normalny 7 2 3 2 2_RPP" xfId="1716" xr:uid="{00000000-0005-0000-0000-0000AD080000}"/>
    <cellStyle name="Normalny 7 2 3 2 3" xfId="1717" xr:uid="{00000000-0005-0000-0000-0000AE080000}"/>
    <cellStyle name="Normalny 7 2 3 2 3 2" xfId="1718" xr:uid="{00000000-0005-0000-0000-0000AF080000}"/>
    <cellStyle name="Normalny 7 2 3 2 4" xfId="1719" xr:uid="{00000000-0005-0000-0000-0000B0080000}"/>
    <cellStyle name="Normalny 7 2 3 2_RPP" xfId="1720" xr:uid="{00000000-0005-0000-0000-0000B1080000}"/>
    <cellStyle name="Normalny 7 2 3 3" xfId="1721" xr:uid="{00000000-0005-0000-0000-0000B2080000}"/>
    <cellStyle name="Normalny 7 2 3 3 2" xfId="1722" xr:uid="{00000000-0005-0000-0000-0000B3080000}"/>
    <cellStyle name="Normalny 7 2 3 3 2 2" xfId="1723" xr:uid="{00000000-0005-0000-0000-0000B4080000}"/>
    <cellStyle name="Normalny 7 2 3 3 3" xfId="1724" xr:uid="{00000000-0005-0000-0000-0000B5080000}"/>
    <cellStyle name="Normalny 7 2 3 3_RPP" xfId="1725" xr:uid="{00000000-0005-0000-0000-0000B6080000}"/>
    <cellStyle name="Normalny 7 2 3 4" xfId="1726" xr:uid="{00000000-0005-0000-0000-0000B7080000}"/>
    <cellStyle name="Normalny 7 2 3 4 2" xfId="1727" xr:uid="{00000000-0005-0000-0000-0000B8080000}"/>
    <cellStyle name="Normalny 7 2 3 5" xfId="1728" xr:uid="{00000000-0005-0000-0000-0000B9080000}"/>
    <cellStyle name="Normalny 7 2 3_RPP" xfId="1729" xr:uid="{00000000-0005-0000-0000-0000BA080000}"/>
    <cellStyle name="Normalny 7 2 4" xfId="1730" xr:uid="{00000000-0005-0000-0000-0000BB080000}"/>
    <cellStyle name="Normalny 7 2 4 2" xfId="1731" xr:uid="{00000000-0005-0000-0000-0000BC080000}"/>
    <cellStyle name="Normalny 7 2 4 2 2" xfId="1732" xr:uid="{00000000-0005-0000-0000-0000BD080000}"/>
    <cellStyle name="Normalny 7 2 4 2 2 2" xfId="1733" xr:uid="{00000000-0005-0000-0000-0000BE080000}"/>
    <cellStyle name="Normalny 7 2 4 2 2 2 2" xfId="1734" xr:uid="{00000000-0005-0000-0000-0000BF080000}"/>
    <cellStyle name="Normalny 7 2 4 2 2 3" xfId="1735" xr:uid="{00000000-0005-0000-0000-0000C0080000}"/>
    <cellStyle name="Normalny 7 2 4 2 2_RPP" xfId="1736" xr:uid="{00000000-0005-0000-0000-0000C1080000}"/>
    <cellStyle name="Normalny 7 2 4 2 3" xfId="1737" xr:uid="{00000000-0005-0000-0000-0000C2080000}"/>
    <cellStyle name="Normalny 7 2 4 2 3 2" xfId="1738" xr:uid="{00000000-0005-0000-0000-0000C3080000}"/>
    <cellStyle name="Normalny 7 2 4 2 4" xfId="1739" xr:uid="{00000000-0005-0000-0000-0000C4080000}"/>
    <cellStyle name="Normalny 7 2 4 2_RPP" xfId="1740" xr:uid="{00000000-0005-0000-0000-0000C5080000}"/>
    <cellStyle name="Normalny 7 2 4 3" xfId="1741" xr:uid="{00000000-0005-0000-0000-0000C6080000}"/>
    <cellStyle name="Normalny 7 2 4 3 2" xfId="1742" xr:uid="{00000000-0005-0000-0000-0000C7080000}"/>
    <cellStyle name="Normalny 7 2 4 3 2 2" xfId="1743" xr:uid="{00000000-0005-0000-0000-0000C8080000}"/>
    <cellStyle name="Normalny 7 2 4 3 3" xfId="1744" xr:uid="{00000000-0005-0000-0000-0000C9080000}"/>
    <cellStyle name="Normalny 7 2 4 3_RPP" xfId="1745" xr:uid="{00000000-0005-0000-0000-0000CA080000}"/>
    <cellStyle name="Normalny 7 2 4 4" xfId="1746" xr:uid="{00000000-0005-0000-0000-0000CB080000}"/>
    <cellStyle name="Normalny 7 2 4 4 2" xfId="1747" xr:uid="{00000000-0005-0000-0000-0000CC080000}"/>
    <cellStyle name="Normalny 7 2 4 5" xfId="1748" xr:uid="{00000000-0005-0000-0000-0000CD080000}"/>
    <cellStyle name="Normalny 7 2 4_RPP" xfId="1749" xr:uid="{00000000-0005-0000-0000-0000CE080000}"/>
    <cellStyle name="Normalny 7 2 5" xfId="1750" xr:uid="{00000000-0005-0000-0000-0000CF080000}"/>
    <cellStyle name="Normalny 7 2 5 2" xfId="1751" xr:uid="{00000000-0005-0000-0000-0000D0080000}"/>
    <cellStyle name="Normalny 7 2 5 2 2" xfId="1752" xr:uid="{00000000-0005-0000-0000-0000D1080000}"/>
    <cellStyle name="Normalny 7 2 5 2 2 2" xfId="1753" xr:uid="{00000000-0005-0000-0000-0000D2080000}"/>
    <cellStyle name="Normalny 7 2 5 2 3" xfId="1754" xr:uid="{00000000-0005-0000-0000-0000D3080000}"/>
    <cellStyle name="Normalny 7 2 5 2_RPP" xfId="1755" xr:uid="{00000000-0005-0000-0000-0000D4080000}"/>
    <cellStyle name="Normalny 7 2 5 3" xfId="1756" xr:uid="{00000000-0005-0000-0000-0000D5080000}"/>
    <cellStyle name="Normalny 7 2 5 3 2" xfId="1757" xr:uid="{00000000-0005-0000-0000-0000D6080000}"/>
    <cellStyle name="Normalny 7 2 5 4" xfId="1758" xr:uid="{00000000-0005-0000-0000-0000D7080000}"/>
    <cellStyle name="Normalny 7 2 5_RPP" xfId="1759" xr:uid="{00000000-0005-0000-0000-0000D8080000}"/>
    <cellStyle name="Normalny 7 2 6" xfId="1760" xr:uid="{00000000-0005-0000-0000-0000D9080000}"/>
    <cellStyle name="Normalny 7 2 6 2" xfId="1761" xr:uid="{00000000-0005-0000-0000-0000DA080000}"/>
    <cellStyle name="Normalny 7 2 6 2 2" xfId="1762" xr:uid="{00000000-0005-0000-0000-0000DB080000}"/>
    <cellStyle name="Normalny 7 2 6 3" xfId="1763" xr:uid="{00000000-0005-0000-0000-0000DC080000}"/>
    <cellStyle name="Normalny 7 2 6_RPP" xfId="1764" xr:uid="{00000000-0005-0000-0000-0000DD080000}"/>
    <cellStyle name="Normalny 7 2 7" xfId="1765" xr:uid="{00000000-0005-0000-0000-0000DE080000}"/>
    <cellStyle name="Normalny 7 2 7 2" xfId="1766" xr:uid="{00000000-0005-0000-0000-0000DF080000}"/>
    <cellStyle name="Normalny 7 2 8" xfId="1767" xr:uid="{00000000-0005-0000-0000-0000E0080000}"/>
    <cellStyle name="Normalny 7 2_RPP" xfId="1768" xr:uid="{00000000-0005-0000-0000-0000E1080000}"/>
    <cellStyle name="Normalny 7 3" xfId="1769" xr:uid="{00000000-0005-0000-0000-0000E2080000}"/>
    <cellStyle name="Normalny 7 3 2" xfId="1770" xr:uid="{00000000-0005-0000-0000-0000E3080000}"/>
    <cellStyle name="Normalny 7 3 2 2" xfId="1771" xr:uid="{00000000-0005-0000-0000-0000E4080000}"/>
    <cellStyle name="Normalny 7 3 2 2 2" xfId="1772" xr:uid="{00000000-0005-0000-0000-0000E5080000}"/>
    <cellStyle name="Normalny 7 3 2 2 2 2" xfId="1773" xr:uid="{00000000-0005-0000-0000-0000E6080000}"/>
    <cellStyle name="Normalny 7 3 2 2 2 2 2" xfId="1774" xr:uid="{00000000-0005-0000-0000-0000E7080000}"/>
    <cellStyle name="Normalny 7 3 2 2 2 3" xfId="1775" xr:uid="{00000000-0005-0000-0000-0000E8080000}"/>
    <cellStyle name="Normalny 7 3 2 2 2_RPP" xfId="1776" xr:uid="{00000000-0005-0000-0000-0000E9080000}"/>
    <cellStyle name="Normalny 7 3 2 2 3" xfId="1777" xr:uid="{00000000-0005-0000-0000-0000EA080000}"/>
    <cellStyle name="Normalny 7 3 2 2 3 2" xfId="1778" xr:uid="{00000000-0005-0000-0000-0000EB080000}"/>
    <cellStyle name="Normalny 7 3 2 2 4" xfId="1779" xr:uid="{00000000-0005-0000-0000-0000EC080000}"/>
    <cellStyle name="Normalny 7 3 2 2_RPP" xfId="1780" xr:uid="{00000000-0005-0000-0000-0000ED080000}"/>
    <cellStyle name="Normalny 7 3 2 3" xfId="1781" xr:uid="{00000000-0005-0000-0000-0000EE080000}"/>
    <cellStyle name="Normalny 7 3 2 3 2" xfId="1782" xr:uid="{00000000-0005-0000-0000-0000EF080000}"/>
    <cellStyle name="Normalny 7 3 2 3 2 2" xfId="1783" xr:uid="{00000000-0005-0000-0000-0000F0080000}"/>
    <cellStyle name="Normalny 7 3 2 3 3" xfId="1784" xr:uid="{00000000-0005-0000-0000-0000F1080000}"/>
    <cellStyle name="Normalny 7 3 2 3_RPP" xfId="1785" xr:uid="{00000000-0005-0000-0000-0000F2080000}"/>
    <cellStyle name="Normalny 7 3 2 4" xfId="1786" xr:uid="{00000000-0005-0000-0000-0000F3080000}"/>
    <cellStyle name="Normalny 7 3 2 4 2" xfId="1787" xr:uid="{00000000-0005-0000-0000-0000F4080000}"/>
    <cellStyle name="Normalny 7 3 2 5" xfId="1788" xr:uid="{00000000-0005-0000-0000-0000F5080000}"/>
    <cellStyle name="Normalny 7 3 2_RPP" xfId="1789" xr:uid="{00000000-0005-0000-0000-0000F6080000}"/>
    <cellStyle name="Normalny 7 3 3" xfId="1790" xr:uid="{00000000-0005-0000-0000-0000F7080000}"/>
    <cellStyle name="Normalny 7 3 3 2" xfId="1791" xr:uid="{00000000-0005-0000-0000-0000F8080000}"/>
    <cellStyle name="Normalny 7 3 3 2 2" xfId="1792" xr:uid="{00000000-0005-0000-0000-0000F9080000}"/>
    <cellStyle name="Normalny 7 3 3 2 2 2" xfId="1793" xr:uid="{00000000-0005-0000-0000-0000FA080000}"/>
    <cellStyle name="Normalny 7 3 3 2 2 2 2" xfId="1794" xr:uid="{00000000-0005-0000-0000-0000FB080000}"/>
    <cellStyle name="Normalny 7 3 3 2 2 3" xfId="1795" xr:uid="{00000000-0005-0000-0000-0000FC080000}"/>
    <cellStyle name="Normalny 7 3 3 2 2_RPP" xfId="1796" xr:uid="{00000000-0005-0000-0000-0000FD080000}"/>
    <cellStyle name="Normalny 7 3 3 2 3" xfId="1797" xr:uid="{00000000-0005-0000-0000-0000FE080000}"/>
    <cellStyle name="Normalny 7 3 3 2 3 2" xfId="1798" xr:uid="{00000000-0005-0000-0000-0000FF080000}"/>
    <cellStyle name="Normalny 7 3 3 2 4" xfId="1799" xr:uid="{00000000-0005-0000-0000-000000090000}"/>
    <cellStyle name="Normalny 7 3 3 2_RPP" xfId="1800" xr:uid="{00000000-0005-0000-0000-000001090000}"/>
    <cellStyle name="Normalny 7 3 3 3" xfId="1801" xr:uid="{00000000-0005-0000-0000-000002090000}"/>
    <cellStyle name="Normalny 7 3 3 3 2" xfId="1802" xr:uid="{00000000-0005-0000-0000-000003090000}"/>
    <cellStyle name="Normalny 7 3 3 3 2 2" xfId="1803" xr:uid="{00000000-0005-0000-0000-000004090000}"/>
    <cellStyle name="Normalny 7 3 3 3 3" xfId="1804" xr:uid="{00000000-0005-0000-0000-000005090000}"/>
    <cellStyle name="Normalny 7 3 3 3_RPP" xfId="1805" xr:uid="{00000000-0005-0000-0000-000006090000}"/>
    <cellStyle name="Normalny 7 3 3 4" xfId="1806" xr:uid="{00000000-0005-0000-0000-000007090000}"/>
    <cellStyle name="Normalny 7 3 3 4 2" xfId="1807" xr:uid="{00000000-0005-0000-0000-000008090000}"/>
    <cellStyle name="Normalny 7 3 3 5" xfId="1808" xr:uid="{00000000-0005-0000-0000-000009090000}"/>
    <cellStyle name="Normalny 7 3 3_RPP" xfId="1809" xr:uid="{00000000-0005-0000-0000-00000A090000}"/>
    <cellStyle name="Normalny 7 3 4" xfId="1810" xr:uid="{00000000-0005-0000-0000-00000B090000}"/>
    <cellStyle name="Normalny 7 3 4 2" xfId="1811" xr:uid="{00000000-0005-0000-0000-00000C090000}"/>
    <cellStyle name="Normalny 7 3 4 2 2" xfId="1812" xr:uid="{00000000-0005-0000-0000-00000D090000}"/>
    <cellStyle name="Normalny 7 3 4 2 2 2" xfId="1813" xr:uid="{00000000-0005-0000-0000-00000E090000}"/>
    <cellStyle name="Normalny 7 3 4 2 3" xfId="1814" xr:uid="{00000000-0005-0000-0000-00000F090000}"/>
    <cellStyle name="Normalny 7 3 4 2_RPP" xfId="1815" xr:uid="{00000000-0005-0000-0000-000010090000}"/>
    <cellStyle name="Normalny 7 3 4 3" xfId="1816" xr:uid="{00000000-0005-0000-0000-000011090000}"/>
    <cellStyle name="Normalny 7 3 4 3 2" xfId="1817" xr:uid="{00000000-0005-0000-0000-000012090000}"/>
    <cellStyle name="Normalny 7 3 4 4" xfId="1818" xr:uid="{00000000-0005-0000-0000-000013090000}"/>
    <cellStyle name="Normalny 7 3 4_RPP" xfId="1819" xr:uid="{00000000-0005-0000-0000-000014090000}"/>
    <cellStyle name="Normalny 7 3 5" xfId="1820" xr:uid="{00000000-0005-0000-0000-000015090000}"/>
    <cellStyle name="Normalny 7 3 5 2" xfId="1821" xr:uid="{00000000-0005-0000-0000-000016090000}"/>
    <cellStyle name="Normalny 7 3 5 2 2" xfId="1822" xr:uid="{00000000-0005-0000-0000-000017090000}"/>
    <cellStyle name="Normalny 7 3 5 3" xfId="1823" xr:uid="{00000000-0005-0000-0000-000018090000}"/>
    <cellStyle name="Normalny 7 3 5_RPP" xfId="1824" xr:uid="{00000000-0005-0000-0000-000019090000}"/>
    <cellStyle name="Normalny 7 3 6" xfId="1825" xr:uid="{00000000-0005-0000-0000-00001A090000}"/>
    <cellStyle name="Normalny 7 3 6 2" xfId="1826" xr:uid="{00000000-0005-0000-0000-00001B090000}"/>
    <cellStyle name="Normalny 7 3 7" xfId="1827" xr:uid="{00000000-0005-0000-0000-00001C090000}"/>
    <cellStyle name="Normalny 7 3_RPP" xfId="1828" xr:uid="{00000000-0005-0000-0000-00001D090000}"/>
    <cellStyle name="Normalny 7 4" xfId="1829" xr:uid="{00000000-0005-0000-0000-00001E090000}"/>
    <cellStyle name="Normalny 7 4 2" xfId="1830" xr:uid="{00000000-0005-0000-0000-00001F090000}"/>
    <cellStyle name="Normalny 7 4 2 2" xfId="1831" xr:uid="{00000000-0005-0000-0000-000020090000}"/>
    <cellStyle name="Normalny 7 4 2 2 2" xfId="1832" xr:uid="{00000000-0005-0000-0000-000021090000}"/>
    <cellStyle name="Normalny 7 4 2 2 2 2" xfId="1833" xr:uid="{00000000-0005-0000-0000-000022090000}"/>
    <cellStyle name="Normalny 7 4 2 2 3" xfId="1834" xr:uid="{00000000-0005-0000-0000-000023090000}"/>
    <cellStyle name="Normalny 7 4 2 2_RPP" xfId="1835" xr:uid="{00000000-0005-0000-0000-000024090000}"/>
    <cellStyle name="Normalny 7 4 2 3" xfId="1836" xr:uid="{00000000-0005-0000-0000-000025090000}"/>
    <cellStyle name="Normalny 7 4 2 3 2" xfId="1837" xr:uid="{00000000-0005-0000-0000-000026090000}"/>
    <cellStyle name="Normalny 7 4 2 4" xfId="1838" xr:uid="{00000000-0005-0000-0000-000027090000}"/>
    <cellStyle name="Normalny 7 4 2_RPP" xfId="1839" xr:uid="{00000000-0005-0000-0000-000028090000}"/>
    <cellStyle name="Normalny 7 4 3" xfId="1840" xr:uid="{00000000-0005-0000-0000-000029090000}"/>
    <cellStyle name="Normalny 7 4 3 2" xfId="1841" xr:uid="{00000000-0005-0000-0000-00002A090000}"/>
    <cellStyle name="Normalny 7 4 3 2 2" xfId="1842" xr:uid="{00000000-0005-0000-0000-00002B090000}"/>
    <cellStyle name="Normalny 7 4 3 3" xfId="1843" xr:uid="{00000000-0005-0000-0000-00002C090000}"/>
    <cellStyle name="Normalny 7 4 3_RPP" xfId="1844" xr:uid="{00000000-0005-0000-0000-00002D090000}"/>
    <cellStyle name="Normalny 7 4 4" xfId="1845" xr:uid="{00000000-0005-0000-0000-00002E090000}"/>
    <cellStyle name="Normalny 7 4 4 2" xfId="1846" xr:uid="{00000000-0005-0000-0000-00002F090000}"/>
    <cellStyle name="Normalny 7 4 5" xfId="1847" xr:uid="{00000000-0005-0000-0000-000030090000}"/>
    <cellStyle name="Normalny 7 4_RPP" xfId="1848" xr:uid="{00000000-0005-0000-0000-000031090000}"/>
    <cellStyle name="Normalny 7 5" xfId="1849" xr:uid="{00000000-0005-0000-0000-000032090000}"/>
    <cellStyle name="Normalny 7 5 2" xfId="1850" xr:uid="{00000000-0005-0000-0000-000033090000}"/>
    <cellStyle name="Normalny 7 5 2 2" xfId="1851" xr:uid="{00000000-0005-0000-0000-000034090000}"/>
    <cellStyle name="Normalny 7 5 2 2 2" xfId="1852" xr:uid="{00000000-0005-0000-0000-000035090000}"/>
    <cellStyle name="Normalny 7 5 2 2 2 2" xfId="1853" xr:uid="{00000000-0005-0000-0000-000036090000}"/>
    <cellStyle name="Normalny 7 5 2 2 3" xfId="1854" xr:uid="{00000000-0005-0000-0000-000037090000}"/>
    <cellStyle name="Normalny 7 5 2 2_RPP" xfId="1855" xr:uid="{00000000-0005-0000-0000-000038090000}"/>
    <cellStyle name="Normalny 7 5 2 3" xfId="1856" xr:uid="{00000000-0005-0000-0000-000039090000}"/>
    <cellStyle name="Normalny 7 5 2 3 2" xfId="1857" xr:uid="{00000000-0005-0000-0000-00003A090000}"/>
    <cellStyle name="Normalny 7 5 2 4" xfId="1858" xr:uid="{00000000-0005-0000-0000-00003B090000}"/>
    <cellStyle name="Normalny 7 5 2_RPP" xfId="1859" xr:uid="{00000000-0005-0000-0000-00003C090000}"/>
    <cellStyle name="Normalny 7 5 3" xfId="1860" xr:uid="{00000000-0005-0000-0000-00003D090000}"/>
    <cellStyle name="Normalny 7 5 3 2" xfId="1861" xr:uid="{00000000-0005-0000-0000-00003E090000}"/>
    <cellStyle name="Normalny 7 5 3 2 2" xfId="1862" xr:uid="{00000000-0005-0000-0000-00003F090000}"/>
    <cellStyle name="Normalny 7 5 3 3" xfId="1863" xr:uid="{00000000-0005-0000-0000-000040090000}"/>
    <cellStyle name="Normalny 7 5 3_RPP" xfId="1864" xr:uid="{00000000-0005-0000-0000-000041090000}"/>
    <cellStyle name="Normalny 7 5 4" xfId="1865" xr:uid="{00000000-0005-0000-0000-000042090000}"/>
    <cellStyle name="Normalny 7 5 4 2" xfId="1866" xr:uid="{00000000-0005-0000-0000-000043090000}"/>
    <cellStyle name="Normalny 7 5 5" xfId="1867" xr:uid="{00000000-0005-0000-0000-000044090000}"/>
    <cellStyle name="Normalny 7 5_RPP" xfId="1868" xr:uid="{00000000-0005-0000-0000-000045090000}"/>
    <cellStyle name="Normalny 7 6" xfId="1869" xr:uid="{00000000-0005-0000-0000-000046090000}"/>
    <cellStyle name="Normalny 7 6 2" xfId="1870" xr:uid="{00000000-0005-0000-0000-000047090000}"/>
    <cellStyle name="Normalny 7 6 2 2" xfId="1871" xr:uid="{00000000-0005-0000-0000-000048090000}"/>
    <cellStyle name="Normalny 7 6 2 2 2" xfId="1872" xr:uid="{00000000-0005-0000-0000-000049090000}"/>
    <cellStyle name="Normalny 7 6 2 3" xfId="1873" xr:uid="{00000000-0005-0000-0000-00004A090000}"/>
    <cellStyle name="Normalny 7 6 2_RPP" xfId="1874" xr:uid="{00000000-0005-0000-0000-00004B090000}"/>
    <cellStyle name="Normalny 7 6 3" xfId="1875" xr:uid="{00000000-0005-0000-0000-00004C090000}"/>
    <cellStyle name="Normalny 7 6 3 2" xfId="1876" xr:uid="{00000000-0005-0000-0000-00004D090000}"/>
    <cellStyle name="Normalny 7 6 4" xfId="1877" xr:uid="{00000000-0005-0000-0000-00004E090000}"/>
    <cellStyle name="Normalny 7 6_RPP" xfId="1878" xr:uid="{00000000-0005-0000-0000-00004F090000}"/>
    <cellStyle name="Normalny 7 7" xfId="1879" xr:uid="{00000000-0005-0000-0000-000050090000}"/>
    <cellStyle name="Normalny 7 7 2" xfId="1880" xr:uid="{00000000-0005-0000-0000-000051090000}"/>
    <cellStyle name="Normalny 7 7 2 2" xfId="1881" xr:uid="{00000000-0005-0000-0000-000052090000}"/>
    <cellStyle name="Normalny 7 7 3" xfId="1882" xr:uid="{00000000-0005-0000-0000-000053090000}"/>
    <cellStyle name="Normalny 7 7_RPP" xfId="1883" xr:uid="{00000000-0005-0000-0000-000054090000}"/>
    <cellStyle name="Normalny 7 8" xfId="1884" xr:uid="{00000000-0005-0000-0000-000055090000}"/>
    <cellStyle name="Normalny 7 8 2" xfId="1885" xr:uid="{00000000-0005-0000-0000-000056090000}"/>
    <cellStyle name="Normalny 7 9" xfId="1886" xr:uid="{00000000-0005-0000-0000-000057090000}"/>
    <cellStyle name="Normalny 7_RPP" xfId="1887" xr:uid="{00000000-0005-0000-0000-000058090000}"/>
    <cellStyle name="Normalny 70" xfId="1888" xr:uid="{00000000-0005-0000-0000-000059090000}"/>
    <cellStyle name="Normalny 70 2" xfId="1889" xr:uid="{00000000-0005-0000-0000-00005A090000}"/>
    <cellStyle name="Normalny 70 2 2" xfId="2210" xr:uid="{00000000-0005-0000-0000-00005B090000}"/>
    <cellStyle name="Normalny 70 2 2 2" xfId="2586" xr:uid="{00000000-0005-0000-0000-00005C090000}"/>
    <cellStyle name="Normalny 70 2 3" xfId="2401" xr:uid="{00000000-0005-0000-0000-00005D090000}"/>
    <cellStyle name="Normalny 70 3" xfId="2209" xr:uid="{00000000-0005-0000-0000-00005E090000}"/>
    <cellStyle name="Normalny 70 3 2" xfId="2585" xr:uid="{00000000-0005-0000-0000-00005F090000}"/>
    <cellStyle name="Normalny 70 4" xfId="2400" xr:uid="{00000000-0005-0000-0000-000060090000}"/>
    <cellStyle name="Normalny 71" xfId="1890" xr:uid="{00000000-0005-0000-0000-000061090000}"/>
    <cellStyle name="Normalny 71 2" xfId="1891" xr:uid="{00000000-0005-0000-0000-000062090000}"/>
    <cellStyle name="Normalny 71 2 2" xfId="2212" xr:uid="{00000000-0005-0000-0000-000063090000}"/>
    <cellStyle name="Normalny 71 2 2 2" xfId="2588" xr:uid="{00000000-0005-0000-0000-000064090000}"/>
    <cellStyle name="Normalny 71 2 3" xfId="2403" xr:uid="{00000000-0005-0000-0000-000065090000}"/>
    <cellStyle name="Normalny 71 3" xfId="2211" xr:uid="{00000000-0005-0000-0000-000066090000}"/>
    <cellStyle name="Normalny 71 3 2" xfId="2587" xr:uid="{00000000-0005-0000-0000-000067090000}"/>
    <cellStyle name="Normalny 71 4" xfId="2402" xr:uid="{00000000-0005-0000-0000-000068090000}"/>
    <cellStyle name="Normalny 72" xfId="1892" xr:uid="{00000000-0005-0000-0000-000069090000}"/>
    <cellStyle name="Normalny 72 2" xfId="1893" xr:uid="{00000000-0005-0000-0000-00006A090000}"/>
    <cellStyle name="Normalny 72 2 2" xfId="2214" xr:uid="{00000000-0005-0000-0000-00006B090000}"/>
    <cellStyle name="Normalny 72 2 2 2" xfId="2590" xr:uid="{00000000-0005-0000-0000-00006C090000}"/>
    <cellStyle name="Normalny 72 2 3" xfId="2405" xr:uid="{00000000-0005-0000-0000-00006D090000}"/>
    <cellStyle name="Normalny 72 3" xfId="2213" xr:uid="{00000000-0005-0000-0000-00006E090000}"/>
    <cellStyle name="Normalny 72 3 2" xfId="2589" xr:uid="{00000000-0005-0000-0000-00006F090000}"/>
    <cellStyle name="Normalny 72 4" xfId="2404" xr:uid="{00000000-0005-0000-0000-000070090000}"/>
    <cellStyle name="Normalny 73" xfId="1894" xr:uid="{00000000-0005-0000-0000-000071090000}"/>
    <cellStyle name="Normalny 73 2" xfId="1895" xr:uid="{00000000-0005-0000-0000-000072090000}"/>
    <cellStyle name="Normalny 73 2 2" xfId="2216" xr:uid="{00000000-0005-0000-0000-000073090000}"/>
    <cellStyle name="Normalny 73 2 2 2" xfId="2592" xr:uid="{00000000-0005-0000-0000-000074090000}"/>
    <cellStyle name="Normalny 73 2 3" xfId="2407" xr:uid="{00000000-0005-0000-0000-000075090000}"/>
    <cellStyle name="Normalny 73 3" xfId="2215" xr:uid="{00000000-0005-0000-0000-000076090000}"/>
    <cellStyle name="Normalny 73 3 2" xfId="2591" xr:uid="{00000000-0005-0000-0000-000077090000}"/>
    <cellStyle name="Normalny 73 4" xfId="2406" xr:uid="{00000000-0005-0000-0000-000078090000}"/>
    <cellStyle name="Normalny 74" xfId="1896" xr:uid="{00000000-0005-0000-0000-000079090000}"/>
    <cellStyle name="Normalny 74 2" xfId="2217" xr:uid="{00000000-0005-0000-0000-00007A090000}"/>
    <cellStyle name="Normalny 74 2 2" xfId="2593" xr:uid="{00000000-0005-0000-0000-00007B090000}"/>
    <cellStyle name="Normalny 74 3" xfId="2408" xr:uid="{00000000-0005-0000-0000-00007C090000}"/>
    <cellStyle name="Normalny 75" xfId="1897" xr:uid="{00000000-0005-0000-0000-00007D090000}"/>
    <cellStyle name="Normalny 75 2" xfId="2218" xr:uid="{00000000-0005-0000-0000-00007E090000}"/>
    <cellStyle name="Normalny 75 2 2" xfId="2594" xr:uid="{00000000-0005-0000-0000-00007F090000}"/>
    <cellStyle name="Normalny 75 3" xfId="2409" xr:uid="{00000000-0005-0000-0000-000080090000}"/>
    <cellStyle name="Normalny 76" xfId="1898" xr:uid="{00000000-0005-0000-0000-000081090000}"/>
    <cellStyle name="Normalny 77" xfId="1899" xr:uid="{00000000-0005-0000-0000-000082090000}"/>
    <cellStyle name="Normalny 78" xfId="1900" xr:uid="{00000000-0005-0000-0000-000083090000}"/>
    <cellStyle name="Normalny 79" xfId="1901" xr:uid="{00000000-0005-0000-0000-000084090000}"/>
    <cellStyle name="Normalny 8" xfId="1902" xr:uid="{00000000-0005-0000-0000-000085090000}"/>
    <cellStyle name="Normalny 8 2" xfId="1903" xr:uid="{00000000-0005-0000-0000-000086090000}"/>
    <cellStyle name="Normalny 8 3" xfId="1904" xr:uid="{00000000-0005-0000-0000-000087090000}"/>
    <cellStyle name="Normalny 8 3 2" xfId="1905" xr:uid="{00000000-0005-0000-0000-000088090000}"/>
    <cellStyle name="Normalny 8 3 2 2" xfId="2221" xr:uid="{00000000-0005-0000-0000-000089090000}"/>
    <cellStyle name="Normalny 8 3 2 2 2" xfId="2597" xr:uid="{00000000-0005-0000-0000-00008A090000}"/>
    <cellStyle name="Normalny 8 3 2 3" xfId="2412" xr:uid="{00000000-0005-0000-0000-00008B090000}"/>
    <cellStyle name="Normalny 8 3 3" xfId="2220" xr:uid="{00000000-0005-0000-0000-00008C090000}"/>
    <cellStyle name="Normalny 8 3 3 2" xfId="2596" xr:uid="{00000000-0005-0000-0000-00008D090000}"/>
    <cellStyle name="Normalny 8 3 4" xfId="2411" xr:uid="{00000000-0005-0000-0000-00008E090000}"/>
    <cellStyle name="Normalny 8 4" xfId="1906" xr:uid="{00000000-0005-0000-0000-00008F090000}"/>
    <cellStyle name="Normalny 8 4 2" xfId="1907" xr:uid="{00000000-0005-0000-0000-000090090000}"/>
    <cellStyle name="Normalny 8 4 2 2" xfId="2223" xr:uid="{00000000-0005-0000-0000-000091090000}"/>
    <cellStyle name="Normalny 8 4 2 2 2" xfId="2599" xr:uid="{00000000-0005-0000-0000-000092090000}"/>
    <cellStyle name="Normalny 8 4 2 3" xfId="2414" xr:uid="{00000000-0005-0000-0000-000093090000}"/>
    <cellStyle name="Normalny 8 4 3" xfId="2222" xr:uid="{00000000-0005-0000-0000-000094090000}"/>
    <cellStyle name="Normalny 8 4 3 2" xfId="2598" xr:uid="{00000000-0005-0000-0000-000095090000}"/>
    <cellStyle name="Normalny 8 4 4" xfId="2413" xr:uid="{00000000-0005-0000-0000-000096090000}"/>
    <cellStyle name="Normalny 8 5" xfId="1908" xr:uid="{00000000-0005-0000-0000-000097090000}"/>
    <cellStyle name="Normalny 8 5 2" xfId="2224" xr:uid="{00000000-0005-0000-0000-000098090000}"/>
    <cellStyle name="Normalny 8 5 2 2" xfId="2600" xr:uid="{00000000-0005-0000-0000-000099090000}"/>
    <cellStyle name="Normalny 8 5 3" xfId="2415" xr:uid="{00000000-0005-0000-0000-00009A090000}"/>
    <cellStyle name="Normalny 8 6" xfId="2219" xr:uid="{00000000-0005-0000-0000-00009B090000}"/>
    <cellStyle name="Normalny 8 6 2" xfId="2595" xr:uid="{00000000-0005-0000-0000-00009C090000}"/>
    <cellStyle name="Normalny 8 7" xfId="2410" xr:uid="{00000000-0005-0000-0000-00009D090000}"/>
    <cellStyle name="Normalny 80" xfId="15" xr:uid="{00000000-0005-0000-0000-00009E090000}"/>
    <cellStyle name="Normalny 81" xfId="1909" xr:uid="{00000000-0005-0000-0000-00009F090000}"/>
    <cellStyle name="Normalny 82" xfId="1910" xr:uid="{00000000-0005-0000-0000-0000A0090000}"/>
    <cellStyle name="Normalny 83" xfId="1911" xr:uid="{00000000-0005-0000-0000-0000A1090000}"/>
    <cellStyle name="Normalny 84" xfId="1912" xr:uid="{00000000-0005-0000-0000-0000A2090000}"/>
    <cellStyle name="Normalny 85" xfId="1913" xr:uid="{00000000-0005-0000-0000-0000A3090000}"/>
    <cellStyle name="Normalny 86" xfId="1914" xr:uid="{00000000-0005-0000-0000-0000A4090000}"/>
    <cellStyle name="Normalny 87" xfId="1915" xr:uid="{00000000-0005-0000-0000-0000A5090000}"/>
    <cellStyle name="Normalny 88" xfId="1916" xr:uid="{00000000-0005-0000-0000-0000A6090000}"/>
    <cellStyle name="Normalny 89" xfId="2226" xr:uid="{00000000-0005-0000-0000-0000A7090000}"/>
    <cellStyle name="Normalny 89 2" xfId="2601" xr:uid="{00000000-0005-0000-0000-0000A8090000}"/>
    <cellStyle name="Normalny 9" xfId="1917" xr:uid="{00000000-0005-0000-0000-0000A9090000}"/>
    <cellStyle name="Normalny 9 10" xfId="1918" xr:uid="{00000000-0005-0000-0000-0000AA090000}"/>
    <cellStyle name="Normalny 9 2" xfId="1919" xr:uid="{00000000-0005-0000-0000-0000AB090000}"/>
    <cellStyle name="Normalny 9 2 2" xfId="1920" xr:uid="{00000000-0005-0000-0000-0000AC090000}"/>
    <cellStyle name="Normalny 9 2 2 2" xfId="1921" xr:uid="{00000000-0005-0000-0000-0000AD090000}"/>
    <cellStyle name="Normalny 9 2 2 2 2" xfId="1922" xr:uid="{00000000-0005-0000-0000-0000AE090000}"/>
    <cellStyle name="Normalny 9 2 2 2 2 2" xfId="1923" xr:uid="{00000000-0005-0000-0000-0000AF090000}"/>
    <cellStyle name="Normalny 9 2 2 2 2 2 2" xfId="1924" xr:uid="{00000000-0005-0000-0000-0000B0090000}"/>
    <cellStyle name="Normalny 9 2 2 2 2 3" xfId="1925" xr:uid="{00000000-0005-0000-0000-0000B1090000}"/>
    <cellStyle name="Normalny 9 2 2 2 2_RPP" xfId="1926" xr:uid="{00000000-0005-0000-0000-0000B2090000}"/>
    <cellStyle name="Normalny 9 2 2 2 3" xfId="1927" xr:uid="{00000000-0005-0000-0000-0000B3090000}"/>
    <cellStyle name="Normalny 9 2 2 2 3 2" xfId="1928" xr:uid="{00000000-0005-0000-0000-0000B4090000}"/>
    <cellStyle name="Normalny 9 2 2 2 4" xfId="1929" xr:uid="{00000000-0005-0000-0000-0000B5090000}"/>
    <cellStyle name="Normalny 9 2 2 2_RPP" xfId="1930" xr:uid="{00000000-0005-0000-0000-0000B6090000}"/>
    <cellStyle name="Normalny 9 2 2 3" xfId="1931" xr:uid="{00000000-0005-0000-0000-0000B7090000}"/>
    <cellStyle name="Normalny 9 2 2 3 2" xfId="1932" xr:uid="{00000000-0005-0000-0000-0000B8090000}"/>
    <cellStyle name="Normalny 9 2 2 3 2 2" xfId="1933" xr:uid="{00000000-0005-0000-0000-0000B9090000}"/>
    <cellStyle name="Normalny 9 2 2 3 3" xfId="1934" xr:uid="{00000000-0005-0000-0000-0000BA090000}"/>
    <cellStyle name="Normalny 9 2 2 3_RPP" xfId="1935" xr:uid="{00000000-0005-0000-0000-0000BB090000}"/>
    <cellStyle name="Normalny 9 2 2 4" xfId="1936" xr:uid="{00000000-0005-0000-0000-0000BC090000}"/>
    <cellStyle name="Normalny 9 2 2 4 2" xfId="1937" xr:uid="{00000000-0005-0000-0000-0000BD090000}"/>
    <cellStyle name="Normalny 9 2 2 5" xfId="1938" xr:uid="{00000000-0005-0000-0000-0000BE090000}"/>
    <cellStyle name="Normalny 9 2 2_RPP" xfId="1939" xr:uid="{00000000-0005-0000-0000-0000BF090000}"/>
    <cellStyle name="Normalny 9 2 3" xfId="1940" xr:uid="{00000000-0005-0000-0000-0000C0090000}"/>
    <cellStyle name="Normalny 9 2 3 2" xfId="1941" xr:uid="{00000000-0005-0000-0000-0000C1090000}"/>
    <cellStyle name="Normalny 9 2 3 2 2" xfId="1942" xr:uid="{00000000-0005-0000-0000-0000C2090000}"/>
    <cellStyle name="Normalny 9 2 3 2 2 2" xfId="1943" xr:uid="{00000000-0005-0000-0000-0000C3090000}"/>
    <cellStyle name="Normalny 9 2 3 2 2 2 2" xfId="1944" xr:uid="{00000000-0005-0000-0000-0000C4090000}"/>
    <cellStyle name="Normalny 9 2 3 2 2 3" xfId="1945" xr:uid="{00000000-0005-0000-0000-0000C5090000}"/>
    <cellStyle name="Normalny 9 2 3 2 2_RPP" xfId="1946" xr:uid="{00000000-0005-0000-0000-0000C6090000}"/>
    <cellStyle name="Normalny 9 2 3 2 3" xfId="1947" xr:uid="{00000000-0005-0000-0000-0000C7090000}"/>
    <cellStyle name="Normalny 9 2 3 2 3 2" xfId="1948" xr:uid="{00000000-0005-0000-0000-0000C8090000}"/>
    <cellStyle name="Normalny 9 2 3 2 4" xfId="1949" xr:uid="{00000000-0005-0000-0000-0000C9090000}"/>
    <cellStyle name="Normalny 9 2 3 2_RPP" xfId="1950" xr:uid="{00000000-0005-0000-0000-0000CA090000}"/>
    <cellStyle name="Normalny 9 2 3 3" xfId="1951" xr:uid="{00000000-0005-0000-0000-0000CB090000}"/>
    <cellStyle name="Normalny 9 2 3 3 2" xfId="1952" xr:uid="{00000000-0005-0000-0000-0000CC090000}"/>
    <cellStyle name="Normalny 9 2 3 3 2 2" xfId="1953" xr:uid="{00000000-0005-0000-0000-0000CD090000}"/>
    <cellStyle name="Normalny 9 2 3 3 3" xfId="1954" xr:uid="{00000000-0005-0000-0000-0000CE090000}"/>
    <cellStyle name="Normalny 9 2 3 3_RPP" xfId="1955" xr:uid="{00000000-0005-0000-0000-0000CF090000}"/>
    <cellStyle name="Normalny 9 2 3 4" xfId="1956" xr:uid="{00000000-0005-0000-0000-0000D0090000}"/>
    <cellStyle name="Normalny 9 2 3 4 2" xfId="1957" xr:uid="{00000000-0005-0000-0000-0000D1090000}"/>
    <cellStyle name="Normalny 9 2 3 5" xfId="1958" xr:uid="{00000000-0005-0000-0000-0000D2090000}"/>
    <cellStyle name="Normalny 9 2 3_RPP" xfId="1959" xr:uid="{00000000-0005-0000-0000-0000D3090000}"/>
    <cellStyle name="Normalny 9 2 4" xfId="1960" xr:uid="{00000000-0005-0000-0000-0000D4090000}"/>
    <cellStyle name="Normalny 9 2 4 2" xfId="1961" xr:uid="{00000000-0005-0000-0000-0000D5090000}"/>
    <cellStyle name="Normalny 9 2 4 2 2" xfId="1962" xr:uid="{00000000-0005-0000-0000-0000D6090000}"/>
    <cellStyle name="Normalny 9 2 4 2 2 2" xfId="1963" xr:uid="{00000000-0005-0000-0000-0000D7090000}"/>
    <cellStyle name="Normalny 9 2 4 2 3" xfId="1964" xr:uid="{00000000-0005-0000-0000-0000D8090000}"/>
    <cellStyle name="Normalny 9 2 4 2_RPP" xfId="1965" xr:uid="{00000000-0005-0000-0000-0000D9090000}"/>
    <cellStyle name="Normalny 9 2 4 3" xfId="1966" xr:uid="{00000000-0005-0000-0000-0000DA090000}"/>
    <cellStyle name="Normalny 9 2 4 3 2" xfId="1967" xr:uid="{00000000-0005-0000-0000-0000DB090000}"/>
    <cellStyle name="Normalny 9 2 4 4" xfId="1968" xr:uid="{00000000-0005-0000-0000-0000DC090000}"/>
    <cellStyle name="Normalny 9 2 4_RPP" xfId="1969" xr:uid="{00000000-0005-0000-0000-0000DD090000}"/>
    <cellStyle name="Normalny 9 2 5" xfId="1970" xr:uid="{00000000-0005-0000-0000-0000DE090000}"/>
    <cellStyle name="Normalny 9 2 5 2" xfId="1971" xr:uid="{00000000-0005-0000-0000-0000DF090000}"/>
    <cellStyle name="Normalny 9 2 5 2 2" xfId="1972" xr:uid="{00000000-0005-0000-0000-0000E0090000}"/>
    <cellStyle name="Normalny 9 2 5 3" xfId="1973" xr:uid="{00000000-0005-0000-0000-0000E1090000}"/>
    <cellStyle name="Normalny 9 2 5_RPP" xfId="1974" xr:uid="{00000000-0005-0000-0000-0000E2090000}"/>
    <cellStyle name="Normalny 9 2 6" xfId="1975" xr:uid="{00000000-0005-0000-0000-0000E3090000}"/>
    <cellStyle name="Normalny 9 2 6 2" xfId="1976" xr:uid="{00000000-0005-0000-0000-0000E4090000}"/>
    <cellStyle name="Normalny 9 2 7" xfId="1977" xr:uid="{00000000-0005-0000-0000-0000E5090000}"/>
    <cellStyle name="Normalny 9 2_RPP" xfId="1978" xr:uid="{00000000-0005-0000-0000-0000E6090000}"/>
    <cellStyle name="Normalny 9 3" xfId="1979" xr:uid="{00000000-0005-0000-0000-0000E7090000}"/>
    <cellStyle name="Normalny 9 3 2" xfId="1980" xr:uid="{00000000-0005-0000-0000-0000E8090000}"/>
    <cellStyle name="Normalny 9 3 2 2" xfId="1981" xr:uid="{00000000-0005-0000-0000-0000E9090000}"/>
    <cellStyle name="Normalny 9 3 2 2 2" xfId="1982" xr:uid="{00000000-0005-0000-0000-0000EA090000}"/>
    <cellStyle name="Normalny 9 3 2 2 2 2" xfId="1983" xr:uid="{00000000-0005-0000-0000-0000EB090000}"/>
    <cellStyle name="Normalny 9 3 2 2 3" xfId="1984" xr:uid="{00000000-0005-0000-0000-0000EC090000}"/>
    <cellStyle name="Normalny 9 3 2 2_RPP" xfId="1985" xr:uid="{00000000-0005-0000-0000-0000ED090000}"/>
    <cellStyle name="Normalny 9 3 2 3" xfId="1986" xr:uid="{00000000-0005-0000-0000-0000EE090000}"/>
    <cellStyle name="Normalny 9 3 2 3 2" xfId="1987" xr:uid="{00000000-0005-0000-0000-0000EF090000}"/>
    <cellStyle name="Normalny 9 3 2 4" xfId="1988" xr:uid="{00000000-0005-0000-0000-0000F0090000}"/>
    <cellStyle name="Normalny 9 3 2_RPP" xfId="1989" xr:uid="{00000000-0005-0000-0000-0000F1090000}"/>
    <cellStyle name="Normalny 9 3 3" xfId="1990" xr:uid="{00000000-0005-0000-0000-0000F2090000}"/>
    <cellStyle name="Normalny 9 3 3 2" xfId="1991" xr:uid="{00000000-0005-0000-0000-0000F3090000}"/>
    <cellStyle name="Normalny 9 3 3 2 2" xfId="1992" xr:uid="{00000000-0005-0000-0000-0000F4090000}"/>
    <cellStyle name="Normalny 9 3 3 3" xfId="1993" xr:uid="{00000000-0005-0000-0000-0000F5090000}"/>
    <cellStyle name="Normalny 9 3 3_RPP" xfId="1994" xr:uid="{00000000-0005-0000-0000-0000F6090000}"/>
    <cellStyle name="Normalny 9 3 4" xfId="1995" xr:uid="{00000000-0005-0000-0000-0000F7090000}"/>
    <cellStyle name="Normalny 9 3 4 2" xfId="1996" xr:uid="{00000000-0005-0000-0000-0000F8090000}"/>
    <cellStyle name="Normalny 9 3 5" xfId="1997" xr:uid="{00000000-0005-0000-0000-0000F9090000}"/>
    <cellStyle name="Normalny 9 3_RPP" xfId="1998" xr:uid="{00000000-0005-0000-0000-0000FA090000}"/>
    <cellStyle name="Normalny 9 4" xfId="1999" xr:uid="{00000000-0005-0000-0000-0000FB090000}"/>
    <cellStyle name="Normalny 9 4 2" xfId="2000" xr:uid="{00000000-0005-0000-0000-0000FC090000}"/>
    <cellStyle name="Normalny 9 4 2 2" xfId="2001" xr:uid="{00000000-0005-0000-0000-0000FD090000}"/>
    <cellStyle name="Normalny 9 4 2 2 2" xfId="2002" xr:uid="{00000000-0005-0000-0000-0000FE090000}"/>
    <cellStyle name="Normalny 9 4 2 2 2 2" xfId="2003" xr:uid="{00000000-0005-0000-0000-0000FF090000}"/>
    <cellStyle name="Normalny 9 4 2 2 3" xfId="2004" xr:uid="{00000000-0005-0000-0000-0000000A0000}"/>
    <cellStyle name="Normalny 9 4 2 2_RPP" xfId="2005" xr:uid="{00000000-0005-0000-0000-0000010A0000}"/>
    <cellStyle name="Normalny 9 4 2 3" xfId="2006" xr:uid="{00000000-0005-0000-0000-0000020A0000}"/>
    <cellStyle name="Normalny 9 4 2 3 2" xfId="2007" xr:uid="{00000000-0005-0000-0000-0000030A0000}"/>
    <cellStyle name="Normalny 9 4 2 4" xfId="2008" xr:uid="{00000000-0005-0000-0000-0000040A0000}"/>
    <cellStyle name="Normalny 9 4 2_RPP" xfId="2009" xr:uid="{00000000-0005-0000-0000-0000050A0000}"/>
    <cellStyle name="Normalny 9 4 3" xfId="2010" xr:uid="{00000000-0005-0000-0000-0000060A0000}"/>
    <cellStyle name="Normalny 9 4 3 2" xfId="2011" xr:uid="{00000000-0005-0000-0000-0000070A0000}"/>
    <cellStyle name="Normalny 9 4 3 2 2" xfId="2012" xr:uid="{00000000-0005-0000-0000-0000080A0000}"/>
    <cellStyle name="Normalny 9 4 3 3" xfId="2013" xr:uid="{00000000-0005-0000-0000-0000090A0000}"/>
    <cellStyle name="Normalny 9 4 3_RPP" xfId="2014" xr:uid="{00000000-0005-0000-0000-00000A0A0000}"/>
    <cellStyle name="Normalny 9 4 4" xfId="2015" xr:uid="{00000000-0005-0000-0000-00000B0A0000}"/>
    <cellStyle name="Normalny 9 4 4 2" xfId="2016" xr:uid="{00000000-0005-0000-0000-00000C0A0000}"/>
    <cellStyle name="Normalny 9 4 5" xfId="2017" xr:uid="{00000000-0005-0000-0000-00000D0A0000}"/>
    <cellStyle name="Normalny 9 4_RPP" xfId="2018" xr:uid="{00000000-0005-0000-0000-00000E0A0000}"/>
    <cellStyle name="Normalny 9 5" xfId="2019" xr:uid="{00000000-0005-0000-0000-00000F0A0000}"/>
    <cellStyle name="Normalny 9 5 2" xfId="2020" xr:uid="{00000000-0005-0000-0000-0000100A0000}"/>
    <cellStyle name="Normalny 9 5 2 2" xfId="2021" xr:uid="{00000000-0005-0000-0000-0000110A0000}"/>
    <cellStyle name="Normalny 9 5 2 2 2" xfId="2022" xr:uid="{00000000-0005-0000-0000-0000120A0000}"/>
    <cellStyle name="Normalny 9 5 2 3" xfId="2023" xr:uid="{00000000-0005-0000-0000-0000130A0000}"/>
    <cellStyle name="Normalny 9 5 2_RPP" xfId="2024" xr:uid="{00000000-0005-0000-0000-0000140A0000}"/>
    <cellStyle name="Normalny 9 5 3" xfId="2025" xr:uid="{00000000-0005-0000-0000-0000150A0000}"/>
    <cellStyle name="Normalny 9 5 3 2" xfId="2026" xr:uid="{00000000-0005-0000-0000-0000160A0000}"/>
    <cellStyle name="Normalny 9 5 4" xfId="2027" xr:uid="{00000000-0005-0000-0000-0000170A0000}"/>
    <cellStyle name="Normalny 9 5_RPP" xfId="2028" xr:uid="{00000000-0005-0000-0000-0000180A0000}"/>
    <cellStyle name="Normalny 9 6" xfId="2029" xr:uid="{00000000-0005-0000-0000-0000190A0000}"/>
    <cellStyle name="Normalny 9 6 2" xfId="2030" xr:uid="{00000000-0005-0000-0000-00001A0A0000}"/>
    <cellStyle name="Normalny 9 6 2 2" xfId="2031" xr:uid="{00000000-0005-0000-0000-00001B0A0000}"/>
    <cellStyle name="Normalny 9 6 3" xfId="2032" xr:uid="{00000000-0005-0000-0000-00001C0A0000}"/>
    <cellStyle name="Normalny 9 6_RPP" xfId="2033" xr:uid="{00000000-0005-0000-0000-00001D0A0000}"/>
    <cellStyle name="Normalny 9 7" xfId="2034" xr:uid="{00000000-0005-0000-0000-00001E0A0000}"/>
    <cellStyle name="Normalny 9 7 2" xfId="2035" xr:uid="{00000000-0005-0000-0000-00001F0A0000}"/>
    <cellStyle name="Normalny 9 8" xfId="2036" xr:uid="{00000000-0005-0000-0000-0000200A0000}"/>
    <cellStyle name="Normalny 9 9" xfId="2037" xr:uid="{00000000-0005-0000-0000-0000210A0000}"/>
    <cellStyle name="Normalny 9_RPP" xfId="2038" xr:uid="{00000000-0005-0000-0000-0000220A0000}"/>
    <cellStyle name="Normalny 90" xfId="2227" xr:uid="{00000000-0005-0000-0000-0000230A0000}"/>
    <cellStyle name="Normalny 91" xfId="2228" xr:uid="{00000000-0005-0000-0000-0000240A0000}"/>
    <cellStyle name="Normalny 91 2" xfId="2602" xr:uid="{00000000-0005-0000-0000-0000250A0000}"/>
    <cellStyle name="Normalny 92" xfId="2229" xr:uid="{00000000-0005-0000-0000-0000260A0000}"/>
    <cellStyle name="Normalny 93 2" xfId="2604" xr:uid="{00000000-0005-0000-0000-0000270A0000}"/>
    <cellStyle name="Normalny 93 2 2" xfId="2607" xr:uid="{00000000-0005-0000-0000-0000280A0000}"/>
    <cellStyle name="Normalny 94" xfId="2609" xr:uid="{00000000-0005-0000-0000-0000290A0000}"/>
    <cellStyle name="Normalny_główny plik IMS" xfId="5" xr:uid="{00000000-0005-0000-0000-00002A0A0000}"/>
    <cellStyle name="Normalny_pkon - wzór" xfId="6" xr:uid="{00000000-0005-0000-0000-00002B0A0000}"/>
    <cellStyle name="Normalny_RoedlConsult_311202_sprawozdanie_z_dział_jedn" xfId="7" xr:uid="{00000000-0005-0000-0000-00002C0A0000}"/>
    <cellStyle name="Normalny_spółkaxxxxxxraportex" xfId="8" xr:uid="{00000000-0005-0000-0000-00002D0A0000}"/>
    <cellStyle name="Normalny_spółkaxxxxxxraportex 2" xfId="2225" xr:uid="{00000000-0005-0000-0000-00002E0A0000}"/>
    <cellStyle name="Normalny_Sprawozdanie Finansowe po korekcie II" xfId="9" xr:uid="{00000000-0005-0000-0000-00002F0A0000}"/>
    <cellStyle name="Normalny_TABELE " xfId="10" xr:uid="{00000000-0005-0000-0000-0000300A0000}"/>
    <cellStyle name="Normalny_tabele dla klienta" xfId="11" xr:uid="{00000000-0005-0000-0000-0000310A0000}"/>
    <cellStyle name="Procentowy" xfId="12" builtinId="5"/>
    <cellStyle name="Styl 1" xfId="2605" xr:uid="{00000000-0005-0000-0000-0000330A0000}"/>
  </cellStyles>
  <dxfs count="6">
    <dxf>
      <font>
        <b/>
        <i val="0"/>
        <color rgb="FFC00000"/>
      </font>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s>
  <tableStyles count="0" defaultTableStyle="TableStyleMedium9" defaultPivotStyle="PivotStyleLight16"/>
  <colors>
    <mruColors>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3524250</xdr:colOff>
      <xdr:row>0</xdr:row>
      <xdr:rowOff>0</xdr:rowOff>
    </xdr:from>
    <xdr:to>
      <xdr:col>2</xdr:col>
      <xdr:colOff>381000</xdr:colOff>
      <xdr:row>3</xdr:row>
      <xdr:rowOff>9525</xdr:rowOff>
    </xdr:to>
    <xdr:pic>
      <xdr:nvPicPr>
        <xdr:cNvPr id="30793" name="Picture 1">
          <a:extLst>
            <a:ext uri="{FF2B5EF4-FFF2-40B4-BE49-F238E27FC236}">
              <a16:creationId xmlns:a16="http://schemas.microsoft.com/office/drawing/2014/main" id="{00000000-0008-0000-0400-0000497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4250" y="0"/>
          <a:ext cx="2047875" cy="495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27214</xdr:rowOff>
    </xdr:from>
    <xdr:to>
      <xdr:col>20</xdr:col>
      <xdr:colOff>203200</xdr:colOff>
      <xdr:row>0</xdr:row>
      <xdr:rowOff>144326</xdr:rowOff>
    </xdr:to>
    <xdr:sp macro="" textlink="">
      <xdr:nvSpPr>
        <xdr:cNvPr id="4" name="Rectangle: Rounded Corners 3">
          <a:extLst>
            <a:ext uri="{FF2B5EF4-FFF2-40B4-BE49-F238E27FC236}">
              <a16:creationId xmlns:a16="http://schemas.microsoft.com/office/drawing/2014/main" id="{00000000-0008-0000-3200-000004000000}"/>
            </a:ext>
          </a:extLst>
        </xdr:cNvPr>
        <xdr:cNvSpPr>
          <a:spLocks noChangeAspect="1"/>
        </xdr:cNvSpPr>
      </xdr:nvSpPr>
      <xdr:spPr>
        <a:xfrm>
          <a:off x="21838557" y="27214"/>
          <a:ext cx="949325" cy="108857"/>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244185</xdr:colOff>
      <xdr:row>1</xdr:row>
      <xdr:rowOff>506067</xdr:rowOff>
    </xdr:to>
    <xdr:pic>
      <xdr:nvPicPr>
        <xdr:cNvPr id="2" name="Obraz 1" descr="Rödl_Partner_Logo">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10</xdr:col>
      <xdr:colOff>215610</xdr:colOff>
      <xdr:row>1</xdr:row>
      <xdr:rowOff>506067</xdr:rowOff>
    </xdr:to>
    <xdr:pic>
      <xdr:nvPicPr>
        <xdr:cNvPr id="2" name="Obraz 1" descr="Rödl_Partner_Logo">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522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0</xdr:colOff>
      <xdr:row>1</xdr:row>
      <xdr:rowOff>0</xdr:rowOff>
    </xdr:from>
    <xdr:to>
      <xdr:col>18</xdr:col>
      <xdr:colOff>320071</xdr:colOff>
      <xdr:row>9</xdr:row>
      <xdr:rowOff>83003</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1534775" y="161925"/>
          <a:ext cx="3510946" cy="1749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b="1"/>
            <a:t>Informacja Power BI:</a:t>
          </a:r>
        </a:p>
        <a:p>
          <a:endParaRPr lang="pl-PL" sz="1100"/>
        </a:p>
        <a:p>
          <a:r>
            <a:rPr lang="pl-PL" sz="1100"/>
            <a:t>Jeśli w sprawozdaniu nie będzie tego arkusza, to należy go tutaj ukryć (</a:t>
          </a:r>
          <a:r>
            <a:rPr lang="pl-PL" sz="1100" b="1"/>
            <a:t>nie kasować</a:t>
          </a:r>
          <a:r>
            <a:rPr lang="pl-PL" sz="1100"/>
            <a:t>) oraz w samym Power BI usunąć,stronę  CF mb, ktora</a:t>
          </a:r>
          <a:r>
            <a:rPr lang="pl-PL" sz="1100" baseline="0"/>
            <a:t> odpowiada temu arkuszowi </a:t>
          </a:r>
          <a:r>
            <a:rPr lang="pl-PL" sz="1100">
              <a:solidFill>
                <a:schemeClr val="dk1"/>
              </a:solidFill>
              <a:effectLst/>
              <a:latin typeface="+mn-lt"/>
              <a:ea typeface="+mn-ea"/>
              <a:cs typeface="+mn-cs"/>
            </a:rPr>
            <a:t> i pozostawić CF mp.</a:t>
          </a:r>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20KNOWLEDGE%20MANAGER\1.%20SF\3.%20Wz&#243;r%202023\Sprawozdanie%20finansowe%202023_JMA_wz&#243;r_v06.06.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usz3"/>
      <sheetName val="Mapping (2)"/>
      <sheetName val="Szkielet (2)"/>
      <sheetName val="Mapping"/>
      <sheetName val="Szkielet"/>
      <sheetName val="Rob"/>
      <sheetName val="Połączenie z obiegiem"/>
      <sheetName val="Dane_current"/>
      <sheetName val="Dane_prev"/>
      <sheetName val="wskazówki"/>
      <sheetName val="Rob2"/>
      <sheetName val="GA"/>
      <sheetName val="check"/>
      <sheetName val="spis treści"/>
      <sheetName val="Mapowanie"/>
      <sheetName val="PKD"/>
      <sheetName val="ZOIS"/>
      <sheetName val="Tytułowa"/>
      <sheetName val="Wprowadzenie"/>
      <sheetName val="Bilans JIN"/>
      <sheetName val="Bilans-korekty"/>
      <sheetName val="F1"/>
      <sheetName val="F2"/>
      <sheetName val="Bilans po korektach"/>
      <sheetName val="Bilans"/>
      <sheetName val="RZiS JIN"/>
      <sheetName val="RZiS Por. po korektach"/>
      <sheetName val="F3"/>
      <sheetName val="FORMATKA_RPP bezpośredni"/>
      <sheetName val="F1 (2)"/>
      <sheetName val="F2 (2)"/>
      <sheetName val="Bilans JMA-korekty"/>
      <sheetName val="Bilans JMA po kor."/>
      <sheetName val="RZiS Por."/>
      <sheetName val="F3 (2)"/>
      <sheetName val="RZiS Kal."/>
      <sheetName val="RZiS JMA po kor"/>
      <sheetName val="CF mp"/>
      <sheetName val="F4"/>
      <sheetName val="CF kalkulacja"/>
      <sheetName val="nota do CF"/>
      <sheetName val="CF mb"/>
      <sheetName val="F6"/>
      <sheetName val="F5"/>
      <sheetName val="Z. Zm. w Kap."/>
      <sheetName val="Nota do Z. Zm. w Kap."/>
      <sheetName val="ID tytul"/>
      <sheetName val="nota 1.1.-1.2"/>
      <sheetName val="nota 1.3-1.5"/>
      <sheetName val="nota 1.6-1.8"/>
      <sheetName val="nota 1.9-1.16"/>
      <sheetName val="nota 1.17-1.20"/>
      <sheetName val="nota 2"/>
      <sheetName val="CIT2"/>
      <sheetName val="n"/>
      <sheetName val="SPRAWOZDANIE"/>
      <sheetName val="SPRAWOZDANIE S.A."/>
      <sheetName val="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7">
          <cell r="D27" t="str">
            <v>JMA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000-000000000000}" autoFormatId="0" applyNumberFormats="0" applyBorderFormats="0" applyFontFormats="1" applyPatternFormats="1" applyAlignmentFormats="0" applyWidthHeightFormats="0">
  <queryTableRefresh preserveSortFilterLayout="0" nextId="4" unboundColumnsRight="2">
    <queryTableFields count="3">
      <queryTableField id="1" name="Name" tableColumnId="12"/>
      <queryTableField id="2" dataBound="0" tableColumnId="13"/>
      <queryTableField id="3" dataBound="0"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opia_Sprawozdanie_finansowe_2019___duże_jednostki_wzór_v_07_01_2020_z_AX_xlsm" displayName="Kopia_Sprawozdanie_finansowe_2019___duże_jednostki_wzór_v_07_01_2020_z_AX_xlsm" ref="B1:D49" tableType="queryTable" totalsRowShown="0" headerRowDxfId="5" dataDxfId="4">
  <autoFilter ref="B1:D49" xr:uid="{00000000-0009-0000-0100-000001000000}"/>
  <tableColumns count="3">
    <tableColumn id="12" xr3:uid="{00000000-0010-0000-0000-00000C000000}" uniqueName="12" name="1" queryTableFieldId="1" dataDxfId="3"/>
    <tableColumn id="13" xr3:uid="{00000000-0010-0000-0000-00000D000000}" uniqueName="13" name="2" queryTableFieldId="2" dataDxfId="2"/>
    <tableColumn id="14" xr3:uid="{00000000-0010-0000-0000-00000E000000}" uniqueName="14" name="3" queryTableFieldId="3" dataDxfId="1"/>
  </tableColumns>
  <tableStyleInfo name="TableStyleLight1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roedl.com/"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1"/>
  <dimension ref="A1:D49"/>
  <sheetViews>
    <sheetView workbookViewId="0"/>
  </sheetViews>
  <sheetFormatPr defaultColWidth="9.140625" defaultRowHeight="12.75"/>
  <cols>
    <col min="1" max="2" width="9.140625" style="430"/>
    <col min="3" max="3" width="13.28515625" style="430" bestFit="1" customWidth="1"/>
    <col min="4" max="16384" width="9.140625" style="430"/>
  </cols>
  <sheetData>
    <row r="1" spans="1:4" ht="15">
      <c r="A1" s="429"/>
      <c r="B1" s="67" t="s">
        <v>5868</v>
      </c>
      <c r="C1" s="67" t="s">
        <v>5869</v>
      </c>
      <c r="D1" s="67" t="s">
        <v>5870</v>
      </c>
    </row>
    <row r="2" spans="1:4">
      <c r="A2" s="431" t="s">
        <v>5871</v>
      </c>
      <c r="B2" s="67" t="s">
        <v>5871</v>
      </c>
      <c r="C2" s="67" t="s">
        <v>5880</v>
      </c>
      <c r="D2" s="432" t="s">
        <v>5872</v>
      </c>
    </row>
    <row r="3" spans="1:4">
      <c r="A3" s="431" t="s">
        <v>5873</v>
      </c>
      <c r="B3" s="67" t="s">
        <v>5873</v>
      </c>
      <c r="C3" s="67" t="s">
        <v>5881</v>
      </c>
      <c r="D3" s="67" t="s">
        <v>5882</v>
      </c>
    </row>
    <row r="4" spans="1:4">
      <c r="A4" s="431" t="s">
        <v>360</v>
      </c>
      <c r="B4" s="67" t="s">
        <v>360</v>
      </c>
      <c r="C4" s="67" t="s">
        <v>5883</v>
      </c>
      <c r="D4" s="67" t="s">
        <v>5884</v>
      </c>
    </row>
    <row r="5" spans="1:4">
      <c r="A5" s="431" t="s">
        <v>361</v>
      </c>
      <c r="B5" s="67" t="s">
        <v>361</v>
      </c>
      <c r="C5" s="67" t="s">
        <v>5885</v>
      </c>
      <c r="D5" s="67" t="s">
        <v>5886</v>
      </c>
    </row>
    <row r="6" spans="1:4">
      <c r="A6" s="431" t="s">
        <v>5874</v>
      </c>
      <c r="B6" s="67" t="s">
        <v>5874</v>
      </c>
      <c r="C6" s="67" t="s">
        <v>5887</v>
      </c>
      <c r="D6" s="67" t="s">
        <v>5888</v>
      </c>
    </row>
    <row r="7" spans="1:4">
      <c r="A7" s="431" t="s">
        <v>5875</v>
      </c>
      <c r="B7" s="67" t="s">
        <v>5875</v>
      </c>
      <c r="C7" s="67" t="s">
        <v>5889</v>
      </c>
      <c r="D7" s="67" t="s">
        <v>5890</v>
      </c>
    </row>
    <row r="8" spans="1:4">
      <c r="A8" s="431" t="s">
        <v>1100</v>
      </c>
      <c r="B8" s="67" t="s">
        <v>1100</v>
      </c>
      <c r="C8" s="67" t="s">
        <v>5891</v>
      </c>
      <c r="D8" s="67" t="s">
        <v>5892</v>
      </c>
    </row>
    <row r="9" spans="1:4">
      <c r="A9" s="431" t="s">
        <v>6443</v>
      </c>
      <c r="B9" s="67" t="s">
        <v>6443</v>
      </c>
      <c r="C9" s="67" t="s">
        <v>6444</v>
      </c>
      <c r="D9" s="67" t="s">
        <v>6445</v>
      </c>
    </row>
    <row r="10" spans="1:4">
      <c r="A10" s="431" t="s">
        <v>5876</v>
      </c>
      <c r="B10" s="67" t="s">
        <v>5876</v>
      </c>
      <c r="C10" s="67" t="s">
        <v>5893</v>
      </c>
      <c r="D10" s="67" t="s">
        <v>5894</v>
      </c>
    </row>
    <row r="11" spans="1:4">
      <c r="A11" s="431" t="s">
        <v>403</v>
      </c>
      <c r="B11" s="67" t="s">
        <v>403</v>
      </c>
      <c r="C11" s="67" t="s">
        <v>5895</v>
      </c>
      <c r="D11" s="67" t="s">
        <v>5896</v>
      </c>
    </row>
    <row r="12" spans="1:4">
      <c r="A12" s="431" t="s">
        <v>5877</v>
      </c>
      <c r="B12" s="67" t="s">
        <v>5877</v>
      </c>
      <c r="C12" s="67" t="s">
        <v>5897</v>
      </c>
      <c r="D12" s="67" t="s">
        <v>5898</v>
      </c>
    </row>
    <row r="13" spans="1:4">
      <c r="A13" s="431" t="s">
        <v>520</v>
      </c>
      <c r="B13" s="67" t="s">
        <v>520</v>
      </c>
      <c r="C13" s="67" t="s">
        <v>5899</v>
      </c>
      <c r="D13" s="67" t="s">
        <v>5900</v>
      </c>
    </row>
    <row r="14" spans="1:4">
      <c r="A14" s="431" t="s">
        <v>624</v>
      </c>
      <c r="B14" s="67" t="s">
        <v>624</v>
      </c>
      <c r="C14" s="67" t="s">
        <v>5901</v>
      </c>
      <c r="D14" s="67" t="s">
        <v>5902</v>
      </c>
    </row>
    <row r="15" spans="1:4">
      <c r="A15" s="431" t="s">
        <v>408</v>
      </c>
      <c r="B15" s="67" t="s">
        <v>408</v>
      </c>
      <c r="C15" s="67" t="s">
        <v>5903</v>
      </c>
      <c r="D15" s="67" t="s">
        <v>5904</v>
      </c>
    </row>
    <row r="16" spans="1:4">
      <c r="A16" s="431" t="s">
        <v>5878</v>
      </c>
      <c r="B16" s="67" t="s">
        <v>5878</v>
      </c>
      <c r="C16" s="67" t="s">
        <v>5905</v>
      </c>
      <c r="D16" s="67" t="s">
        <v>5906</v>
      </c>
    </row>
    <row r="17" spans="1:4">
      <c r="A17" s="433" t="s">
        <v>5879</v>
      </c>
      <c r="B17" s="67" t="s">
        <v>5879</v>
      </c>
      <c r="C17" s="67" t="s">
        <v>5907</v>
      </c>
      <c r="D17" s="67" t="s">
        <v>5908</v>
      </c>
    </row>
    <row r="18" spans="1:4">
      <c r="A18" s="434" t="s">
        <v>5880</v>
      </c>
      <c r="B18" s="67" t="s">
        <v>5871</v>
      </c>
      <c r="C18" s="67" t="s">
        <v>5880</v>
      </c>
      <c r="D18" s="432" t="s">
        <v>5872</v>
      </c>
    </row>
    <row r="19" spans="1:4">
      <c r="A19" s="434" t="s">
        <v>5881</v>
      </c>
      <c r="B19" s="67" t="s">
        <v>5873</v>
      </c>
      <c r="C19" s="67" t="s">
        <v>5881</v>
      </c>
      <c r="D19" s="67" t="s">
        <v>5882</v>
      </c>
    </row>
    <row r="20" spans="1:4">
      <c r="A20" s="434" t="s">
        <v>5883</v>
      </c>
      <c r="B20" s="67" t="s">
        <v>360</v>
      </c>
      <c r="C20" s="67" t="s">
        <v>5883</v>
      </c>
      <c r="D20" s="67" t="s">
        <v>5884</v>
      </c>
    </row>
    <row r="21" spans="1:4">
      <c r="A21" s="434" t="s">
        <v>5885</v>
      </c>
      <c r="B21" s="67" t="s">
        <v>361</v>
      </c>
      <c r="C21" s="67" t="s">
        <v>5885</v>
      </c>
      <c r="D21" s="67" t="s">
        <v>5886</v>
      </c>
    </row>
    <row r="22" spans="1:4">
      <c r="A22" s="434" t="s">
        <v>5887</v>
      </c>
      <c r="B22" s="67" t="s">
        <v>5874</v>
      </c>
      <c r="C22" s="67" t="s">
        <v>5887</v>
      </c>
      <c r="D22" s="67" t="s">
        <v>5888</v>
      </c>
    </row>
    <row r="23" spans="1:4">
      <c r="A23" s="434" t="s">
        <v>5889</v>
      </c>
      <c r="B23" s="67" t="s">
        <v>5875</v>
      </c>
      <c r="C23" s="67" t="s">
        <v>5889</v>
      </c>
      <c r="D23" s="67" t="s">
        <v>5890</v>
      </c>
    </row>
    <row r="24" spans="1:4">
      <c r="A24" s="434" t="s">
        <v>5891</v>
      </c>
      <c r="B24" s="67" t="s">
        <v>1100</v>
      </c>
      <c r="C24" s="67" t="s">
        <v>5891</v>
      </c>
      <c r="D24" s="67" t="s">
        <v>5892</v>
      </c>
    </row>
    <row r="25" spans="1:4">
      <c r="A25" s="434" t="s">
        <v>6444</v>
      </c>
      <c r="B25" s="67" t="s">
        <v>6443</v>
      </c>
      <c r="C25" s="67" t="s">
        <v>6444</v>
      </c>
      <c r="D25" s="67" t="s">
        <v>6445</v>
      </c>
    </row>
    <row r="26" spans="1:4">
      <c r="A26" s="434" t="s">
        <v>5893</v>
      </c>
      <c r="B26" s="67" t="s">
        <v>5876</v>
      </c>
      <c r="C26" s="67" t="s">
        <v>5893</v>
      </c>
      <c r="D26" s="67" t="s">
        <v>5894</v>
      </c>
    </row>
    <row r="27" spans="1:4">
      <c r="A27" s="434" t="s">
        <v>5895</v>
      </c>
      <c r="B27" s="67" t="s">
        <v>403</v>
      </c>
      <c r="C27" s="67" t="s">
        <v>5895</v>
      </c>
      <c r="D27" s="67" t="s">
        <v>5896</v>
      </c>
    </row>
    <row r="28" spans="1:4">
      <c r="A28" s="434" t="s">
        <v>5897</v>
      </c>
      <c r="B28" s="67" t="s">
        <v>5877</v>
      </c>
      <c r="C28" s="67" t="s">
        <v>5897</v>
      </c>
      <c r="D28" s="67" t="s">
        <v>5898</v>
      </c>
    </row>
    <row r="29" spans="1:4">
      <c r="A29" s="434" t="s">
        <v>5899</v>
      </c>
      <c r="B29" s="67" t="s">
        <v>520</v>
      </c>
      <c r="C29" s="67" t="s">
        <v>5899</v>
      </c>
      <c r="D29" s="67" t="s">
        <v>5900</v>
      </c>
    </row>
    <row r="30" spans="1:4">
      <c r="A30" s="434" t="s">
        <v>5901</v>
      </c>
      <c r="B30" s="67" t="s">
        <v>624</v>
      </c>
      <c r="C30" s="67" t="s">
        <v>5901</v>
      </c>
      <c r="D30" s="67" t="s">
        <v>5902</v>
      </c>
    </row>
    <row r="31" spans="1:4">
      <c r="A31" s="434" t="s">
        <v>5903</v>
      </c>
      <c r="B31" s="67" t="s">
        <v>408</v>
      </c>
      <c r="C31" s="67" t="s">
        <v>5903</v>
      </c>
      <c r="D31" s="67" t="s">
        <v>5904</v>
      </c>
    </row>
    <row r="32" spans="1:4">
      <c r="A32" s="434" t="s">
        <v>5905</v>
      </c>
      <c r="B32" s="67" t="s">
        <v>5878</v>
      </c>
      <c r="C32" s="67" t="s">
        <v>5905</v>
      </c>
      <c r="D32" s="67" t="s">
        <v>5906</v>
      </c>
    </row>
    <row r="33" spans="1:4">
      <c r="A33" s="435" t="s">
        <v>5907</v>
      </c>
      <c r="B33" s="67" t="s">
        <v>5879</v>
      </c>
      <c r="C33" s="67" t="s">
        <v>5907</v>
      </c>
      <c r="D33" s="67" t="s">
        <v>5908</v>
      </c>
    </row>
    <row r="34" spans="1:4">
      <c r="A34" s="436" t="s">
        <v>5872</v>
      </c>
      <c r="B34" s="67" t="s">
        <v>5871</v>
      </c>
      <c r="C34" s="67" t="s">
        <v>5880</v>
      </c>
      <c r="D34" s="432" t="s">
        <v>5872</v>
      </c>
    </row>
    <row r="35" spans="1:4">
      <c r="A35" s="437" t="s">
        <v>5882</v>
      </c>
      <c r="B35" s="67" t="s">
        <v>5873</v>
      </c>
      <c r="C35" s="67" t="s">
        <v>5881</v>
      </c>
      <c r="D35" s="67" t="s">
        <v>5882</v>
      </c>
    </row>
    <row r="36" spans="1:4">
      <c r="A36" s="437" t="s">
        <v>5884</v>
      </c>
      <c r="B36" s="67" t="s">
        <v>360</v>
      </c>
      <c r="C36" s="67" t="s">
        <v>5883</v>
      </c>
      <c r="D36" s="67" t="s">
        <v>5884</v>
      </c>
    </row>
    <row r="37" spans="1:4">
      <c r="A37" s="437" t="s">
        <v>5886</v>
      </c>
      <c r="B37" s="67" t="s">
        <v>361</v>
      </c>
      <c r="C37" s="67" t="s">
        <v>5885</v>
      </c>
      <c r="D37" s="67" t="s">
        <v>5886</v>
      </c>
    </row>
    <row r="38" spans="1:4">
      <c r="A38" s="437" t="s">
        <v>5888</v>
      </c>
      <c r="B38" s="67" t="s">
        <v>5874</v>
      </c>
      <c r="C38" s="67" t="s">
        <v>5887</v>
      </c>
      <c r="D38" s="67" t="s">
        <v>5888</v>
      </c>
    </row>
    <row r="39" spans="1:4">
      <c r="A39" s="437" t="s">
        <v>5890</v>
      </c>
      <c r="B39" s="67" t="s">
        <v>5875</v>
      </c>
      <c r="C39" s="67" t="s">
        <v>5889</v>
      </c>
      <c r="D39" s="67" t="s">
        <v>5890</v>
      </c>
    </row>
    <row r="40" spans="1:4">
      <c r="A40" s="437" t="s">
        <v>5892</v>
      </c>
      <c r="B40" s="67" t="s">
        <v>1100</v>
      </c>
      <c r="C40" s="67" t="s">
        <v>5891</v>
      </c>
      <c r="D40" s="67" t="s">
        <v>5892</v>
      </c>
    </row>
    <row r="41" spans="1:4">
      <c r="A41" s="437" t="s">
        <v>6445</v>
      </c>
      <c r="B41" s="67" t="s">
        <v>6443</v>
      </c>
      <c r="C41" s="67" t="s">
        <v>6444</v>
      </c>
      <c r="D41" s="67" t="s">
        <v>6445</v>
      </c>
    </row>
    <row r="42" spans="1:4">
      <c r="A42" s="437" t="s">
        <v>5894</v>
      </c>
      <c r="B42" s="67" t="s">
        <v>5876</v>
      </c>
      <c r="C42" s="67" t="s">
        <v>5893</v>
      </c>
      <c r="D42" s="67" t="s">
        <v>5894</v>
      </c>
    </row>
    <row r="43" spans="1:4">
      <c r="A43" s="437" t="s">
        <v>5896</v>
      </c>
      <c r="B43" s="67" t="s">
        <v>403</v>
      </c>
      <c r="C43" s="67" t="s">
        <v>5895</v>
      </c>
      <c r="D43" s="67" t="s">
        <v>5896</v>
      </c>
    </row>
    <row r="44" spans="1:4">
      <c r="A44" s="437" t="s">
        <v>5898</v>
      </c>
      <c r="B44" s="67" t="s">
        <v>5877</v>
      </c>
      <c r="C44" s="67" t="s">
        <v>5897</v>
      </c>
      <c r="D44" s="67" t="s">
        <v>5898</v>
      </c>
    </row>
    <row r="45" spans="1:4">
      <c r="A45" s="437" t="s">
        <v>5900</v>
      </c>
      <c r="B45" s="67" t="s">
        <v>520</v>
      </c>
      <c r="C45" s="67" t="s">
        <v>5899</v>
      </c>
      <c r="D45" s="67" t="s">
        <v>5900</v>
      </c>
    </row>
    <row r="46" spans="1:4">
      <c r="A46" s="437" t="s">
        <v>5902</v>
      </c>
      <c r="B46" s="67" t="s">
        <v>624</v>
      </c>
      <c r="C46" s="67" t="s">
        <v>5901</v>
      </c>
      <c r="D46" s="67" t="s">
        <v>5902</v>
      </c>
    </row>
    <row r="47" spans="1:4">
      <c r="A47" s="437" t="s">
        <v>5904</v>
      </c>
      <c r="B47" s="67" t="s">
        <v>408</v>
      </c>
      <c r="C47" s="67" t="s">
        <v>5903</v>
      </c>
      <c r="D47" s="67" t="s">
        <v>5904</v>
      </c>
    </row>
    <row r="48" spans="1:4">
      <c r="A48" s="437" t="s">
        <v>5906</v>
      </c>
      <c r="B48" s="67" t="s">
        <v>5878</v>
      </c>
      <c r="C48" s="67" t="s">
        <v>5905</v>
      </c>
      <c r="D48" s="67" t="s">
        <v>5906</v>
      </c>
    </row>
    <row r="49" spans="1:4">
      <c r="A49" s="438" t="s">
        <v>5908</v>
      </c>
      <c r="B49" s="67" t="s">
        <v>5879</v>
      </c>
      <c r="C49" s="67" t="s">
        <v>5907</v>
      </c>
      <c r="D49" s="67" t="s">
        <v>5908</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5">
    <tabColor rgb="FFFFC000"/>
    <pageSetUpPr fitToPage="1"/>
  </sheetPr>
  <dimension ref="A1:AH151"/>
  <sheetViews>
    <sheetView showGridLines="0" tabSelected="1" view="pageBreakPreview" topLeftCell="A31" zoomScale="110" zoomScaleNormal="75" zoomScaleSheetLayoutView="110" workbookViewId="0">
      <selection activeCell="S85" sqref="S85"/>
    </sheetView>
  </sheetViews>
  <sheetFormatPr defaultColWidth="9.85546875" defaultRowHeight="12.75"/>
  <cols>
    <col min="1" max="1" width="9.85546875" style="66"/>
    <col min="2" max="3" width="13.85546875" style="66" bestFit="1" customWidth="1"/>
    <col min="4" max="5" width="3" style="243" customWidth="1"/>
    <col min="6" max="8" width="3" style="72" customWidth="1"/>
    <col min="9" max="9" width="42.7109375" style="66" customWidth="1"/>
    <col min="10" max="10" width="14.5703125" style="38" customWidth="1"/>
    <col min="11" max="11" width="14.5703125" style="38" bestFit="1" customWidth="1"/>
    <col min="12" max="13" width="3" style="66" customWidth="1"/>
    <col min="14" max="14" width="3.42578125" style="66" customWidth="1"/>
    <col min="15" max="17" width="3" style="66" customWidth="1"/>
    <col min="18" max="18" width="50.42578125" style="66" customWidth="1"/>
    <col min="19" max="19" width="14.5703125" style="38" customWidth="1"/>
    <col min="20" max="20" width="15.140625" style="38" bestFit="1" customWidth="1"/>
    <col min="21" max="21" width="13.7109375" style="66" customWidth="1"/>
    <col min="22" max="22" width="12.42578125" style="66" customWidth="1"/>
    <col min="23" max="25" width="9.85546875" style="66"/>
    <col min="26" max="26" width="9.85546875" style="67"/>
    <col min="27" max="16384" width="9.85546875" style="66"/>
  </cols>
  <sheetData>
    <row r="1" spans="1:28">
      <c r="B1" s="773" t="s">
        <v>1257</v>
      </c>
      <c r="C1" s="773"/>
      <c r="D1" s="773"/>
      <c r="E1" s="773"/>
      <c r="F1" s="773"/>
      <c r="G1" s="773"/>
      <c r="H1" s="773"/>
      <c r="I1" s="773"/>
      <c r="J1" s="773"/>
      <c r="K1" s="773"/>
      <c r="L1" s="773"/>
      <c r="M1" s="773"/>
      <c r="N1" s="773"/>
      <c r="O1" s="773"/>
      <c r="P1" s="773"/>
      <c r="Q1" s="773"/>
      <c r="R1" s="773"/>
      <c r="S1" s="773"/>
      <c r="T1" s="773"/>
      <c r="U1" s="773"/>
      <c r="V1" s="773"/>
    </row>
    <row r="2" spans="1:28">
      <c r="D2" s="774" t="str">
        <f>nazwa_spolki&amp;", "&amp;siedziba</f>
        <v>Rhenus Digital Workforce Sp. z o.o., Warszawa</v>
      </c>
      <c r="E2" s="774"/>
      <c r="F2" s="774"/>
      <c r="G2" s="774"/>
      <c r="H2" s="774"/>
      <c r="I2" s="774"/>
      <c r="J2" s="774"/>
      <c r="K2" s="774"/>
      <c r="L2" s="774"/>
      <c r="M2" s="774"/>
      <c r="N2" s="774"/>
      <c r="O2" s="774"/>
      <c r="P2" s="774"/>
      <c r="Q2" s="774"/>
      <c r="R2" s="774"/>
      <c r="S2" s="774"/>
      <c r="T2" s="774"/>
    </row>
    <row r="3" spans="1:28">
      <c r="D3" s="775" t="str">
        <f>CHOOSE(jezyk,n!A286,n!B286,n!C286,n!D286)</f>
        <v>Bilans na dzień 31.12.2024</v>
      </c>
      <c r="E3" s="775"/>
      <c r="F3" s="775"/>
      <c r="G3" s="775"/>
      <c r="H3" s="775"/>
      <c r="I3" s="775"/>
      <c r="J3" s="775"/>
      <c r="K3" s="775"/>
      <c r="L3" s="775"/>
      <c r="M3" s="775"/>
      <c r="N3" s="775"/>
      <c r="O3" s="775"/>
      <c r="P3" s="775"/>
      <c r="Q3" s="775"/>
      <c r="R3" s="775"/>
      <c r="S3" s="775"/>
      <c r="T3" s="775"/>
    </row>
    <row r="4" spans="1:28">
      <c r="D4" s="776" t="s">
        <v>764</v>
      </c>
      <c r="E4" s="776" t="s">
        <v>764</v>
      </c>
      <c r="F4" s="776" t="s">
        <v>764</v>
      </c>
      <c r="G4" s="776"/>
      <c r="H4" s="776"/>
      <c r="I4" s="776" t="s">
        <v>764</v>
      </c>
      <c r="J4" s="776" t="s">
        <v>764</v>
      </c>
      <c r="K4" s="776" t="s">
        <v>764</v>
      </c>
      <c r="L4" s="776" t="s">
        <v>764</v>
      </c>
      <c r="M4" s="776" t="s">
        <v>764</v>
      </c>
      <c r="N4" s="776" t="s">
        <v>764</v>
      </c>
      <c r="O4" s="776" t="s">
        <v>764</v>
      </c>
      <c r="P4" s="776"/>
      <c r="Q4" s="776"/>
      <c r="R4" s="776" t="s">
        <v>764</v>
      </c>
      <c r="S4" s="776" t="s">
        <v>764</v>
      </c>
      <c r="T4" s="776" t="s">
        <v>764</v>
      </c>
    </row>
    <row r="5" spans="1:28">
      <c r="D5" s="245"/>
      <c r="E5" s="245"/>
      <c r="F5" s="245"/>
      <c r="G5" s="245"/>
      <c r="H5" s="245"/>
      <c r="I5" s="245"/>
      <c r="J5" s="246"/>
      <c r="K5" s="246"/>
      <c r="L5" s="246"/>
      <c r="M5" s="246"/>
      <c r="N5" s="246"/>
      <c r="O5" s="245"/>
      <c r="P5" s="245"/>
      <c r="Q5" s="245"/>
      <c r="R5" s="245"/>
      <c r="S5" s="246"/>
    </row>
    <row r="6" spans="1:28">
      <c r="B6" s="295"/>
      <c r="D6" s="92" t="str">
        <f>CHOOSE(jezyk,n!A292,n!B292,n!C292,n!D292)</f>
        <v>AKTYWA</v>
      </c>
      <c r="E6" s="66"/>
      <c r="F6" s="66"/>
      <c r="G6" s="66"/>
      <c r="H6" s="66"/>
      <c r="J6" s="296" t="str">
        <f>dzb</f>
        <v>31.12.2024</v>
      </c>
      <c r="K6" s="108" t="str">
        <f>CHOOSE(jezyk,n!A288,n!B288,n!C288,n!D288)</f>
        <v>Rok poprzedni</v>
      </c>
      <c r="L6" s="296"/>
      <c r="M6" s="92" t="str">
        <f>CHOOSE(jezyk,n!A360,n!B360,n!C360,n!D360)</f>
        <v>PASYWA</v>
      </c>
      <c r="N6" s="296"/>
      <c r="S6" s="296" t="str">
        <f>dzb</f>
        <v>31.12.2024</v>
      </c>
      <c r="T6" s="108" t="str">
        <f>CHOOSE(jezyk,n!A288,n!B288,n!C288,n!D288)</f>
        <v>Rok poprzedni</v>
      </c>
      <c r="Z6" s="66"/>
    </row>
    <row r="7" spans="1:28">
      <c r="D7" s="66"/>
      <c r="E7" s="66"/>
      <c r="F7" s="66"/>
      <c r="G7" s="66"/>
      <c r="H7" s="66"/>
      <c r="J7" s="297" t="s">
        <v>35</v>
      </c>
      <c r="K7" s="297" t="s">
        <v>35</v>
      </c>
      <c r="L7" s="296"/>
      <c r="M7" s="296"/>
      <c r="N7" s="296"/>
      <c r="O7" s="253"/>
      <c r="P7" s="253"/>
      <c r="Q7" s="253"/>
      <c r="S7" s="297" t="s">
        <v>35</v>
      </c>
      <c r="T7" s="297" t="s">
        <v>35</v>
      </c>
      <c r="Z7" s="66"/>
    </row>
    <row r="8" spans="1:28" s="245" customFormat="1">
      <c r="A8" s="66"/>
      <c r="B8" s="66"/>
      <c r="C8" s="66"/>
      <c r="D8" s="298"/>
      <c r="E8" s="299" t="s">
        <v>764</v>
      </c>
      <c r="J8" s="246"/>
      <c r="K8" s="246"/>
      <c r="L8" s="246"/>
      <c r="M8" s="246"/>
      <c r="N8" s="246"/>
      <c r="R8" s="298"/>
      <c r="S8" s="246"/>
      <c r="T8" s="246"/>
      <c r="AB8" s="66"/>
    </row>
    <row r="9" spans="1:28">
      <c r="D9" s="243" t="s">
        <v>1446</v>
      </c>
      <c r="E9" s="118" t="str">
        <f>CHOOSE(jezyk,n!A293,n!B293,n!C293,n!D293)</f>
        <v>Aktywa trwałe</v>
      </c>
      <c r="F9" s="243"/>
      <c r="G9" s="243"/>
      <c r="H9" s="243"/>
      <c r="I9" s="243"/>
      <c r="J9" s="300">
        <f>SUM(J11,J18,J31,J37,J63)</f>
        <v>387461</v>
      </c>
      <c r="K9" s="300">
        <f>SUM(K11,K18,K31,K37,K63)</f>
        <v>0</v>
      </c>
      <c r="L9" s="38"/>
      <c r="M9" s="243" t="s">
        <v>1446</v>
      </c>
      <c r="N9" s="118" t="str">
        <f>CHOOSE(jezyk,n!A361,n!B361,n!C361,n!D361)</f>
        <v>Kapitał  (fundusz) własny</v>
      </c>
      <c r="O9" s="243"/>
      <c r="P9" s="243"/>
      <c r="Q9" s="243"/>
      <c r="R9" s="243"/>
      <c r="S9" s="300">
        <f>SUM(S11,S12,S14,S16,S19,S20,S21)</f>
        <v>464172.37000000081</v>
      </c>
      <c r="T9" s="300">
        <f>SUM(T11,T12,T14,T16,T19,T20,T21)</f>
        <v>1E-4</v>
      </c>
      <c r="Z9" s="66"/>
    </row>
    <row r="10" spans="1:28">
      <c r="B10" s="296" t="str">
        <f>dzb</f>
        <v>31.12.2024</v>
      </c>
      <c r="C10" s="108" t="str">
        <f>CHOOSE(jezyk,n!A288,n!B288,n!C288,n!D288)</f>
        <v>Rok poprzedni</v>
      </c>
      <c r="F10" s="66"/>
      <c r="G10" s="66"/>
      <c r="H10" s="66"/>
      <c r="L10" s="38"/>
      <c r="M10" s="72"/>
      <c r="N10" s="72"/>
      <c r="O10" s="111" t="s">
        <v>764</v>
      </c>
      <c r="P10" s="111"/>
      <c r="Q10" s="111"/>
      <c r="S10" s="182"/>
      <c r="T10" s="182"/>
    </row>
    <row r="11" spans="1:28">
      <c r="B11" s="215">
        <f>J11-'nota 1.1.-1.2'!E37</f>
        <v>0</v>
      </c>
      <c r="C11" s="215">
        <f>K11-'nota 1.1.-1.2'!C37</f>
        <v>0</v>
      </c>
      <c r="E11" s="243" t="s">
        <v>1447</v>
      </c>
      <c r="F11" s="118" t="str">
        <f>CHOOSE(jezyk,n!A294,n!B294,n!C294,n!D294)</f>
        <v>Wartości niematerialne i prawne</v>
      </c>
      <c r="G11" s="118"/>
      <c r="H11" s="118"/>
      <c r="I11" s="243"/>
      <c r="J11" s="301">
        <f>SUM(J13:J16)</f>
        <v>79539</v>
      </c>
      <c r="K11" s="301">
        <f>SUM(K13:K16)</f>
        <v>0</v>
      </c>
      <c r="L11" s="38"/>
      <c r="M11" s="38"/>
      <c r="N11" s="111" t="s">
        <v>1447</v>
      </c>
      <c r="O11" s="118" t="str">
        <f>CHOOSE(jezyk,n!A362,n!B362,n!C362,n!D362)</f>
        <v>Kapitał (fundusz) podstawowy</v>
      </c>
      <c r="P11" s="118"/>
      <c r="Q11" s="118"/>
      <c r="S11" s="309">
        <v>100000</v>
      </c>
      <c r="T11" s="302">
        <f>IFERROR(VLOOKUP(X11,#REF!,2,FALSE),0)*-1</f>
        <v>0</v>
      </c>
      <c r="X11" s="274"/>
    </row>
    <row r="12" spans="1:28">
      <c r="F12" s="111"/>
      <c r="G12" s="111"/>
      <c r="H12" s="111"/>
      <c r="L12" s="38"/>
      <c r="M12" s="38"/>
      <c r="N12" s="111" t="s">
        <v>1449</v>
      </c>
      <c r="O12" s="118" t="str">
        <f>CHOOSE(jezyk,n!A365,n!B365,n!C365,n!D365)</f>
        <v>Kapitał (fundusz) zapasowy, w tym:</v>
      </c>
      <c r="P12" s="118"/>
      <c r="Q12" s="118"/>
      <c r="S12" s="309">
        <f>IFERROR(VLOOKUP(X12,#REF!,2,FALSE),0)*-1</f>
        <v>0</v>
      </c>
      <c r="T12" s="302">
        <f>IFERROR(VLOOKUP(X12,#REF!,2,FALSE),0)*-1</f>
        <v>0</v>
      </c>
      <c r="X12" s="274"/>
    </row>
    <row r="13" spans="1:28" ht="27.75" customHeight="1">
      <c r="B13" s="215">
        <f>J13-'nota 1.1.-1.2'!E33</f>
        <v>0</v>
      </c>
      <c r="C13" s="215">
        <f>K13-'nota 1.1.-1.2'!C33</f>
        <v>0</v>
      </c>
      <c r="F13" s="72" t="s">
        <v>1448</v>
      </c>
      <c r="G13" s="92" t="str">
        <f>CHOOSE(jezyk,n!A295,n!B295,n!C295,n!D295)</f>
        <v>Koszty zakończonych prac rozwojowych</v>
      </c>
      <c r="H13" s="92"/>
      <c r="I13" s="72"/>
      <c r="J13" s="115">
        <f>IFERROR(VLOOKUP(AB13,#REF!,2,FALSE),0)</f>
        <v>0</v>
      </c>
      <c r="K13" s="115">
        <f>IFERROR(VLOOKUP(AB13,#REF!,2,FALSE),0)</f>
        <v>0</v>
      </c>
      <c r="L13" s="38"/>
      <c r="M13" s="38"/>
      <c r="N13" s="111"/>
      <c r="O13" s="118"/>
      <c r="P13" s="72" t="s">
        <v>533</v>
      </c>
      <c r="Q13" s="772" t="str">
        <f>CHOOSE(jezyk,n!A366,n!B366,n!C366,n!D366)</f>
        <v>nadwyżka wartości sprzedaży (wartości emisyjnej) nad wartością nominalną udziałów (akcji)</v>
      </c>
      <c r="R13" s="772"/>
      <c r="S13" s="309">
        <f>IFERROR(VLOOKUP(X13,#REF!,2,FALSE),0)*-1</f>
        <v>0</v>
      </c>
      <c r="T13" s="302">
        <f>IFERROR(VLOOKUP(X13,#REF!,2,FALSE),0)*-1</f>
        <v>0</v>
      </c>
      <c r="X13" s="274"/>
      <c r="AB13" s="303"/>
    </row>
    <row r="14" spans="1:28">
      <c r="B14" s="215">
        <f>J14-'nota 1.1.-1.2'!E34</f>
        <v>0</v>
      </c>
      <c r="C14" s="215">
        <f>K14-'nota 1.1.-1.2'!C34</f>
        <v>0</v>
      </c>
      <c r="F14" s="72" t="s">
        <v>1450</v>
      </c>
      <c r="G14" s="92" t="str">
        <f>CHOOSE(jezyk,n!A296,n!B296,n!C296,n!D296)</f>
        <v>Wartość firmy</v>
      </c>
      <c r="H14" s="92"/>
      <c r="I14" s="72"/>
      <c r="J14" s="115">
        <v>28334</v>
      </c>
      <c r="K14" s="115">
        <f>IFERROR(VLOOKUP(AB14,#REF!,2,FALSE),0)</f>
        <v>0</v>
      </c>
      <c r="L14" s="38"/>
      <c r="M14" s="38"/>
      <c r="N14" s="243" t="s">
        <v>1451</v>
      </c>
      <c r="O14" s="118" t="str">
        <f>CHOOSE(jezyk,n!A367,n!B367,n!C367,n!D367)</f>
        <v>Kapitał (fundusz) z aktualizacji wyceny, w tym:</v>
      </c>
      <c r="P14" s="118"/>
      <c r="Q14" s="118"/>
      <c r="S14" s="309">
        <f>IFERROR(VLOOKUP(X14,#REF!,2,FALSE),0)*-1</f>
        <v>0</v>
      </c>
      <c r="T14" s="302">
        <f>IFERROR(VLOOKUP(X14,#REF!,2,FALSE),0)*-1</f>
        <v>0</v>
      </c>
      <c r="X14" s="274"/>
      <c r="AB14" s="303"/>
    </row>
    <row r="15" spans="1:28">
      <c r="B15" s="215">
        <f>J15-'nota 1.1.-1.2'!E35</f>
        <v>0</v>
      </c>
      <c r="C15" s="215">
        <f>K15-'nota 1.1.-1.2'!C35</f>
        <v>0</v>
      </c>
      <c r="F15" s="72" t="s">
        <v>782</v>
      </c>
      <c r="G15" s="92" t="str">
        <f>CHOOSE(jezyk,n!A297,n!B297,n!C297,n!D297)</f>
        <v>Inne wartości niematerialne i prawne</v>
      </c>
      <c r="H15" s="92"/>
      <c r="I15" s="72"/>
      <c r="J15" s="115">
        <v>51205</v>
      </c>
      <c r="K15" s="115">
        <f>IFERROR(VLOOKUP(AB15,#REF!,2,FALSE),0)</f>
        <v>0</v>
      </c>
      <c r="L15" s="38"/>
      <c r="M15" s="38"/>
      <c r="N15" s="243"/>
      <c r="O15" s="118"/>
      <c r="P15" s="72" t="s">
        <v>533</v>
      </c>
      <c r="Q15" s="92" t="str">
        <f>CHOOSE(jezyk,n!A368,n!B368,n!C368,n!D368)</f>
        <v>z tytułu aktualizacji wartości godziwej</v>
      </c>
      <c r="S15" s="309">
        <f>IFERROR(VLOOKUP(X15,#REF!,2,FALSE),0)*-1</f>
        <v>0</v>
      </c>
      <c r="T15" s="302">
        <f>IFERROR(VLOOKUP(X15,#REF!,2,FALSE),0)*-1</f>
        <v>0</v>
      </c>
      <c r="X15" s="274"/>
      <c r="AB15" s="303"/>
    </row>
    <row r="16" spans="1:28">
      <c r="B16" s="215">
        <f>J16-'nota 1.1.-1.2'!E36</f>
        <v>0</v>
      </c>
      <c r="C16" s="215">
        <f>K16-'nota 1.1.-1.2'!C36</f>
        <v>0</v>
      </c>
      <c r="F16" s="72" t="s">
        <v>1452</v>
      </c>
      <c r="G16" s="92" t="str">
        <f>CHOOSE(jezyk,n!A298,n!B298,n!C298,n!D298)</f>
        <v>Zaliczki na wartości niematerialne i prawne</v>
      </c>
      <c r="H16" s="92"/>
      <c r="I16" s="72"/>
      <c r="J16" s="115">
        <f>IFERROR(VLOOKUP(AB16,#REF!,2,FALSE),0)</f>
        <v>0</v>
      </c>
      <c r="K16" s="115">
        <f>IFERROR(VLOOKUP(AB16,#REF!,2,FALSE),0)</f>
        <v>0</v>
      </c>
      <c r="L16" s="38"/>
      <c r="M16" s="38"/>
      <c r="N16" s="111" t="s">
        <v>1454</v>
      </c>
      <c r="O16" s="118" t="str">
        <f>CHOOSE(jezyk,n!A369,n!B369,n!C369,n!D369)</f>
        <v>Pozostałe kapitały (fundusze) rezerwowe, w tym:</v>
      </c>
      <c r="P16" s="118"/>
      <c r="Q16" s="118"/>
      <c r="S16" s="309">
        <f>IFERROR(VLOOKUP(X16,#REF!,2,FALSE),0)*-1</f>
        <v>0</v>
      </c>
      <c r="T16" s="302">
        <f>IFERROR(VLOOKUP(X16,#REF!,2,FALSE),0)*-1</f>
        <v>0</v>
      </c>
      <c r="X16" s="274"/>
      <c r="AB16" s="303"/>
    </row>
    <row r="17" spans="2:28">
      <c r="I17" s="92"/>
      <c r="J17" s="306"/>
      <c r="L17" s="38"/>
      <c r="M17" s="38"/>
      <c r="N17" s="111"/>
      <c r="O17" s="118"/>
      <c r="P17" s="72" t="s">
        <v>533</v>
      </c>
      <c r="Q17" s="92" t="str">
        <f>CHOOSE(jezyk,n!A370,n!B370,n!C370,n!D370)</f>
        <v>tworzone zgodnie z umową (statutem) spółki</v>
      </c>
      <c r="S17" s="309">
        <f>IFERROR(VLOOKUP(X17,#REF!,2,FALSE),0)*-1</f>
        <v>0</v>
      </c>
      <c r="T17" s="302">
        <f>IFERROR(VLOOKUP(X17,#REF!,2,FALSE),0)*-1</f>
        <v>0</v>
      </c>
      <c r="X17" s="305"/>
    </row>
    <row r="18" spans="2:28">
      <c r="B18" s="215">
        <f>J18-'nota 1.1.-1.2'!F113</f>
        <v>0</v>
      </c>
      <c r="C18" s="215">
        <f>K18-'nota 1.1.-1.2'!E113</f>
        <v>0</v>
      </c>
      <c r="E18" s="243" t="s">
        <v>1449</v>
      </c>
      <c r="F18" s="118" t="str">
        <f>CHOOSE(jezyk,n!A299,n!B299,n!C299,n!D299)</f>
        <v>Rzeczowe aktywa trwałe</v>
      </c>
      <c r="G18" s="118"/>
      <c r="H18" s="118"/>
      <c r="I18" s="111"/>
      <c r="J18" s="301">
        <f>SUM(J26:J29)</f>
        <v>226772</v>
      </c>
      <c r="K18" s="301">
        <f>SUM(K26:K29)</f>
        <v>0</v>
      </c>
      <c r="L18" s="38"/>
      <c r="M18" s="38"/>
      <c r="N18" s="111"/>
      <c r="O18" s="118"/>
      <c r="P18" s="72" t="s">
        <v>533</v>
      </c>
      <c r="Q18" s="92" t="str">
        <f>CHOOSE(jezyk,n!A371,n!B371,n!C371,n!D371)</f>
        <v>na udziały (akcje) własne</v>
      </c>
      <c r="S18" s="309">
        <f>IFERROR(VLOOKUP(X18,#REF!,2,FALSE),0)*-1</f>
        <v>0</v>
      </c>
      <c r="T18" s="302">
        <f>IFERROR(VLOOKUP(X18,#REF!,2,FALSE),0)*-1</f>
        <v>0</v>
      </c>
      <c r="X18" s="303"/>
    </row>
    <row r="19" spans="2:28">
      <c r="I19" s="72"/>
      <c r="K19" s="306"/>
      <c r="L19" s="38"/>
      <c r="M19" s="38"/>
      <c r="N19" s="182" t="s">
        <v>1455</v>
      </c>
      <c r="O19" s="118" t="str">
        <f>CHOOSE(jezyk,n!A372,n!B372,n!C372,n!D372)</f>
        <v>Zysk (strata) z lat ubiegłych</v>
      </c>
      <c r="P19" s="118"/>
      <c r="Q19" s="118"/>
      <c r="R19" s="307"/>
      <c r="S19" s="309">
        <f>IFERROR(VLOOKUP(X19,#REF!,2,FALSE),0)*-1</f>
        <v>0</v>
      </c>
      <c r="T19" s="302">
        <f>IFERROR(VLOOKUP(X19,#REF!,2,FALSE),0)*-1</f>
        <v>0</v>
      </c>
      <c r="U19" s="296" t="str">
        <f>dzb</f>
        <v>31.12.2024</v>
      </c>
      <c r="V19" s="108" t="str">
        <f>CHOOSE(jezyk,n!A288,n!B288,n!C288,n!D288)</f>
        <v>Rok poprzedni</v>
      </c>
      <c r="X19" s="274"/>
    </row>
    <row r="20" spans="2:28">
      <c r="D20" s="72" t="s">
        <v>764</v>
      </c>
      <c r="F20" s="72" t="s">
        <v>1448</v>
      </c>
      <c r="G20" s="92" t="str">
        <f>CHOOSE(jezyk,n!A300,n!B300,n!C300,n!D300)</f>
        <v>Środki trwałe</v>
      </c>
      <c r="H20" s="92"/>
      <c r="I20" s="72"/>
      <c r="L20" s="38"/>
      <c r="M20" s="38"/>
      <c r="N20" s="182" t="s">
        <v>1456</v>
      </c>
      <c r="O20" s="118" t="str">
        <f>CHOOSE(jezyk,n!A373,n!B373,n!C373,n!D373)</f>
        <v>Zysk (strata) netto</v>
      </c>
      <c r="P20" s="118"/>
      <c r="Q20" s="118"/>
      <c r="R20" s="307"/>
      <c r="S20" s="308">
        <f>IF(wrach=1,'RZiS Por. '!E81,'RZiS Kal.'!F77)</f>
        <v>364172.37000000081</v>
      </c>
      <c r="T20" s="308">
        <f>IF(wrach=1,'RZiS Por. '!F81,'RZiS Kal.'!G77)</f>
        <v>1E-4</v>
      </c>
      <c r="U20" s="215">
        <f>IF(wrach=1,S20-'RZiS Por. '!E81,S20-'RZiS Kal.'!F77)</f>
        <v>0</v>
      </c>
      <c r="V20" s="215">
        <f>IF(wrach=1,T20-'RZiS Por. '!F81,T20-'RZiS Kal.'!G77)</f>
        <v>0</v>
      </c>
      <c r="X20" s="274"/>
    </row>
    <row r="21" spans="2:28">
      <c r="B21" s="215">
        <f>J21-'nota 1.1.-1.2'!F106</f>
        <v>0</v>
      </c>
      <c r="C21" s="215">
        <f>K21-'nota 1.1.-1.2'!E106</f>
        <v>0</v>
      </c>
      <c r="G21" s="72" t="s">
        <v>1459</v>
      </c>
      <c r="H21" s="92" t="str">
        <f>CHOOSE(jezyk,n!A301,n!B301,n!C301,n!D301)</f>
        <v>grunty (w tym prawo użytkowania wieczystego gruntu)</v>
      </c>
      <c r="J21" s="115">
        <f>IFERROR(VLOOKUP(AB21,#REF!,2,FALSE),0)</f>
        <v>0</v>
      </c>
      <c r="K21" s="115">
        <f>IFERROR(VLOOKUP(AB21,#REF!,2,FALSE),0)</f>
        <v>0</v>
      </c>
      <c r="L21" s="38"/>
      <c r="M21" s="38"/>
      <c r="N21" s="118" t="s">
        <v>1457</v>
      </c>
      <c r="O21" s="771" t="str">
        <f>CHOOSE(jezyk,n!A374,n!B374,n!C374,n!D374)</f>
        <v>Odpisy z zysku netto w ciągu roku obrotowego
 (wielkość ujemna)</v>
      </c>
      <c r="P21" s="771"/>
      <c r="Q21" s="771"/>
      <c r="R21" s="771"/>
      <c r="S21" s="119">
        <f>IFERROR(VLOOKUP(X21,#REF!,2,FALSE),0)*-1</f>
        <v>0</v>
      </c>
      <c r="T21" s="119">
        <f>IFERROR(VLOOKUP(X21,#REF!,2,FALSE),0)*-1</f>
        <v>0</v>
      </c>
      <c r="X21" s="274"/>
      <c r="AB21" s="274"/>
    </row>
    <row r="22" spans="2:28" ht="24.75" customHeight="1">
      <c r="B22" s="215">
        <f>J22-'nota 1.1.-1.2'!F107</f>
        <v>0</v>
      </c>
      <c r="C22" s="215">
        <f>K22-'nota 1.1.-1.2'!E107</f>
        <v>0</v>
      </c>
      <c r="F22" s="111"/>
      <c r="G22" s="72" t="s">
        <v>1460</v>
      </c>
      <c r="H22" s="772" t="str">
        <f>CHOOSE(jezyk,n!A302,n!B302,n!C302,n!D302)</f>
        <v>budynki, lokale, prawa do lokali i obiekty inżynierii lądowej i wodnej</v>
      </c>
      <c r="I22" s="772"/>
      <c r="J22" s="309">
        <f>IFERROR(VLOOKUP(AB22,#REF!,2,FALSE),0)</f>
        <v>0</v>
      </c>
      <c r="K22" s="115">
        <f>IFERROR(VLOOKUP(AB22,#REF!,2,FALSE),0)</f>
        <v>0</v>
      </c>
      <c r="L22" s="38"/>
      <c r="M22" s="38"/>
      <c r="O22" s="771"/>
      <c r="P22" s="771"/>
      <c r="Q22" s="771"/>
      <c r="R22" s="771"/>
      <c r="AB22" s="274"/>
    </row>
    <row r="23" spans="2:28">
      <c r="B23" s="215">
        <f>J23-'nota 1.1.-1.2'!F108</f>
        <v>0</v>
      </c>
      <c r="C23" s="215">
        <f>K23-'nota 1.1.-1.2'!E108</f>
        <v>0</v>
      </c>
      <c r="G23" s="72" t="s">
        <v>1461</v>
      </c>
      <c r="H23" s="92" t="str">
        <f>CHOOSE(jezyk,n!A303,n!B303,n!C303,n!D303)</f>
        <v>urządzenia techniczne i maszyny</v>
      </c>
      <c r="J23" s="309">
        <v>226772</v>
      </c>
      <c r="K23" s="115">
        <f>IFERROR(VLOOKUP(AB23,#REF!,2,FALSE),0)</f>
        <v>0</v>
      </c>
      <c r="L23" s="38"/>
      <c r="X23" s="108"/>
      <c r="AB23" s="274"/>
    </row>
    <row r="24" spans="2:28">
      <c r="B24" s="215">
        <f>J24-'nota 1.1.-1.2'!F109</f>
        <v>0</v>
      </c>
      <c r="C24" s="215">
        <f>K24-'nota 1.1.-1.2'!E109</f>
        <v>0</v>
      </c>
      <c r="G24" s="72" t="s">
        <v>1122</v>
      </c>
      <c r="H24" s="92" t="str">
        <f>CHOOSE(jezyk,n!A304,n!B304,n!C304,n!D304)</f>
        <v>środki transportu</v>
      </c>
      <c r="J24" s="309">
        <f>IFERROR(VLOOKUP(AB24,#REF!,2,FALSE),0)</f>
        <v>0</v>
      </c>
      <c r="K24" s="115">
        <f>IFERROR(VLOOKUP(AB24,#REF!,2,FALSE),0)</f>
        <v>0</v>
      </c>
      <c r="L24" s="38"/>
      <c r="X24" s="108"/>
      <c r="AB24" s="274"/>
    </row>
    <row r="25" spans="2:28">
      <c r="B25" s="215">
        <f>J25-'nota 1.1.-1.2'!F110</f>
        <v>0</v>
      </c>
      <c r="C25" s="215">
        <f>K25-'nota 1.1.-1.2'!E110</f>
        <v>0</v>
      </c>
      <c r="G25" s="72" t="s">
        <v>1123</v>
      </c>
      <c r="H25" s="92" t="str">
        <f>CHOOSE(jezyk,n!A305,n!B305,n!C305,n!D305)</f>
        <v>inne środki trwałe</v>
      </c>
      <c r="J25" s="310">
        <f>IFERROR(VLOOKUP(AB25,#REF!,2,FALSE),0)</f>
        <v>0</v>
      </c>
      <c r="K25" s="115">
        <f>IFERROR(VLOOKUP(AB25,#REF!,2,FALSE),0)</f>
        <v>0</v>
      </c>
      <c r="L25" s="38"/>
      <c r="M25" s="38"/>
      <c r="N25" s="38"/>
      <c r="O25" s="118"/>
      <c r="P25" s="118"/>
      <c r="Q25" s="118"/>
      <c r="R25" s="307"/>
      <c r="AB25" s="274"/>
    </row>
    <row r="26" spans="2:28">
      <c r="B26" s="215"/>
      <c r="C26" s="215"/>
      <c r="I26" s="92"/>
      <c r="J26" s="311">
        <f>SUM(J21:J25)</f>
        <v>226772</v>
      </c>
      <c r="K26" s="311">
        <f>SUM(K21:K25)</f>
        <v>0</v>
      </c>
      <c r="L26" s="38"/>
      <c r="M26" s="182" t="s">
        <v>1458</v>
      </c>
      <c r="N26" s="182" t="str">
        <f>CHOOSE(jezyk,n!A375,n!B375,n!C375,n!D375)</f>
        <v>Zobowiązania i rezerwy na zobowiązania</v>
      </c>
      <c r="O26" s="111"/>
      <c r="P26" s="111"/>
      <c r="Q26" s="111"/>
      <c r="R26" s="312"/>
      <c r="S26" s="301">
        <f>SUM(S28,S41,S55,S92)</f>
        <v>3394382.79</v>
      </c>
      <c r="T26" s="301">
        <f>SUM(T28,T41,T55,T92)</f>
        <v>0</v>
      </c>
    </row>
    <row r="27" spans="2:28">
      <c r="I27" s="92"/>
      <c r="K27" s="306"/>
      <c r="L27" s="38"/>
      <c r="M27" s="38"/>
      <c r="O27" s="72"/>
      <c r="P27" s="72"/>
      <c r="Q27" s="72"/>
      <c r="R27" s="72"/>
      <c r="S27" s="306"/>
      <c r="T27" s="92"/>
      <c r="U27" s="296" t="str">
        <f>dzb</f>
        <v>31.12.2024</v>
      </c>
      <c r="V27" s="108" t="str">
        <f>CHOOSE(jezyk,n!A288,n!B288,n!C288,n!D288)</f>
        <v>Rok poprzedni</v>
      </c>
    </row>
    <row r="28" spans="2:28">
      <c r="B28" s="215">
        <f>J28-'nota 1.1.-1.2'!F111</f>
        <v>0</v>
      </c>
      <c r="C28" s="215">
        <f>K28-'nota 1.1.-1.2'!E111</f>
        <v>0</v>
      </c>
      <c r="F28" s="72" t="s">
        <v>1450</v>
      </c>
      <c r="G28" s="92" t="str">
        <f>CHOOSE(jezyk,n!A306,n!B306,n!C306,n!D306)</f>
        <v>Środki trwałe w budowie</v>
      </c>
      <c r="H28" s="92"/>
      <c r="I28" s="72"/>
      <c r="J28" s="309">
        <f>IFERROR(VLOOKUP(AB28,#REF!,2,FALSE),0)</f>
        <v>0</v>
      </c>
      <c r="K28" s="302">
        <f>IFERROR(VLOOKUP(AB28,#REF!,2,FALSE),0)</f>
        <v>0</v>
      </c>
      <c r="L28" s="38"/>
      <c r="M28" s="38"/>
      <c r="N28" s="243" t="s">
        <v>1447</v>
      </c>
      <c r="O28" s="118" t="str">
        <f>CHOOSE(jezyk,n!A376,n!B376,n!C376,n!D376)</f>
        <v>Rezerwy na zobowiązania</v>
      </c>
      <c r="P28" s="72"/>
      <c r="Q28" s="72"/>
      <c r="R28" s="72"/>
      <c r="S28" s="112">
        <f>SUM(S30,S34,S38)</f>
        <v>309406.46999999997</v>
      </c>
      <c r="T28" s="112">
        <f>SUM(T30,T34,T38)</f>
        <v>0</v>
      </c>
      <c r="U28" s="215">
        <f>S28-'nota 1.11-1.15'!H22</f>
        <v>0</v>
      </c>
      <c r="V28" s="215">
        <f>T28-'nota 1.11-1.15'!J22</f>
        <v>0</v>
      </c>
      <c r="AB28" s="274"/>
    </row>
    <row r="29" spans="2:28">
      <c r="B29" s="215">
        <f>J29-'nota 1.1.-1.2'!F112</f>
        <v>0</v>
      </c>
      <c r="C29" s="215">
        <f>K29-'nota 1.1.-1.2'!E112</f>
        <v>0</v>
      </c>
      <c r="F29" s="72" t="s">
        <v>782</v>
      </c>
      <c r="G29" s="92" t="str">
        <f>CHOOSE(jezyk,n!A307,n!B307,n!C307,n!D307)</f>
        <v>Zaliczki na środki trwałe w budowie</v>
      </c>
      <c r="H29" s="92"/>
      <c r="I29" s="72"/>
      <c r="J29" s="309">
        <f>IFERROR(VLOOKUP(AB29,#REF!,2,FALSE),0)</f>
        <v>0</v>
      </c>
      <c r="K29" s="302">
        <f>IFERROR(VLOOKUP(AB29,#REF!,2,FALSE),0)</f>
        <v>0</v>
      </c>
      <c r="L29" s="38"/>
      <c r="N29" s="243"/>
      <c r="O29" s="118"/>
      <c r="P29" s="72"/>
      <c r="Q29" s="72"/>
      <c r="R29" s="72"/>
      <c r="S29" s="306"/>
      <c r="T29" s="306"/>
      <c r="AB29" s="274"/>
    </row>
    <row r="30" spans="2:28">
      <c r="I30" s="72"/>
      <c r="J30" s="306"/>
      <c r="L30" s="38"/>
      <c r="M30" s="38"/>
      <c r="N30" s="111"/>
      <c r="O30" s="72" t="s">
        <v>1448</v>
      </c>
      <c r="P30" s="92" t="str">
        <f>CHOOSE(jezyk,n!A377,n!B377,n!C377,n!D377)</f>
        <v>Rezerwa z tytułu odroczonego podatku dochodowego</v>
      </c>
      <c r="Q30" s="72"/>
      <c r="S30" s="302">
        <f>IFERROR(VLOOKUP(X30,#REF!,2,FALSE),0)*-1</f>
        <v>0</v>
      </c>
      <c r="T30" s="115">
        <f>IFERROR(VLOOKUP(X30,#REF!,2,FALSE),0)*-1</f>
        <v>0</v>
      </c>
      <c r="X30" s="274"/>
    </row>
    <row r="31" spans="2:28">
      <c r="E31" s="243" t="s">
        <v>1451</v>
      </c>
      <c r="F31" s="118" t="str">
        <f>CHOOSE(jezyk,n!A308,n!B308,n!C308,n!D308)</f>
        <v>Należności długoterminowe</v>
      </c>
      <c r="G31" s="111"/>
      <c r="H31" s="111"/>
      <c r="I31" s="111"/>
      <c r="J31" s="301">
        <f>SUM(J33:J35)</f>
        <v>0</v>
      </c>
      <c r="K31" s="301">
        <f>SUM(K33:K35)</f>
        <v>0</v>
      </c>
      <c r="L31" s="38"/>
      <c r="M31" s="38"/>
      <c r="N31" s="72"/>
      <c r="O31" s="72" t="s">
        <v>1450</v>
      </c>
      <c r="P31" s="92" t="str">
        <f>CHOOSE(jezyk,n!A378,n!B378,n!C378,n!D378)</f>
        <v>Rezerwa na świadczenia emerytalne i podobne</v>
      </c>
      <c r="Q31" s="72"/>
      <c r="S31" s="306"/>
      <c r="T31" s="92"/>
      <c r="X31" s="274"/>
    </row>
    <row r="32" spans="2:28">
      <c r="I32" s="72" t="s">
        <v>764</v>
      </c>
      <c r="K32" s="306"/>
      <c r="L32" s="38"/>
      <c r="M32" s="38"/>
      <c r="N32" s="72"/>
      <c r="O32" s="72"/>
      <c r="P32" s="72" t="s">
        <v>533</v>
      </c>
      <c r="Q32" s="92" t="str">
        <f>CHOOSE(jezyk,n!A379,n!B379,n!C379,n!D379)</f>
        <v>długoterminowa</v>
      </c>
      <c r="S32" s="302">
        <v>26152</v>
      </c>
      <c r="T32" s="115">
        <f>IFERROR(VLOOKUP(X32,#REF!,2,FALSE),0)*-1</f>
        <v>0</v>
      </c>
      <c r="X32" s="274"/>
    </row>
    <row r="33" spans="2:28" ht="12.75" customHeight="1">
      <c r="F33" s="72" t="s">
        <v>1448</v>
      </c>
      <c r="G33" s="92" t="str">
        <f>CHOOSE(jezyk,n!A309,n!B309,n!C309,n!D309)</f>
        <v>Od jednostek powiązanych</v>
      </c>
      <c r="H33" s="92"/>
      <c r="J33" s="309">
        <f>IFERROR(VLOOKUP(AB33,#REF!,2,FALSE),0)</f>
        <v>0</v>
      </c>
      <c r="K33" s="309">
        <f>IFERROR(VLOOKUP(AB33,#REF!,2,FALSE),0)</f>
        <v>0</v>
      </c>
      <c r="L33" s="38"/>
      <c r="M33" s="38"/>
      <c r="N33" s="72"/>
      <c r="O33" s="72"/>
      <c r="P33" s="72" t="s">
        <v>533</v>
      </c>
      <c r="Q33" s="92" t="str">
        <f>CHOOSE(jezyk,n!A380,n!B380,n!C380,n!D380)</f>
        <v>krótkoterminowa</v>
      </c>
      <c r="S33" s="315">
        <v>97383.01</v>
      </c>
      <c r="T33" s="115">
        <f>IFERROR(VLOOKUP(X33,#REF!,2,FALSE),0)*-1</f>
        <v>0</v>
      </c>
      <c r="X33" s="274"/>
      <c r="AB33" s="274"/>
    </row>
    <row r="34" spans="2:28" ht="27" customHeight="1">
      <c r="F34" s="72" t="s">
        <v>1450</v>
      </c>
      <c r="G34" s="772" t="str">
        <f>CHOOSE(jezyk,n!A310,n!B310,n!C310,n!D310)</f>
        <v>Od pozostałych jednostek, w których jednostka posiada zaangażowanie w kapitale</v>
      </c>
      <c r="H34" s="772"/>
      <c r="I34" s="772"/>
      <c r="J34" s="313">
        <f>IFERROR(VLOOKUP(AB34,#REF!,2,FALSE),0)</f>
        <v>0</v>
      </c>
      <c r="K34" s="309">
        <f>IFERROR(VLOOKUP(AB34,#REF!,2,FALSE),0)</f>
        <v>0</v>
      </c>
      <c r="L34" s="38"/>
      <c r="M34" s="38"/>
      <c r="N34" s="111"/>
      <c r="O34" s="72"/>
      <c r="Q34" s="72"/>
      <c r="S34" s="116">
        <f>SUM(S32:S33)</f>
        <v>123535.01</v>
      </c>
      <c r="T34" s="116">
        <f>SUM(T32:T33)</f>
        <v>0</v>
      </c>
      <c r="X34" s="274"/>
      <c r="AB34" s="274"/>
    </row>
    <row r="35" spans="2:28">
      <c r="F35" s="72" t="s">
        <v>782</v>
      </c>
      <c r="G35" s="92" t="str">
        <f>CHOOSE(jezyk,n!A311,n!B311,n!C311,n!D311)</f>
        <v>Od pozostałych jednostek</v>
      </c>
      <c r="H35" s="92"/>
      <c r="J35" s="309">
        <f>IFERROR(VLOOKUP(AB35,#REF!,2,FALSE),0)</f>
        <v>0</v>
      </c>
      <c r="K35" s="309">
        <f>IFERROR(VLOOKUP(AB35,#REF!,2,FALSE),0)</f>
        <v>0</v>
      </c>
      <c r="L35" s="38"/>
      <c r="M35" s="38"/>
      <c r="N35" s="72"/>
      <c r="O35" s="72" t="s">
        <v>782</v>
      </c>
      <c r="P35" s="92" t="str">
        <f>CHOOSE(jezyk,n!A381,n!B381,n!C381,n!D381)</f>
        <v>Pozostałe rezerwy</v>
      </c>
      <c r="S35" s="306"/>
      <c r="T35" s="306"/>
      <c r="X35" s="274"/>
      <c r="AB35" s="274"/>
    </row>
    <row r="36" spans="2:28">
      <c r="B36" s="108" t="str">
        <f>dzb</f>
        <v>31.12.2024</v>
      </c>
      <c r="C36" s="108" t="str">
        <f>CHOOSE(jezyk,n!A288,n!B288,n!C288,n!D288)</f>
        <v>Rok poprzedni</v>
      </c>
      <c r="L36" s="38"/>
      <c r="M36" s="38"/>
      <c r="N36" s="111"/>
      <c r="O36" s="72"/>
      <c r="P36" s="72" t="s">
        <v>533</v>
      </c>
      <c r="Q36" s="92" t="str">
        <f>CHOOSE(jezyk,n!A382,n!B382,n!C74,n!D382)</f>
        <v>długoterminowe</v>
      </c>
      <c r="S36" s="302">
        <f>IFERROR(VLOOKUP(X36,#REF!,2,FALSE),0)*-1</f>
        <v>0</v>
      </c>
      <c r="T36" s="115">
        <f>IFERROR(VLOOKUP(X36,#REF!,2,FALSE),0)*-1</f>
        <v>0</v>
      </c>
      <c r="X36" s="274"/>
    </row>
    <row r="37" spans="2:28">
      <c r="B37" s="215">
        <f>J37-'nota 1.1.-1.2'!E190</f>
        <v>0</v>
      </c>
      <c r="C37" s="215">
        <f>K37-'nota 1.1.-1.2'!D190</f>
        <v>0</v>
      </c>
      <c r="E37" s="243" t="s">
        <v>1454</v>
      </c>
      <c r="F37" s="118" t="str">
        <f>CHOOSE(jezyk,n!A312,n!B312,n!C312,n!D312)</f>
        <v>Inwestycje długoterminowe</v>
      </c>
      <c r="G37" s="111"/>
      <c r="H37" s="111"/>
      <c r="I37" s="111"/>
      <c r="J37" s="300">
        <f>SUM(J39:J40,J41,J61)</f>
        <v>0</v>
      </c>
      <c r="K37" s="300">
        <f>SUM(K39:K40,K41,K61)</f>
        <v>0</v>
      </c>
      <c r="L37" s="72"/>
      <c r="M37" s="38"/>
      <c r="N37" s="38"/>
      <c r="O37" s="72" t="s">
        <v>764</v>
      </c>
      <c r="P37" s="72" t="s">
        <v>533</v>
      </c>
      <c r="Q37" s="92" t="str">
        <f>CHOOSE(jezyk,n!A383,n!B383,n!C383,n!D383)</f>
        <v>krótkoterminowe</v>
      </c>
      <c r="R37" s="72"/>
      <c r="S37" s="302">
        <v>185871.46</v>
      </c>
      <c r="T37" s="115">
        <f>IFERROR(VLOOKUP(X37,#REF!,2,FALSE),0)*-1</f>
        <v>0</v>
      </c>
      <c r="X37" s="274"/>
    </row>
    <row r="38" spans="2:28">
      <c r="B38" s="38"/>
      <c r="C38" s="38"/>
      <c r="I38" s="72"/>
      <c r="K38" s="306"/>
      <c r="M38" s="38"/>
      <c r="N38" s="111"/>
      <c r="O38" s="118"/>
      <c r="P38" s="111"/>
      <c r="Q38" s="111"/>
      <c r="S38" s="116">
        <f>SUM(S36:S37)</f>
        <v>185871.46</v>
      </c>
      <c r="T38" s="116">
        <f>SUM(T36:T37)</f>
        <v>0</v>
      </c>
    </row>
    <row r="39" spans="2:28">
      <c r="B39" s="215">
        <f>J39-'nota 1.1.-1.2'!E186</f>
        <v>0</v>
      </c>
      <c r="C39" s="215">
        <f>K39-'nota 1.1.-1.2'!D186</f>
        <v>0</v>
      </c>
      <c r="D39" s="66"/>
      <c r="F39" s="72" t="s">
        <v>1448</v>
      </c>
      <c r="G39" s="92" t="str">
        <f>CHOOSE(jezyk,n!A313,n!B313,n!C313,n!D313)</f>
        <v>Nieruchomości</v>
      </c>
      <c r="H39" s="92"/>
      <c r="I39" s="72"/>
      <c r="J39" s="115">
        <f>IFERROR(VLOOKUP(AB39,#REF!,2,FALSE),0)</f>
        <v>0</v>
      </c>
      <c r="K39" s="115">
        <f>IFERROR(VLOOKUP(AB39,#REF!,2,FALSE),0)</f>
        <v>0</v>
      </c>
      <c r="M39" s="72"/>
      <c r="N39" s="111"/>
      <c r="O39" s="118"/>
      <c r="P39" s="111"/>
      <c r="Q39" s="111"/>
      <c r="S39" s="306"/>
      <c r="T39" s="92"/>
      <c r="AB39" s="274"/>
    </row>
    <row r="40" spans="2:28" ht="12.75" customHeight="1">
      <c r="B40" s="215">
        <f>J40-'nota 1.1.-1.2'!E187</f>
        <v>0</v>
      </c>
      <c r="C40" s="215">
        <f>K40-'nota 1.1.-1.2'!D187</f>
        <v>0</v>
      </c>
      <c r="F40" s="66" t="s">
        <v>1450</v>
      </c>
      <c r="G40" s="92" t="str">
        <f>CHOOSE(jezyk,n!A314,n!B314,n!C314,n!D314)</f>
        <v>Wartości niematerialne i prawne</v>
      </c>
      <c r="H40" s="92"/>
      <c r="J40" s="309">
        <f>IFERROR(VLOOKUP(AB40,#REF!,2,FALSE),0)</f>
        <v>0</v>
      </c>
      <c r="K40" s="115">
        <f>IFERROR(VLOOKUP(AB40,#REF!,2,FALSE),0)</f>
        <v>0</v>
      </c>
      <c r="M40" s="38"/>
      <c r="S40" s="66"/>
      <c r="T40" s="66"/>
      <c r="AB40" s="274"/>
    </row>
    <row r="41" spans="2:28">
      <c r="B41" s="215">
        <f>J41-'nota 1.1.-1.2'!E188</f>
        <v>0</v>
      </c>
      <c r="C41" s="215">
        <f>K41-'nota 1.1.-1.2'!D188</f>
        <v>0</v>
      </c>
      <c r="F41" s="72" t="s">
        <v>782</v>
      </c>
      <c r="G41" s="92" t="str">
        <f>CHOOSE(jezyk,n!A315,n!B315,n!C315,n!D315)</f>
        <v>Długoterminowe aktywa finansowe</v>
      </c>
      <c r="H41" s="92"/>
      <c r="J41" s="314">
        <f>J47+J53+J59</f>
        <v>0</v>
      </c>
      <c r="K41" s="314">
        <f>K47+K53+K59</f>
        <v>0</v>
      </c>
      <c r="M41" s="38"/>
      <c r="N41" s="243" t="s">
        <v>1449</v>
      </c>
      <c r="O41" s="118" t="str">
        <f>CHOOSE(jezyk,n!A384,n!B384,n!C384,n!D384)</f>
        <v>Zobowiązania długoterminowe</v>
      </c>
      <c r="P41" s="243"/>
      <c r="Q41" s="243"/>
      <c r="R41" s="243"/>
      <c r="S41" s="112">
        <f>SUM(S43,,S44,S52)</f>
        <v>0</v>
      </c>
      <c r="T41" s="112">
        <f>SUM(T43,,T44,T52)</f>
        <v>0</v>
      </c>
    </row>
    <row r="42" spans="2:28" ht="12.75" customHeight="1">
      <c r="F42" s="111"/>
      <c r="G42" s="72" t="s">
        <v>1459</v>
      </c>
      <c r="H42" s="92" t="str">
        <f>CHOOSE(jezyk,n!A316,n!B316,n!C316,n!D316)</f>
        <v>w jednostkach powiązanych</v>
      </c>
      <c r="M42" s="38"/>
      <c r="O42" s="118"/>
      <c r="S42" s="306"/>
      <c r="T42" s="306"/>
      <c r="U42" s="296" t="str">
        <f>dzb</f>
        <v>31.12.2024</v>
      </c>
      <c r="V42" s="108" t="str">
        <f>CHOOSE(jezyk,n!A288,n!B288,n!C288,n!D288)</f>
        <v>Rok poprzedni</v>
      </c>
    </row>
    <row r="43" spans="2:28">
      <c r="E43" s="111"/>
      <c r="F43" s="111"/>
      <c r="G43" s="111"/>
      <c r="H43" s="111" t="s">
        <v>533</v>
      </c>
      <c r="I43" s="92" t="str">
        <f>CHOOSE(jezyk,n!A317,n!B317,n!C317,n!D317)</f>
        <v>udziały lub akcje</v>
      </c>
      <c r="J43" s="309">
        <f>IFERROR(VLOOKUP(AB43,#REF!,2,FALSE),0)</f>
        <v>0</v>
      </c>
      <c r="K43" s="309">
        <f>IFERROR(VLOOKUP(AB43,#REF!,2,FALSE),0)</f>
        <v>0</v>
      </c>
      <c r="M43" s="38"/>
      <c r="N43" s="111"/>
      <c r="O43" s="38" t="s">
        <v>1448</v>
      </c>
      <c r="P43" s="38" t="str">
        <f>CHOOSE(jezyk,n!A385,n!B385,n!C385,n!D385)</f>
        <v>Wobec jednostek powiązanych</v>
      </c>
      <c r="Q43" s="38"/>
      <c r="S43" s="302">
        <f>IFERROR(VLOOKUP(X43,#REF!,2,FALSE),0)*-1</f>
        <v>0</v>
      </c>
      <c r="T43" s="302">
        <f>IFERROR(VLOOKUP(X43,#REF!,2,FALSE),0)*-1</f>
        <v>0</v>
      </c>
      <c r="U43" s="215">
        <f>S43-'nota 1.11-1.15'!H44</f>
        <v>-808100.8</v>
      </c>
      <c r="V43" s="38">
        <f>T43-'nota 1.11-1.15'!H58</f>
        <v>0</v>
      </c>
      <c r="X43" s="274"/>
      <c r="AB43" s="274"/>
    </row>
    <row r="44" spans="2:28">
      <c r="E44" s="111"/>
      <c r="F44" s="111"/>
      <c r="G44" s="111"/>
      <c r="H44" s="111" t="s">
        <v>533</v>
      </c>
      <c r="I44" s="92" t="str">
        <f>CHOOSE(jezyk,n!A318,n!B318,n!C318,n!D318)</f>
        <v>inne papiery wartościowe</v>
      </c>
      <c r="J44" s="309">
        <f>IFERROR(VLOOKUP(AB44,#REF!,2,FALSE),0)</f>
        <v>0</v>
      </c>
      <c r="K44" s="309">
        <f>IFERROR(VLOOKUP(AB44,#REF!,2,FALSE),0)</f>
        <v>0</v>
      </c>
      <c r="M44" s="38"/>
      <c r="N44" s="111"/>
      <c r="O44" s="92" t="s">
        <v>1450</v>
      </c>
      <c r="P44" s="772" t="str">
        <f>CHOOSE(jezyk,n!A386,n!B386,n!C386,n!D386)</f>
        <v>Wobec jednostek, w których jednostka posiada zaangażowanie w kapitale</v>
      </c>
      <c r="Q44" s="772"/>
      <c r="R44" s="772"/>
      <c r="S44" s="302">
        <f>IFERROR(VLOOKUP(X44,#REF!,2,FALSE),0)*-1</f>
        <v>0</v>
      </c>
      <c r="T44" s="302">
        <f>IFERROR(VLOOKUP(X44,#REF!,2,FALSE),0)*-1</f>
        <v>0</v>
      </c>
      <c r="U44" s="38">
        <f>S44-'nota 1.11-1.15'!H45</f>
        <v>0</v>
      </c>
      <c r="V44" s="38">
        <f>T44-'nota 1.11-1.15'!H59</f>
        <v>0</v>
      </c>
      <c r="X44" s="274"/>
      <c r="AB44" s="274"/>
    </row>
    <row r="45" spans="2:28">
      <c r="E45" s="111"/>
      <c r="F45" s="111"/>
      <c r="G45" s="111"/>
      <c r="H45" s="111" t="s">
        <v>533</v>
      </c>
      <c r="I45" s="92" t="str">
        <f>CHOOSE(jezyk,n!A319,n!B319,n!C319,n!D319)</f>
        <v>udzielone pożyczki</v>
      </c>
      <c r="J45" s="309">
        <f>IFERROR(VLOOKUP(AB45,#REF!,2,FALSE),0)</f>
        <v>0</v>
      </c>
      <c r="K45" s="309">
        <f>IFERROR(VLOOKUP(AB45,#REF!,2,FALSE),0)</f>
        <v>0</v>
      </c>
      <c r="M45" s="38"/>
      <c r="N45" s="111"/>
      <c r="O45" s="92"/>
      <c r="P45" s="772"/>
      <c r="Q45" s="772"/>
      <c r="R45" s="772"/>
      <c r="S45" s="302">
        <f>IFERROR(VLOOKUP(X45,#REF!,2,FALSE),0)*-1</f>
        <v>0</v>
      </c>
      <c r="T45" s="302">
        <f>IFERROR(VLOOKUP(X45,#REF!,2,FALSE),0)*-1</f>
        <v>0</v>
      </c>
      <c r="AB45" s="274"/>
    </row>
    <row r="46" spans="2:28">
      <c r="E46" s="111"/>
      <c r="F46" s="111"/>
      <c r="G46" s="111"/>
      <c r="H46" s="111" t="s">
        <v>533</v>
      </c>
      <c r="I46" s="92" t="str">
        <f>CHOOSE(jezyk,n!A320,n!B320,n!C320,n!D320)</f>
        <v>inne długoterminowe aktywa finansowe</v>
      </c>
      <c r="J46" s="310">
        <f>IFERROR(VLOOKUP(AB46,#REF!,2,FALSE),0)</f>
        <v>0</v>
      </c>
      <c r="K46" s="309">
        <f>IFERROR(VLOOKUP(AB46,#REF!,2,FALSE),0)</f>
        <v>0</v>
      </c>
      <c r="M46" s="243"/>
      <c r="N46" s="72"/>
      <c r="O46" s="38" t="s">
        <v>782</v>
      </c>
      <c r="P46" s="38" t="str">
        <f>CHOOSE(jezyk,n!A387,n!B387,n!C387,n!D387)</f>
        <v>Wobec pozostałych jednostek</v>
      </c>
      <c r="Q46" s="38"/>
      <c r="S46" s="306"/>
      <c r="T46" s="92"/>
      <c r="X46" s="274"/>
      <c r="AB46" s="274"/>
    </row>
    <row r="47" spans="2:28" ht="12.75" customHeight="1">
      <c r="E47" s="111"/>
      <c r="F47" s="111"/>
      <c r="G47" s="111"/>
      <c r="H47" s="111"/>
      <c r="I47" s="92"/>
      <c r="J47" s="314">
        <f>SUM(J43:J46)</f>
        <v>0</v>
      </c>
      <c r="K47" s="314">
        <f>SUM(K43:K46)</f>
        <v>0</v>
      </c>
      <c r="M47" s="111"/>
      <c r="N47" s="72"/>
      <c r="O47" s="72"/>
      <c r="P47" s="72" t="s">
        <v>1459</v>
      </c>
      <c r="Q47" s="92" t="str">
        <f>CHOOSE(jezyk,n!A388,n!B388,n!C388,n!D388)</f>
        <v>kredyty i pożyczki</v>
      </c>
      <c r="S47" s="302">
        <f>IFERROR(VLOOKUP(X47,#REF!,2,FALSE),0)*-1</f>
        <v>0</v>
      </c>
      <c r="T47" s="115">
        <f>IFERROR(VLOOKUP(X47,#REF!,2,FALSE),0)*-1</f>
        <v>0</v>
      </c>
      <c r="X47" s="274"/>
    </row>
    <row r="48" spans="2:28" ht="27.75" customHeight="1">
      <c r="E48" s="111"/>
      <c r="F48" s="111"/>
      <c r="G48" s="72" t="s">
        <v>1460</v>
      </c>
      <c r="H48" s="772" t="str">
        <f>CHOOSE(jezyk,n!A322,n!B322,n!C322,n!D322)</f>
        <v>w pozostałych jednostkach, w których jednostka posiada zaangażowanie w kapitale</v>
      </c>
      <c r="I48" s="772"/>
      <c r="M48" s="111"/>
      <c r="N48" s="72"/>
      <c r="O48" s="72"/>
      <c r="P48" s="72" t="s">
        <v>1460</v>
      </c>
      <c r="Q48" s="92" t="str">
        <f>CHOOSE(jezyk,n!A389,n!B389,n!C389,n!D389)</f>
        <v>z tytułu emisji dłużnych papierów wartościowych</v>
      </c>
      <c r="S48" s="302">
        <f>IFERROR(VLOOKUP(X48,#REF!,2,FALSE),0)*-1</f>
        <v>0</v>
      </c>
      <c r="T48" s="115">
        <f>IFERROR(VLOOKUP(X48,#REF!,2,FALSE),0)*-1</f>
        <v>0</v>
      </c>
      <c r="X48" s="274"/>
    </row>
    <row r="49" spans="2:28">
      <c r="E49" s="111"/>
      <c r="F49" s="111"/>
      <c r="G49" s="111"/>
      <c r="H49" s="111" t="s">
        <v>533</v>
      </c>
      <c r="I49" s="92" t="str">
        <f>I43</f>
        <v>udziały lub akcje</v>
      </c>
      <c r="J49" s="303">
        <f>IFERROR(VLOOKUP(AB49,#REF!,2,FALSE),0)</f>
        <v>0</v>
      </c>
      <c r="K49" s="303">
        <f>IFERROR(VLOOKUP(AB49,#REF!,2,FALSE),0)</f>
        <v>0</v>
      </c>
      <c r="M49" s="72"/>
      <c r="N49" s="72"/>
      <c r="O49" s="72"/>
      <c r="P49" s="72" t="s">
        <v>1461</v>
      </c>
      <c r="Q49" s="92" t="str">
        <f>CHOOSE(jezyk,n!A390,n!B390,n!C390,n!D390)</f>
        <v>inne zobowiązania finansowe</v>
      </c>
      <c r="S49" s="302">
        <f>IFERROR(VLOOKUP(X49,#REF!,2,FALSE),0)*-1</f>
        <v>0</v>
      </c>
      <c r="T49" s="115">
        <f>IFERROR(VLOOKUP(X49,#REF!,2,FALSE),0)*-1</f>
        <v>0</v>
      </c>
      <c r="X49" s="274"/>
      <c r="AB49" s="274"/>
    </row>
    <row r="50" spans="2:28">
      <c r="E50" s="111"/>
      <c r="F50" s="111"/>
      <c r="G50" s="111"/>
      <c r="H50" s="111" t="s">
        <v>533</v>
      </c>
      <c r="I50" s="92" t="str">
        <f>I44</f>
        <v>inne papiery wartościowe</v>
      </c>
      <c r="J50" s="303">
        <f>IFERROR(VLOOKUP(AB50,#REF!,2,FALSE),0)</f>
        <v>0</v>
      </c>
      <c r="K50" s="303">
        <f>IFERROR(VLOOKUP(AB50,#REF!,2,FALSE),0)</f>
        <v>0</v>
      </c>
      <c r="M50" s="72"/>
      <c r="P50" s="66" t="s">
        <v>1122</v>
      </c>
      <c r="Q50" s="92" t="str">
        <f>CHOOSE(jezyk,n!A391,n!B391,n!C391,n!D391)</f>
        <v>zobowiązania wekslowe</v>
      </c>
      <c r="S50" s="302">
        <f>IFERROR(VLOOKUP(X50,#REF!,2,FALSE),0)*-1</f>
        <v>0</v>
      </c>
      <c r="T50" s="115">
        <f>IFERROR(VLOOKUP(X50,#REF!,2,FALSE),0)*-1</f>
        <v>0</v>
      </c>
      <c r="X50" s="274"/>
      <c r="AB50" s="274"/>
    </row>
    <row r="51" spans="2:28">
      <c r="E51" s="111"/>
      <c r="F51" s="111"/>
      <c r="G51" s="111"/>
      <c r="H51" s="111" t="s">
        <v>533</v>
      </c>
      <c r="I51" s="92" t="str">
        <f>I45</f>
        <v>udzielone pożyczki</v>
      </c>
      <c r="J51" s="303">
        <f>IFERROR(VLOOKUP(AB51,#REF!,2,FALSE),0)</f>
        <v>0</v>
      </c>
      <c r="K51" s="303">
        <f>IFERROR(VLOOKUP(AB51,#REF!,2,FALSE),0)</f>
        <v>0</v>
      </c>
      <c r="M51" s="38"/>
      <c r="P51" s="72" t="s">
        <v>1123</v>
      </c>
      <c r="Q51" s="92" t="str">
        <f>CHOOSE(jezyk,n!A392,n!B392,n!C392,n!D392)</f>
        <v>inne</v>
      </c>
      <c r="S51" s="302">
        <f>IFERROR(VLOOKUP(X51,#REF!,2,FALSE),0)*-1</f>
        <v>0</v>
      </c>
      <c r="T51" s="115">
        <f>IFERROR(VLOOKUP(X51,#REF!,2,FALSE),0)*-1</f>
        <v>0</v>
      </c>
      <c r="U51" s="296" t="str">
        <f>dzb</f>
        <v>31.12.2024</v>
      </c>
      <c r="V51" s="66" t="str">
        <f>CHOOSE(jezyk,n!A288,n!B288,n!C288,n!D288)</f>
        <v>Rok poprzedni</v>
      </c>
      <c r="X51" s="274"/>
      <c r="AB51" s="274"/>
    </row>
    <row r="52" spans="2:28">
      <c r="E52" s="111"/>
      <c r="F52" s="111"/>
      <c r="G52" s="111"/>
      <c r="H52" s="111" t="s">
        <v>533</v>
      </c>
      <c r="I52" s="92" t="str">
        <f>I46</f>
        <v>inne długoterminowe aktywa finansowe</v>
      </c>
      <c r="J52" s="303">
        <f>IFERROR(VLOOKUP(AB52,#REF!,2,FALSE),0)</f>
        <v>0</v>
      </c>
      <c r="K52" s="303">
        <f>IFERROR(VLOOKUP(AB52,#REF!,2,FALSE),0)</f>
        <v>0</v>
      </c>
      <c r="M52" s="38"/>
      <c r="N52" s="111"/>
      <c r="O52" s="38"/>
      <c r="P52" s="38"/>
      <c r="Q52" s="38"/>
      <c r="S52" s="311">
        <f>SUM(S47:S51)</f>
        <v>0</v>
      </c>
      <c r="T52" s="311">
        <f>SUM(T47:T51)</f>
        <v>0</v>
      </c>
      <c r="U52" s="215">
        <f>S52-'nota 1.11-1.15'!H46</f>
        <v>-201380.84</v>
      </c>
      <c r="V52" s="38">
        <f>T52-'nota 1.11-1.15'!H60</f>
        <v>0</v>
      </c>
      <c r="AB52" s="274"/>
    </row>
    <row r="53" spans="2:28">
      <c r="E53" s="111"/>
      <c r="F53" s="111"/>
      <c r="G53" s="111"/>
      <c r="H53" s="111"/>
      <c r="I53" s="92"/>
      <c r="J53" s="314">
        <f>SUM(J49:J52)</f>
        <v>0</v>
      </c>
      <c r="K53" s="314">
        <f>SUM(K49:K52)</f>
        <v>0</v>
      </c>
      <c r="M53" s="38"/>
      <c r="N53" s="111"/>
      <c r="O53" s="38"/>
      <c r="P53" s="38"/>
      <c r="Q53" s="38"/>
      <c r="S53" s="306"/>
      <c r="T53" s="306"/>
    </row>
    <row r="54" spans="2:28">
      <c r="E54" s="111"/>
      <c r="F54" s="111"/>
      <c r="G54" s="72" t="s">
        <v>1461</v>
      </c>
      <c r="H54" s="92" t="str">
        <f>CHOOSE(jezyk,n!A321,n!B321,n!C321,n!D321)</f>
        <v>w pozostałych jednostkach</v>
      </c>
      <c r="M54" s="38"/>
      <c r="S54" s="66"/>
      <c r="T54" s="66"/>
    </row>
    <row r="55" spans="2:28">
      <c r="E55" s="111"/>
      <c r="F55" s="111"/>
      <c r="G55" s="111"/>
      <c r="H55" s="111" t="s">
        <v>533</v>
      </c>
      <c r="I55" s="92" t="str">
        <f>CHOOSE(jezyk,n!A317,n!B317,n!C317,n!D317)</f>
        <v>udziały lub akcje</v>
      </c>
      <c r="J55" s="309">
        <f>IFERROR(VLOOKUP(AB55,#REF!,2,FALSE),0)</f>
        <v>0</v>
      </c>
      <c r="K55" s="309">
        <f>IFERROR(VLOOKUP(AB55,#REF!,2,FALSE),0)</f>
        <v>0</v>
      </c>
      <c r="M55" s="38"/>
      <c r="N55" s="111" t="s">
        <v>1451</v>
      </c>
      <c r="O55" s="182" t="str">
        <f>CHOOSE(jezyk,n!A393,n!B393,n!C393,n!D393)</f>
        <v>Zobowiązania krótkoterminowe</v>
      </c>
      <c r="P55" s="182"/>
      <c r="Q55" s="182"/>
      <c r="R55" s="243"/>
      <c r="S55" s="311">
        <f>SUM(S57,S65,S74,S89)</f>
        <v>2301450.2800000003</v>
      </c>
      <c r="T55" s="311">
        <f>SUM(T57,T65,T74,T89)</f>
        <v>0</v>
      </c>
      <c r="AB55" s="274"/>
    </row>
    <row r="56" spans="2:28">
      <c r="E56" s="111"/>
      <c r="F56" s="111"/>
      <c r="G56" s="111"/>
      <c r="H56" s="111" t="s">
        <v>533</v>
      </c>
      <c r="I56" s="92" t="str">
        <f>CHOOSE(jezyk,n!A318,n!B318,n!C318,n!D318)</f>
        <v>inne papiery wartościowe</v>
      </c>
      <c r="J56" s="309">
        <f>IFERROR(VLOOKUP(AB56,#REF!,2,FALSE),0)</f>
        <v>0</v>
      </c>
      <c r="K56" s="309">
        <f>IFERROR(VLOOKUP(AB56,#REF!,2,FALSE),0)</f>
        <v>0</v>
      </c>
      <c r="M56" s="38"/>
      <c r="N56" s="111"/>
      <c r="O56" s="182"/>
      <c r="P56" s="38"/>
      <c r="Q56" s="38"/>
      <c r="S56" s="306"/>
      <c r="T56" s="306"/>
      <c r="AB56" s="274"/>
    </row>
    <row r="57" spans="2:28">
      <c r="E57" s="111"/>
      <c r="F57" s="111"/>
      <c r="G57" s="111"/>
      <c r="H57" s="111" t="s">
        <v>533</v>
      </c>
      <c r="I57" s="92" t="str">
        <f>CHOOSE(jezyk,n!A319,n!B319,n!C319,n!D319)</f>
        <v>udzielone pożyczki</v>
      </c>
      <c r="J57" s="309">
        <f>IFERROR(VLOOKUP(AB57,#REF!,2,FALSE),0)</f>
        <v>0</v>
      </c>
      <c r="K57" s="309">
        <f>IFERROR(VLOOKUP(AB57,#REF!,2,FALSE),0)</f>
        <v>0</v>
      </c>
      <c r="M57" s="38"/>
      <c r="N57" s="72"/>
      <c r="O57" s="72" t="s">
        <v>1448</v>
      </c>
      <c r="P57" s="92" t="str">
        <f>CHOOSE(jezyk,n!A394,n!B394,n!C394,n!D394)</f>
        <v>Zobowiązania wobec jednostek powiązanych</v>
      </c>
      <c r="Q57" s="72"/>
      <c r="S57" s="311">
        <f>SUM(S61:S63)</f>
        <v>808100.8</v>
      </c>
      <c r="T57" s="311">
        <f>SUM(T61:T63)</f>
        <v>0</v>
      </c>
      <c r="AB57" s="274"/>
    </row>
    <row r="58" spans="2:28">
      <c r="E58" s="111"/>
      <c r="F58" s="111"/>
      <c r="G58" s="111"/>
      <c r="H58" s="111" t="s">
        <v>533</v>
      </c>
      <c r="I58" s="92" t="str">
        <f>CHOOSE(jezyk,n!A320,n!B320,n!C320,n!D320)</f>
        <v>inne długoterminowe aktywa finansowe</v>
      </c>
      <c r="J58" s="309">
        <f>IFERROR(VLOOKUP(AB58,#REF!,2,FALSE),0)</f>
        <v>0</v>
      </c>
      <c r="K58" s="309">
        <f>IFERROR(VLOOKUP(AB58,#REF!,2,FALSE),0)</f>
        <v>0</v>
      </c>
      <c r="M58" s="38"/>
      <c r="N58" s="72"/>
      <c r="O58" s="72"/>
      <c r="P58" s="72" t="s">
        <v>1459</v>
      </c>
      <c r="Q58" s="92" t="str">
        <f>CHOOSE(jezyk,n!A396,n!B396,n!C396,n!D396)</f>
        <v>z tytułu dostaw i usług, o okresie wymagalności:</v>
      </c>
      <c r="S58" s="306"/>
      <c r="T58" s="306"/>
      <c r="AB58" s="274"/>
    </row>
    <row r="59" spans="2:28" ht="12.75" customHeight="1">
      <c r="E59" s="111"/>
      <c r="F59" s="111"/>
      <c r="G59" s="111"/>
      <c r="H59" s="111"/>
      <c r="J59" s="314">
        <f>SUM(J55:J58)</f>
        <v>0</v>
      </c>
      <c r="K59" s="314">
        <f>SUM(K55:K58)</f>
        <v>0</v>
      </c>
      <c r="M59" s="38"/>
      <c r="N59" s="72"/>
      <c r="O59" s="72"/>
      <c r="P59" s="72"/>
      <c r="Q59" s="72" t="s">
        <v>533</v>
      </c>
      <c r="R59" s="38" t="str">
        <f>CHOOSE(jezyk,n!A397,n!B397,n!C397,n!D397)</f>
        <v>do 12 miesięcy</v>
      </c>
      <c r="S59" s="302">
        <v>808100.8</v>
      </c>
      <c r="T59" s="302">
        <f>IFERROR(VLOOKUP(X59,#REF!,2,FALSE),0)*-1</f>
        <v>0</v>
      </c>
      <c r="X59" s="274"/>
    </row>
    <row r="60" spans="2:28">
      <c r="B60" s="296" t="str">
        <f>dzb</f>
        <v>31.12.2024</v>
      </c>
      <c r="C60" s="108" t="str">
        <f>CHOOSE(jezyk,n!A288,n!B288,n!C288,n!D288)</f>
        <v>Rok poprzedni</v>
      </c>
      <c r="E60" s="111"/>
      <c r="H60" s="111"/>
      <c r="M60" s="38"/>
      <c r="N60" s="72"/>
      <c r="O60" s="72"/>
      <c r="P60" s="72"/>
      <c r="Q60" s="72" t="s">
        <v>533</v>
      </c>
      <c r="R60" s="38" t="str">
        <f>CHOOSE(jezyk,n!A398,n!B398,n!C398,n!D398)</f>
        <v>powyżej 12 miesięcy</v>
      </c>
      <c r="S60" s="302">
        <f>IFERROR(VLOOKUP(X60,#REF!,2,FALSE),0)*-1</f>
        <v>0</v>
      </c>
      <c r="T60" s="302">
        <f>IFERROR(VLOOKUP(X60,#REF!,2,FALSE),0)*-1</f>
        <v>0</v>
      </c>
      <c r="U60" s="296"/>
      <c r="X60" s="274"/>
    </row>
    <row r="61" spans="2:28" ht="12.75" customHeight="1">
      <c r="B61" s="215">
        <f>J61-'nota 1.1.-1.2'!E189</f>
        <v>0</v>
      </c>
      <c r="C61" s="215">
        <f>K61-'nota 1.1.-1.2'!D189</f>
        <v>0</v>
      </c>
      <c r="E61" s="111"/>
      <c r="F61" s="72" t="s">
        <v>1452</v>
      </c>
      <c r="G61" s="92" t="str">
        <f>CHOOSE(jezyk,n!A323,n!B323,n!C323,n!D323)</f>
        <v>Inne inwestycje długoterminowe</v>
      </c>
      <c r="H61" s="111"/>
      <c r="J61" s="309">
        <f>IFERROR(VLOOKUP(AB61,#REF!,2,FALSE),0)</f>
        <v>0</v>
      </c>
      <c r="K61" s="309">
        <f>IFERROR(VLOOKUP(AB61,#REF!,2,FALSE),0)</f>
        <v>0</v>
      </c>
      <c r="M61" s="38"/>
      <c r="N61" s="72"/>
      <c r="O61" s="72"/>
      <c r="P61" s="72"/>
      <c r="Q61" s="72"/>
      <c r="R61" s="38"/>
      <c r="S61" s="314">
        <f>SUM(S59:S60)</f>
        <v>808100.8</v>
      </c>
      <c r="T61" s="314">
        <f>SUM(T59:T60)</f>
        <v>0</v>
      </c>
      <c r="U61" s="215"/>
      <c r="X61" s="303"/>
      <c r="AB61" s="274"/>
    </row>
    <row r="62" spans="2:28">
      <c r="E62" s="111"/>
      <c r="F62" s="111"/>
      <c r="G62" s="111"/>
      <c r="H62" s="111"/>
      <c r="M62" s="38"/>
      <c r="N62" s="72"/>
      <c r="O62" s="72"/>
      <c r="P62" s="72"/>
      <c r="Q62" s="72"/>
      <c r="R62" s="38"/>
      <c r="S62" s="306"/>
      <c r="T62" s="306"/>
      <c r="X62" s="274"/>
    </row>
    <row r="63" spans="2:28">
      <c r="B63" s="215"/>
      <c r="C63" s="215"/>
      <c r="E63" s="111" t="s">
        <v>1455</v>
      </c>
      <c r="F63" s="118" t="str">
        <f>CHOOSE(jezyk,n!A324,n!B324,n!C324,n!D324)</f>
        <v>Długoterminowe rozliczenia międzyokresowe</v>
      </c>
      <c r="G63" s="111"/>
      <c r="H63" s="111"/>
      <c r="I63" s="243"/>
      <c r="J63" s="300">
        <f>SUM(J65:J66)</f>
        <v>81150</v>
      </c>
      <c r="K63" s="300">
        <f>SUM(K65:K66)</f>
        <v>0</v>
      </c>
      <c r="M63" s="38"/>
      <c r="N63" s="72"/>
      <c r="O63" s="72"/>
      <c r="P63" s="72" t="s">
        <v>1460</v>
      </c>
      <c r="Q63" s="92" t="str">
        <f>CHOOSE(jezyk,n!A399,n!B399,n!C399,n!D399)</f>
        <v>inne</v>
      </c>
      <c r="S63" s="302">
        <f>IFERROR(VLOOKUP(X63,#REF!,2,FALSE),0)*-1</f>
        <v>0</v>
      </c>
      <c r="T63" s="302">
        <f>IFERROR(VLOOKUP(X63,#REF!,2,FALSE),0)*-1</f>
        <v>0</v>
      </c>
      <c r="X63" s="274"/>
    </row>
    <row r="64" spans="2:28">
      <c r="E64" s="111"/>
      <c r="F64" s="111"/>
      <c r="G64" s="111"/>
      <c r="H64" s="111"/>
      <c r="M64" s="38"/>
      <c r="N64" s="72"/>
      <c r="O64" s="72"/>
      <c r="Q64" s="72"/>
      <c r="X64" s="274"/>
    </row>
    <row r="65" spans="2:28">
      <c r="E65" s="72"/>
      <c r="F65" s="72" t="s">
        <v>1448</v>
      </c>
      <c r="G65" s="92" t="str">
        <f>CHOOSE(jezyk,n!A325,n!B325,n!C325,n!D325)</f>
        <v>Aktywa z tytułu odroczonego podatku dochodowego</v>
      </c>
      <c r="H65" s="111"/>
      <c r="J65" s="309">
        <v>81150</v>
      </c>
      <c r="K65" s="309">
        <f>IFERROR(VLOOKUP(AB65,#REF!,2,FALSE),0)</f>
        <v>0</v>
      </c>
      <c r="M65" s="38"/>
      <c r="N65" s="72"/>
      <c r="O65" s="72" t="s">
        <v>1450</v>
      </c>
      <c r="P65" s="772" t="str">
        <f>CHOOSE(jezyk,n!A395,n!B395,n!C395,n!D395)</f>
        <v>Zobowiązania wobec pozostałych jednostek, w których jednostka posiada zaangażowanie w kapitale</v>
      </c>
      <c r="Q65" s="772"/>
      <c r="R65" s="772"/>
      <c r="S65" s="311">
        <f>SUM(S70:S72)</f>
        <v>0</v>
      </c>
      <c r="T65" s="311">
        <f>SUM(T70:T72)</f>
        <v>0</v>
      </c>
      <c r="X65" s="303"/>
      <c r="AB65" s="274"/>
    </row>
    <row r="66" spans="2:28">
      <c r="E66" s="72"/>
      <c r="F66" s="72" t="s">
        <v>1450</v>
      </c>
      <c r="G66" s="92" t="str">
        <f>CHOOSE(jezyk,n!A326,n!B326,n!C326,n!D326)</f>
        <v>Inne rozliczenia międzyokresowe</v>
      </c>
      <c r="H66" s="111"/>
      <c r="J66" s="309">
        <f>IFERROR(VLOOKUP(AB66,#REF!,2,FALSE),0)</f>
        <v>0</v>
      </c>
      <c r="K66" s="309">
        <f>IFERROR(VLOOKUP(AB66,#REF!,2,FALSE),0)</f>
        <v>0</v>
      </c>
      <c r="L66" s="72"/>
      <c r="M66" s="38"/>
      <c r="N66" s="72"/>
      <c r="O66" s="72"/>
      <c r="P66" s="772"/>
      <c r="Q66" s="772"/>
      <c r="R66" s="772"/>
      <c r="S66" s="306"/>
      <c r="T66" s="306"/>
      <c r="X66" s="303"/>
      <c r="AB66" s="274"/>
    </row>
    <row r="67" spans="2:28">
      <c r="E67" s="111"/>
      <c r="F67" s="111"/>
      <c r="G67" s="111"/>
      <c r="H67" s="111"/>
      <c r="L67" s="72"/>
      <c r="M67" s="38"/>
      <c r="N67" s="72"/>
      <c r="O67" s="72"/>
      <c r="P67" s="72" t="s">
        <v>1459</v>
      </c>
      <c r="Q67" s="92" t="str">
        <f>Q58</f>
        <v>z tytułu dostaw i usług, o okresie wymagalności:</v>
      </c>
      <c r="S67" s="306"/>
      <c r="T67" s="306"/>
      <c r="X67" s="274"/>
    </row>
    <row r="68" spans="2:28">
      <c r="E68" s="111"/>
      <c r="F68" s="111"/>
      <c r="G68" s="111"/>
      <c r="H68" s="111"/>
      <c r="L68" s="72"/>
      <c r="M68" s="38"/>
      <c r="N68" s="72"/>
      <c r="O68" s="72"/>
      <c r="P68" s="72"/>
      <c r="Q68" s="72" t="s">
        <v>533</v>
      </c>
      <c r="R68" s="38" t="str">
        <f>R59</f>
        <v>do 12 miesięcy</v>
      </c>
      <c r="S68" s="302">
        <f>IFERROR(VLOOKUP(X68,#REF!,2,FALSE),0)*-1</f>
        <v>0</v>
      </c>
      <c r="T68" s="302">
        <f>IFERROR(VLOOKUP(X68,#REF!,2,FALSE),0)*-1</f>
        <v>0</v>
      </c>
      <c r="X68" s="274"/>
    </row>
    <row r="69" spans="2:28">
      <c r="D69" s="243" t="s">
        <v>1458</v>
      </c>
      <c r="E69" s="118" t="str">
        <f>CHOOSE(jezyk,n!A327,n!B327,n!C327,n!D327)</f>
        <v>Aktywa obrotowe</v>
      </c>
      <c r="F69" s="243"/>
      <c r="G69" s="243"/>
      <c r="H69" s="243"/>
      <c r="I69" s="243"/>
      <c r="J69" s="112">
        <f>SUM(J71,J79,J107,J130)</f>
        <v>3471094.1599999997</v>
      </c>
      <c r="K69" s="112">
        <f>SUM(K71,K79,K107,K130)</f>
        <v>0</v>
      </c>
      <c r="L69" s="72"/>
      <c r="M69" s="38"/>
      <c r="N69" s="72"/>
      <c r="O69" s="72"/>
      <c r="P69" s="72"/>
      <c r="Q69" s="72" t="s">
        <v>533</v>
      </c>
      <c r="R69" s="38" t="str">
        <f>R60</f>
        <v>powyżej 12 miesięcy</v>
      </c>
      <c r="S69" s="302">
        <f>IFERROR(VLOOKUP(X69,#REF!,2,FALSE),0)*-1</f>
        <v>0</v>
      </c>
      <c r="T69" s="302">
        <f>IFERROR(VLOOKUP(X69,#REF!,2,FALSE),0)*-1</f>
        <v>0</v>
      </c>
      <c r="X69" s="274"/>
    </row>
    <row r="70" spans="2:28">
      <c r="F70" s="111" t="s">
        <v>764</v>
      </c>
      <c r="G70" s="111"/>
      <c r="H70" s="111"/>
      <c r="L70" s="72"/>
      <c r="M70" s="38"/>
      <c r="N70" s="72"/>
      <c r="O70" s="72"/>
      <c r="P70" s="72"/>
      <c r="Q70" s="72"/>
      <c r="R70" s="38"/>
      <c r="S70" s="314">
        <f>SUM(S68:S69)</f>
        <v>0</v>
      </c>
      <c r="T70" s="314">
        <f>SUM(T68:T69)</f>
        <v>0</v>
      </c>
      <c r="U70" s="296"/>
    </row>
    <row r="71" spans="2:28">
      <c r="E71" s="243" t="s">
        <v>1447</v>
      </c>
      <c r="F71" s="118" t="str">
        <f>CHOOSE(jezyk,n!A328,n!B328,n!C328,n!D328)</f>
        <v>Zapasy</v>
      </c>
      <c r="G71" s="111"/>
      <c r="H71" s="111"/>
      <c r="I71" s="243"/>
      <c r="J71" s="112">
        <f>SUM(J73:J77)</f>
        <v>0</v>
      </c>
      <c r="K71" s="112">
        <f>SUM(K73:K77)</f>
        <v>0</v>
      </c>
      <c r="L71" s="72"/>
      <c r="M71" s="38"/>
      <c r="N71" s="72"/>
      <c r="O71" s="72"/>
      <c r="P71" s="72"/>
      <c r="Q71" s="72"/>
      <c r="R71" s="38"/>
      <c r="S71" s="306"/>
      <c r="T71" s="306"/>
      <c r="U71" s="215"/>
    </row>
    <row r="72" spans="2:28">
      <c r="F72" s="111"/>
      <c r="G72" s="111"/>
      <c r="H72" s="111"/>
      <c r="M72" s="38"/>
      <c r="N72" s="72"/>
      <c r="O72" s="72"/>
      <c r="P72" s="72" t="s">
        <v>1460</v>
      </c>
      <c r="Q72" s="92" t="str">
        <f>Q63</f>
        <v>inne</v>
      </c>
      <c r="S72" s="302">
        <f>IFERROR(VLOOKUP(X72,#REF!,2,FALSE),0)*-1</f>
        <v>0</v>
      </c>
      <c r="T72" s="302">
        <f>IFERROR(VLOOKUP(X72,#REF!,2,FALSE),0)*-1</f>
        <v>0</v>
      </c>
      <c r="X72" s="274"/>
    </row>
    <row r="73" spans="2:28">
      <c r="F73" s="72" t="s">
        <v>1448</v>
      </c>
      <c r="G73" s="92" t="str">
        <f>CHOOSE(jezyk,n!A329,n!B329,n!C329,n!D329)</f>
        <v>Materiały</v>
      </c>
      <c r="I73" s="72"/>
      <c r="J73" s="115">
        <f>IFERROR(VLOOKUP(AB73,#REF!,2,FALSE),0)</f>
        <v>0</v>
      </c>
      <c r="K73" s="115">
        <f>IFERROR(VLOOKUP(AB73,#REF!,2,FALSE),0)</f>
        <v>0</v>
      </c>
      <c r="M73" s="38"/>
      <c r="N73" s="72"/>
      <c r="O73" s="72"/>
      <c r="Q73" s="72"/>
      <c r="AB73" s="274"/>
    </row>
    <row r="74" spans="2:28">
      <c r="F74" s="72" t="s">
        <v>1450</v>
      </c>
      <c r="G74" s="92" t="str">
        <f>CHOOSE(jezyk,n!A330,n!B330,n!C330,n!D330)</f>
        <v>Półprodukty i produkty w toku</v>
      </c>
      <c r="I74" s="72"/>
      <c r="J74" s="115">
        <f>IFERROR(VLOOKUP(AB74,#REF!,2,FALSE),0)</f>
        <v>0</v>
      </c>
      <c r="K74" s="115">
        <f>IFERROR(VLOOKUP(AB74,#REF!,2,FALSE),0)</f>
        <v>0</v>
      </c>
      <c r="L74" s="72"/>
      <c r="M74" s="38"/>
      <c r="N74" s="72"/>
      <c r="O74" s="72" t="s">
        <v>782</v>
      </c>
      <c r="P74" s="92" t="str">
        <f>CHOOSE(jezyk,n!A400,n!B400,n!C400,n!D400)</f>
        <v>Zobowiązania wobec pozostałych jednostek</v>
      </c>
      <c r="S74" s="116">
        <f>SUM(S75:S77,S81,S82:S87)</f>
        <v>1493349.4800000002</v>
      </c>
      <c r="T74" s="116">
        <f>SUM(T75:T77,T81,T82:T87)</f>
        <v>0</v>
      </c>
      <c r="U74" s="38"/>
      <c r="AB74" s="274"/>
    </row>
    <row r="75" spans="2:28">
      <c r="F75" s="72" t="s">
        <v>782</v>
      </c>
      <c r="G75" s="92" t="str">
        <f>CHOOSE(jezyk,n!A331,n!B331,n!C331,n!D331)</f>
        <v>Produkty gotowe</v>
      </c>
      <c r="I75" s="72"/>
      <c r="J75" s="115">
        <f>IFERROR(VLOOKUP(AB75,#REF!,2,FALSE),0)</f>
        <v>0</v>
      </c>
      <c r="K75" s="115">
        <f>IFERROR(VLOOKUP(AB75,#REF!,2,FALSE),0)</f>
        <v>0</v>
      </c>
      <c r="L75" s="72"/>
      <c r="M75" s="38"/>
      <c r="N75" s="72"/>
      <c r="O75" s="72"/>
      <c r="P75" s="72" t="s">
        <v>1459</v>
      </c>
      <c r="Q75" s="92" t="str">
        <f>CHOOSE(jezyk,n!A388,n!B388,n!C388,n!D388)</f>
        <v>kredyty i pożyczki</v>
      </c>
      <c r="S75" s="302">
        <f>IFERROR(VLOOKUP(X75,#REF!,2,FALSE),0)*-1</f>
        <v>0</v>
      </c>
      <c r="T75" s="302">
        <f>IFERROR(VLOOKUP(X75,#REF!,2,FALSE),0)*-1</f>
        <v>0</v>
      </c>
      <c r="X75" s="274"/>
      <c r="AB75" s="274"/>
    </row>
    <row r="76" spans="2:28">
      <c r="F76" s="72" t="s">
        <v>1452</v>
      </c>
      <c r="G76" s="92" t="str">
        <f>CHOOSE(jezyk,n!A332,n!B332,n!C332,n!D332)</f>
        <v>Towary</v>
      </c>
      <c r="I76" s="72"/>
      <c r="J76" s="115">
        <f>IFERROR(VLOOKUP(AB76,#REF!,2,FALSE),0)</f>
        <v>0</v>
      </c>
      <c r="K76" s="115">
        <f>IFERROR(VLOOKUP(AB76,#REF!,2,FALSE),0)</f>
        <v>0</v>
      </c>
      <c r="L76" s="72"/>
      <c r="M76" s="38"/>
      <c r="N76" s="72"/>
      <c r="O76" s="72"/>
      <c r="P76" s="72" t="s">
        <v>1460</v>
      </c>
      <c r="Q76" s="92" t="str">
        <f>CHOOSE(jezyk,n!A389,n!B389,n!C389,n!D389)</f>
        <v>z tytułu emisji dłużnych papierów wartościowych</v>
      </c>
      <c r="S76" s="302">
        <f>IFERROR(VLOOKUP(X76,#REF!,2,FALSE),0)*-1</f>
        <v>0</v>
      </c>
      <c r="T76" s="302">
        <f>IFERROR(VLOOKUP(X76,#REF!,2,FALSE),0)*-1</f>
        <v>0</v>
      </c>
      <c r="X76" s="274"/>
      <c r="AB76" s="274"/>
    </row>
    <row r="77" spans="2:28">
      <c r="F77" s="72" t="s">
        <v>1453</v>
      </c>
      <c r="G77" s="92" t="str">
        <f>CHOOSE(jezyk,n!A333,n!B333,n!C333,n!D333)</f>
        <v>Zaliczki na dostawy i usługi</v>
      </c>
      <c r="I77" s="72"/>
      <c r="J77" s="115">
        <f>IFERROR(VLOOKUP(AB77,#REF!,2,FALSE),0)</f>
        <v>0</v>
      </c>
      <c r="K77" s="115">
        <f>IFERROR(VLOOKUP(AB77,#REF!,2,FALSE),0)</f>
        <v>0</v>
      </c>
      <c r="L77" s="72"/>
      <c r="M77" s="38"/>
      <c r="N77" s="72"/>
      <c r="O77" s="72"/>
      <c r="P77" s="72" t="s">
        <v>1461</v>
      </c>
      <c r="Q77" s="92" t="str">
        <f>CHOOSE(jezyk,n!A390,n!B390,n!C390,n!D390)</f>
        <v>inne zobowiązania finansowe</v>
      </c>
      <c r="S77" s="302">
        <f>IFERROR(VLOOKUP(X77,#REF!,2,FALSE),0)*-1</f>
        <v>0</v>
      </c>
      <c r="T77" s="302">
        <f>IFERROR(VLOOKUP(X77,#REF!,2,FALSE),0)*-1</f>
        <v>0</v>
      </c>
      <c r="X77" s="274"/>
      <c r="AB77" s="274"/>
    </row>
    <row r="78" spans="2:28">
      <c r="F78" s="111" t="s">
        <v>764</v>
      </c>
      <c r="G78" s="111"/>
      <c r="H78" s="111"/>
      <c r="I78" s="72"/>
      <c r="L78" s="72"/>
      <c r="M78" s="38"/>
      <c r="N78" s="72"/>
      <c r="O78" s="72"/>
      <c r="P78" s="72" t="s">
        <v>1122</v>
      </c>
      <c r="Q78" s="92" t="str">
        <f>CHOOSE(jezyk,n!A396,n!B396,n!C396,n!D396)</f>
        <v>z tytułu dostaw i usług, o okresie wymagalności:</v>
      </c>
      <c r="S78" s="306"/>
    </row>
    <row r="79" spans="2:28" ht="12.75" customHeight="1">
      <c r="E79" s="243" t="s">
        <v>1449</v>
      </c>
      <c r="F79" s="118" t="str">
        <f>CHOOSE(jezyk,n!A334,n!B334,n!C334,n!D334)</f>
        <v>Należności krótkoterminowe</v>
      </c>
      <c r="G79" s="111"/>
      <c r="H79" s="111"/>
      <c r="I79" s="243"/>
      <c r="J79" s="112">
        <f>J81+J89+J97</f>
        <v>2578432.0999999996</v>
      </c>
      <c r="K79" s="112">
        <f>K81+K89+K97</f>
        <v>0</v>
      </c>
      <c r="L79" s="72"/>
      <c r="M79" s="38"/>
      <c r="N79" s="72"/>
      <c r="O79" s="72"/>
      <c r="P79" s="72"/>
      <c r="Q79" s="72" t="s">
        <v>533</v>
      </c>
      <c r="R79" s="38" t="str">
        <f>CHOOSE(jezyk,n!A397,n!B397,n!C397,n!D397)</f>
        <v>do 12 miesięcy</v>
      </c>
      <c r="S79" s="302">
        <v>1196299.6000000001</v>
      </c>
      <c r="T79" s="302">
        <f>IFERROR(VLOOKUP(X79,#REF!,2,FALSE),0)*-1</f>
        <v>0</v>
      </c>
      <c r="X79" s="274"/>
    </row>
    <row r="80" spans="2:28" ht="12.75" customHeight="1">
      <c r="B80" s="296"/>
      <c r="F80" s="111"/>
      <c r="G80" s="111"/>
      <c r="H80" s="111"/>
      <c r="L80" s="72"/>
      <c r="M80" s="38"/>
      <c r="N80" s="72"/>
      <c r="O80" s="72"/>
      <c r="P80" s="72"/>
      <c r="Q80" s="72" t="s">
        <v>533</v>
      </c>
      <c r="R80" s="38" t="str">
        <f>CHOOSE(jezyk,n!A398,n!B398,n!C398,n!D398)</f>
        <v>powyżej 12 miesięcy</v>
      </c>
      <c r="S80" s="302">
        <f>IFERROR(VLOOKUP(X80,#REF!,2,FALSE),0)*-1</f>
        <v>0</v>
      </c>
      <c r="T80" s="302">
        <f>IFERROR(VLOOKUP(X80,#REF!,2,FALSE),0)*-1</f>
        <v>0</v>
      </c>
      <c r="V80" s="108"/>
      <c r="X80" s="274"/>
    </row>
    <row r="81" spans="2:28">
      <c r="B81" s="215"/>
      <c r="F81" s="72" t="s">
        <v>1448</v>
      </c>
      <c r="G81" s="92" t="str">
        <f>CHOOSE(jezyk,n!A335,n!B335,n!C335,n!D335)</f>
        <v>Należności od jednostek powiązanych</v>
      </c>
      <c r="I81" s="72"/>
      <c r="J81" s="116">
        <f>SUM(J85:J87)</f>
        <v>1679777.14</v>
      </c>
      <c r="K81" s="116">
        <f>SUM(K85:K87)</f>
        <v>0</v>
      </c>
      <c r="L81" s="72"/>
      <c r="M81" s="38"/>
      <c r="N81" s="72"/>
      <c r="O81" s="72"/>
      <c r="P81" s="72"/>
      <c r="Q81" s="72"/>
      <c r="R81" s="38"/>
      <c r="S81" s="311">
        <f>SUM(S79:S80)</f>
        <v>1196299.6000000001</v>
      </c>
      <c r="T81" s="311">
        <f>SUM(T79:T80)</f>
        <v>0</v>
      </c>
      <c r="V81" s="108"/>
    </row>
    <row r="82" spans="2:28">
      <c r="G82" s="72" t="s">
        <v>1459</v>
      </c>
      <c r="H82" s="92" t="str">
        <f>CHOOSE(jezyk,n!A337,n!B337,n!C337,n!D337)</f>
        <v>z tytułu dostaw i usług, o okresie spłaty:</v>
      </c>
      <c r="I82" s="72"/>
      <c r="J82" s="92"/>
      <c r="K82" s="92"/>
      <c r="L82" s="72"/>
      <c r="M82" s="38"/>
      <c r="N82" s="72"/>
      <c r="O82" s="72"/>
      <c r="P82" s="72" t="s">
        <v>1123</v>
      </c>
      <c r="Q82" s="92" t="str">
        <f>CHOOSE(jezyk,n!A401,n!B401,n!C401,n!D401)</f>
        <v>zaliczki otrzymane na dostawy i usługi</v>
      </c>
      <c r="S82" s="302">
        <f>IFERROR(VLOOKUP(X82,#REF!,2,FALSE),0)*-1</f>
        <v>0</v>
      </c>
      <c r="T82" s="302">
        <f>IFERROR(VLOOKUP(X82,#REF!,2,FALSE),0)*-1</f>
        <v>0</v>
      </c>
      <c r="V82" s="108"/>
      <c r="X82" s="274"/>
    </row>
    <row r="83" spans="2:28">
      <c r="H83" s="72" t="s">
        <v>533</v>
      </c>
      <c r="I83" s="92" t="str">
        <f>CHOOSE(jezyk,n!A338,n!B338,n!C338,n!D338)</f>
        <v>do 12 miesięcy</v>
      </c>
      <c r="J83" s="115">
        <v>1679777.14</v>
      </c>
      <c r="K83" s="115">
        <f>IFERROR(VLOOKUP(AB83,#REF!,2,FALSE),0)</f>
        <v>0</v>
      </c>
      <c r="L83" s="72"/>
      <c r="M83" s="38"/>
      <c r="N83" s="72"/>
      <c r="O83" s="72"/>
      <c r="P83" s="72" t="s">
        <v>1125</v>
      </c>
      <c r="Q83" s="92" t="str">
        <f>CHOOSE(jezyk,n!A402,n!B402,n!C402,n!D402)</f>
        <v>zobowiązania wekslowe</v>
      </c>
      <c r="S83" s="302">
        <f>IFERROR(VLOOKUP(X83,#REF!,2,FALSE),0)*-1</f>
        <v>0</v>
      </c>
      <c r="T83" s="302">
        <f>IFERROR(VLOOKUP(X83,#REF!,2,FALSE),0)*-1</f>
        <v>0</v>
      </c>
      <c r="V83" s="108"/>
      <c r="X83" s="274"/>
      <c r="AB83" s="274"/>
    </row>
    <row r="84" spans="2:28">
      <c r="H84" s="72" t="s">
        <v>533</v>
      </c>
      <c r="I84" s="92" t="str">
        <f>CHOOSE(jezyk,n!A339,n!B339,n!C339,n!D339)</f>
        <v>powyżej 12 miesięcy</v>
      </c>
      <c r="J84" s="115">
        <f>IFERROR(VLOOKUP(AB84,#REF!,2,FALSE),0)</f>
        <v>0</v>
      </c>
      <c r="K84" s="115">
        <f>IFERROR(VLOOKUP(AB84,#REF!,2,FALSE),0)</f>
        <v>0</v>
      </c>
      <c r="L84" s="72"/>
      <c r="M84" s="38"/>
      <c r="N84" s="72"/>
      <c r="O84" s="72"/>
      <c r="P84" s="72" t="s">
        <v>1126</v>
      </c>
      <c r="Q84" s="772" t="str">
        <f>CHOOSE(jezyk,n!A403,n!B403,n!C403,n!D403)</f>
        <v>z tytułu podatków, ceł, ubezpieczeń społecznych i zdrowotnych oraz innych tytułów publicznoprawnych</v>
      </c>
      <c r="R84" s="772"/>
      <c r="S84" s="313">
        <v>201380.84</v>
      </c>
      <c r="T84" s="313">
        <f>IFERROR(VLOOKUP(X84,#REF!,2,FALSE),0)*-1</f>
        <v>0</v>
      </c>
      <c r="V84" s="108"/>
      <c r="X84" s="274"/>
      <c r="AB84" s="274"/>
    </row>
    <row r="85" spans="2:28" ht="12.75" customHeight="1">
      <c r="I85" s="92"/>
      <c r="J85" s="116">
        <f>SUM(J83:J84)</f>
        <v>1679777.14</v>
      </c>
      <c r="K85" s="116">
        <f>SUM(K83:K84)</f>
        <v>0</v>
      </c>
      <c r="L85" s="72"/>
      <c r="M85" s="38"/>
      <c r="N85" s="72"/>
      <c r="O85" s="72"/>
      <c r="P85" s="72"/>
      <c r="Q85" s="772"/>
      <c r="R85" s="772"/>
      <c r="S85" s="313">
        <v>95669.04</v>
      </c>
      <c r="T85" s="313"/>
      <c r="V85" s="108"/>
      <c r="X85" s="316"/>
    </row>
    <row r="86" spans="2:28">
      <c r="I86" s="92"/>
      <c r="J86" s="92"/>
      <c r="K86" s="92"/>
      <c r="L86" s="72"/>
      <c r="M86" s="38"/>
      <c r="N86" s="72"/>
      <c r="O86" s="72"/>
      <c r="P86" s="72" t="s">
        <v>1127</v>
      </c>
      <c r="Q86" s="92" t="str">
        <f>CHOOSE(jezyk,n!A404,n!B404,n!C404,n!D404)</f>
        <v>z tytułu wynagrodzeń</v>
      </c>
      <c r="S86" s="302">
        <f>IFERROR(VLOOKUP(X86,#REF!,2,FALSE),0)*-1</f>
        <v>0</v>
      </c>
      <c r="T86" s="302">
        <f>IFERROR(VLOOKUP(X86,#REF!,2,FALSE),0)*-1</f>
        <v>0</v>
      </c>
      <c r="V86" s="108"/>
      <c r="X86" s="274"/>
    </row>
    <row r="87" spans="2:28">
      <c r="G87" s="72" t="s">
        <v>1460</v>
      </c>
      <c r="H87" s="92" t="str">
        <f>CHOOSE(jezyk,n!A340,n!B340,n!C340,n!D340)</f>
        <v>inne</v>
      </c>
      <c r="I87" s="72"/>
      <c r="J87" s="115">
        <f>IFERROR(VLOOKUP(AB87,#REF!,2,FALSE),0)</f>
        <v>0</v>
      </c>
      <c r="K87" s="115">
        <f>IFERROR(VLOOKUP(AB87,#REF!,2,FALSE),0)</f>
        <v>0</v>
      </c>
      <c r="L87" s="72"/>
      <c r="M87" s="38"/>
      <c r="N87" s="72"/>
      <c r="O87" s="72"/>
      <c r="P87" s="72" t="s">
        <v>1128</v>
      </c>
      <c r="Q87" s="92" t="str">
        <f>CHOOSE(jezyk,n!A392,n!B392,n!C392,n!D392)</f>
        <v>inne</v>
      </c>
      <c r="S87" s="302">
        <f>IFERROR(VLOOKUP(X87,#REF!,2,FALSE),0)*-1</f>
        <v>0</v>
      </c>
      <c r="T87" s="302">
        <f>IFERROR(VLOOKUP(X87,#REF!,2,FALSE),0)*-1</f>
        <v>0</v>
      </c>
      <c r="V87" s="108"/>
      <c r="X87" s="274"/>
      <c r="AB87" s="274"/>
    </row>
    <row r="88" spans="2:28" ht="12.75" customHeight="1">
      <c r="B88" s="296"/>
      <c r="H88" s="92"/>
      <c r="I88" s="72"/>
      <c r="L88" s="72"/>
      <c r="M88" s="243"/>
      <c r="N88" s="72"/>
      <c r="O88" s="72"/>
      <c r="Q88" s="72"/>
      <c r="T88" s="92"/>
      <c r="U88" s="296"/>
      <c r="V88" s="215"/>
    </row>
    <row r="89" spans="2:28" ht="27.75" customHeight="1">
      <c r="B89" s="215"/>
      <c r="F89" s="72" t="s">
        <v>1450</v>
      </c>
      <c r="G89" s="772" t="str">
        <f>CHOOSE(jezyk,n!A336,n!B336,n!C336,n!D336)</f>
        <v>Należności od pozostałych jednostek, w których jednostka posiada zaangażowanie w kapitale</v>
      </c>
      <c r="H89" s="772"/>
      <c r="I89" s="772"/>
      <c r="J89" s="116">
        <f>SUM(J93:J94)</f>
        <v>0</v>
      </c>
      <c r="K89" s="116">
        <f>SUM(K93:K94)</f>
        <v>0</v>
      </c>
      <c r="L89" s="72"/>
      <c r="M89" s="111" t="s">
        <v>764</v>
      </c>
      <c r="N89" s="72"/>
      <c r="O89" s="72" t="s">
        <v>1452</v>
      </c>
      <c r="P89" s="92" t="str">
        <f>CHOOSE(jezyk,n!A405,n!B405,n!C405,n!D405)</f>
        <v>Fundusze specjalne</v>
      </c>
      <c r="Q89" s="72"/>
      <c r="S89" s="115">
        <f>IFERROR(VLOOKUP(X89,#REF!,2,FALSE),0)*-1</f>
        <v>0</v>
      </c>
      <c r="T89" s="115">
        <f>IFERROR(VLOOKUP(X89,#REF!,2,FALSE),0)*-1</f>
        <v>0</v>
      </c>
      <c r="U89" s="215"/>
      <c r="X89" s="103"/>
    </row>
    <row r="90" spans="2:28" ht="12.75" customHeight="1">
      <c r="G90" s="72" t="s">
        <v>1459</v>
      </c>
      <c r="H90" s="92" t="str">
        <f>H82</f>
        <v>z tytułu dostaw i usług, o okresie spłaty:</v>
      </c>
      <c r="I90" s="72"/>
      <c r="J90" s="92"/>
      <c r="K90" s="92"/>
      <c r="L90" s="72"/>
      <c r="M90" s="38"/>
      <c r="S90" s="66"/>
      <c r="T90" s="66"/>
    </row>
    <row r="91" spans="2:28">
      <c r="H91" s="72" t="s">
        <v>533</v>
      </c>
      <c r="I91" s="92" t="str">
        <f>I83</f>
        <v>do 12 miesięcy</v>
      </c>
      <c r="J91" s="115">
        <f>IFERROR(VLOOKUP(AB91,#REF!,2,FALSE),0)</f>
        <v>0</v>
      </c>
      <c r="K91" s="115">
        <f>IFERROR(VLOOKUP(AB91,#REF!,2,FALSE),0)</f>
        <v>0</v>
      </c>
      <c r="L91" s="72"/>
      <c r="M91" s="38"/>
      <c r="S91" s="66"/>
      <c r="T91" s="66"/>
      <c r="U91" s="296" t="str">
        <f>dzb</f>
        <v>31.12.2024</v>
      </c>
      <c r="V91" s="66" t="str">
        <f>CHOOSE(jezyk,n!A288,n!B288,n!C288,n!D288)</f>
        <v>Rok poprzedni</v>
      </c>
      <c r="AB91" s="274"/>
    </row>
    <row r="92" spans="2:28">
      <c r="H92" s="72" t="s">
        <v>533</v>
      </c>
      <c r="I92" s="92" t="str">
        <f>I84</f>
        <v>powyżej 12 miesięcy</v>
      </c>
      <c r="J92" s="115">
        <f>IFERROR(VLOOKUP(AB92,#REF!,2,FALSE),0)</f>
        <v>0</v>
      </c>
      <c r="K92" s="115">
        <f>IFERROR(VLOOKUP(AB92,#REF!,2,FALSE),0)</f>
        <v>0</v>
      </c>
      <c r="L92" s="72"/>
      <c r="M92" s="38"/>
      <c r="N92" s="111" t="s">
        <v>1454</v>
      </c>
      <c r="O92" s="118" t="str">
        <f>CHOOSE(jezyk,n!A406,n!B406,n!C406,n!D406)</f>
        <v>Rozliczenia międzyokresowe</v>
      </c>
      <c r="P92" s="111"/>
      <c r="Q92" s="111"/>
      <c r="R92" s="243"/>
      <c r="S92" s="301">
        <f>SUM(S94,S99)</f>
        <v>783526.04</v>
      </c>
      <c r="T92" s="301">
        <f>SUM(T94,T99)</f>
        <v>0</v>
      </c>
      <c r="U92" s="215">
        <f>S92-'nota 1.11-1.15'!E117</f>
        <v>0</v>
      </c>
      <c r="V92" s="38">
        <f>T92-'nota 1.11-1.15'!G117</f>
        <v>0</v>
      </c>
      <c r="AB92" s="274"/>
    </row>
    <row r="93" spans="2:28">
      <c r="I93" s="92"/>
      <c r="J93" s="116">
        <f>SUM(J91:J92)</f>
        <v>0</v>
      </c>
      <c r="K93" s="116">
        <f>SUM(K91:K92)</f>
        <v>0</v>
      </c>
      <c r="L93" s="72"/>
      <c r="M93" s="38"/>
    </row>
    <row r="94" spans="2:28">
      <c r="G94" s="72" t="s">
        <v>1460</v>
      </c>
      <c r="H94" s="92" t="str">
        <f>H87</f>
        <v>inne</v>
      </c>
      <c r="I94" s="72"/>
      <c r="J94" s="115">
        <f>IFERROR(VLOOKUP(AB94,#REF!,2,FALSE),0)</f>
        <v>0</v>
      </c>
      <c r="K94" s="115">
        <f>IFERROR(VLOOKUP(AB94,#REF!,2,FALSE),0)</f>
        <v>0</v>
      </c>
      <c r="L94" s="72"/>
      <c r="M94" s="38"/>
      <c r="N94" s="72"/>
      <c r="O94" s="72" t="s">
        <v>1448</v>
      </c>
      <c r="P94" s="92" t="str">
        <f>CHOOSE(jezyk,n!A407,n!B407,n!C407,n!D407)</f>
        <v>Ujemna wartość firmy</v>
      </c>
      <c r="Q94" s="72"/>
      <c r="S94" s="309">
        <f>IFERROR(VLOOKUP(X94,#REF!,2,FALSE),0)*-1</f>
        <v>0</v>
      </c>
      <c r="T94" s="302">
        <f>IFERROR(VLOOKUP(X94,#REF!,2,FALSE),0)*-1</f>
        <v>0</v>
      </c>
      <c r="X94" s="469"/>
      <c r="AB94" s="274"/>
    </row>
    <row r="95" spans="2:28" ht="0.75" customHeight="1">
      <c r="B95" s="296"/>
      <c r="J95" s="38">
        <v>0</v>
      </c>
      <c r="K95" s="38">
        <v>0</v>
      </c>
      <c r="L95" s="72"/>
      <c r="M95" s="38"/>
      <c r="N95" s="72"/>
      <c r="S95" s="38">
        <v>0</v>
      </c>
      <c r="T95" s="38">
        <v>0</v>
      </c>
      <c r="X95" s="274"/>
      <c r="AB95" s="274"/>
    </row>
    <row r="96" spans="2:28">
      <c r="B96" s="215"/>
      <c r="H96" s="92"/>
      <c r="I96" s="72"/>
      <c r="L96" s="72"/>
      <c r="M96" s="38"/>
      <c r="N96" s="72"/>
      <c r="O96" s="72" t="s">
        <v>1450</v>
      </c>
      <c r="P96" s="92" t="str">
        <f>CHOOSE(jezyk,n!A408,n!B408,n!C408,n!D408)</f>
        <v>Inne rozliczenia międzyokresowe</v>
      </c>
      <c r="Q96" s="72"/>
      <c r="T96" s="306"/>
    </row>
    <row r="97" spans="2:28">
      <c r="F97" s="72" t="s">
        <v>782</v>
      </c>
      <c r="G97" s="92" t="str">
        <f>CHOOSE(jezyk,n!A341,n!B341,n!C341,n!D341)</f>
        <v>Należności od pozostałych jednostek</v>
      </c>
      <c r="I97" s="72"/>
      <c r="J97" s="116">
        <f>SUM(J101:J105)</f>
        <v>898654.96</v>
      </c>
      <c r="K97" s="116">
        <f>SUM(K101:K105)</f>
        <v>0</v>
      </c>
      <c r="L97" s="72"/>
      <c r="M97" s="38"/>
      <c r="N97" s="72"/>
      <c r="O97" s="72"/>
      <c r="P97" s="72" t="s">
        <v>533</v>
      </c>
      <c r="Q97" s="92" t="str">
        <f>CHOOSE(jezyk,n!A409,n!B409,n!C409,n!D409)</f>
        <v>długoterminowe</v>
      </c>
      <c r="S97" s="309">
        <f>IFERROR(VLOOKUP(X97,#REF!,2,FALSE),0)*-1</f>
        <v>0</v>
      </c>
      <c r="T97" s="302">
        <f>IFERROR(VLOOKUP(X97,#REF!,2,FALSE),0)*-1</f>
        <v>0</v>
      </c>
      <c r="X97" s="274"/>
    </row>
    <row r="98" spans="2:28" ht="15">
      <c r="F98" s="111" t="s">
        <v>764</v>
      </c>
      <c r="G98" s="72" t="s">
        <v>1459</v>
      </c>
      <c r="H98" s="92" t="str">
        <f>CHOOSE(jezyk,n!A337,n!B337,n!C337,n!D337)</f>
        <v>z tytułu dostaw i usług, o okresie spłaty:</v>
      </c>
      <c r="I98" s="72"/>
      <c r="J98" s="92"/>
      <c r="K98" s="92"/>
      <c r="L98" s="72"/>
      <c r="M98" s="38"/>
      <c r="O98" s="72"/>
      <c r="P98" s="72" t="s">
        <v>533</v>
      </c>
      <c r="Q98" s="92" t="str">
        <f>CHOOSE(jezyk,n!A410,n!B410,n!C410,n!D410)</f>
        <v>krótkoterminowe</v>
      </c>
      <c r="S98" s="309">
        <v>783526.04</v>
      </c>
      <c r="T98" s="302">
        <f>IFERROR(VLOOKUP(X98,#REF!,2,FALSE),0)*-1</f>
        <v>0</v>
      </c>
      <c r="X98" s="274"/>
      <c r="AB98" s="316"/>
    </row>
    <row r="99" spans="2:28">
      <c r="F99" s="111"/>
      <c r="H99" s="111" t="s">
        <v>533</v>
      </c>
      <c r="I99" s="92" t="str">
        <f>CHOOSE(jezyk,n!A338,n!B338,n!C338,n!D338)</f>
        <v>do 12 miesięcy</v>
      </c>
      <c r="J99" s="115">
        <v>677229.98</v>
      </c>
      <c r="K99" s="115">
        <f>IFERROR(VLOOKUP(AB99,#REF!,2,FALSE),0)</f>
        <v>0</v>
      </c>
      <c r="L99" s="72"/>
      <c r="M99" s="38"/>
      <c r="N99" s="111"/>
      <c r="S99" s="311">
        <f>SUM(S97:S98)</f>
        <v>783526.04</v>
      </c>
      <c r="T99" s="311">
        <f>SUM(T97:T98)</f>
        <v>0</v>
      </c>
      <c r="AB99" s="274"/>
    </row>
    <row r="100" spans="2:28">
      <c r="F100" s="111"/>
      <c r="H100" s="111" t="s">
        <v>533</v>
      </c>
      <c r="I100" s="92" t="str">
        <f>CHOOSE(jezyk,n!A339,n!B339,n!C339,n!D339)</f>
        <v>powyżej 12 miesięcy</v>
      </c>
      <c r="J100" s="115">
        <f>IFERROR(VLOOKUP(AB100,#REF!,2,FALSE),0)</f>
        <v>0</v>
      </c>
      <c r="K100" s="115">
        <f>IFERROR(VLOOKUP(AB100,#REF!,2,FALSE),0)</f>
        <v>0</v>
      </c>
      <c r="L100" s="72"/>
      <c r="M100" s="38"/>
      <c r="N100" s="38"/>
      <c r="AB100" s="274"/>
    </row>
    <row r="101" spans="2:28">
      <c r="F101" s="111"/>
      <c r="H101" s="111"/>
      <c r="I101" s="92"/>
      <c r="J101" s="116">
        <f>SUM(J99:J100)</f>
        <v>677229.98</v>
      </c>
      <c r="K101" s="116">
        <f>SUM(K99:K100)</f>
        <v>0</v>
      </c>
      <c r="M101" s="38"/>
      <c r="N101" s="38"/>
      <c r="O101" s="72"/>
      <c r="P101" s="72"/>
      <c r="Q101" s="72"/>
      <c r="R101" s="72"/>
      <c r="T101" s="92"/>
    </row>
    <row r="102" spans="2:28" ht="12.75" customHeight="1">
      <c r="F102" s="111"/>
      <c r="H102" s="111"/>
      <c r="I102" s="92"/>
      <c r="J102" s="92"/>
      <c r="K102" s="92"/>
      <c r="M102" s="38"/>
      <c r="N102" s="38"/>
      <c r="O102" s="72"/>
      <c r="P102" s="72"/>
      <c r="Q102" s="72"/>
      <c r="R102" s="72"/>
      <c r="T102" s="306"/>
      <c r="V102" s="317"/>
    </row>
    <row r="103" spans="2:28" ht="39.75" customHeight="1">
      <c r="D103" s="338"/>
      <c r="E103" s="338"/>
      <c r="F103" s="117"/>
      <c r="G103" s="99" t="s">
        <v>1460</v>
      </c>
      <c r="H103" s="746" t="str">
        <f>CHOOSE(jezyk,n!A342,n!B342,n!C342,n!D342)</f>
        <v>z tytułu podatków, dotacji, ceł, ubezpieczeń społecznych i zdrowotnych oraz innych tytułów publicznoprawnych</v>
      </c>
      <c r="I103" s="746"/>
      <c r="J103" s="304">
        <v>221424.98</v>
      </c>
      <c r="K103" s="302">
        <f>IFERROR(VLOOKUP(AB103,#REF!,2,FALSE),0)</f>
        <v>0</v>
      </c>
      <c r="L103" s="72"/>
      <c r="M103" s="38"/>
      <c r="N103" s="38"/>
      <c r="O103" s="72"/>
      <c r="P103" s="72"/>
      <c r="Q103" s="72"/>
      <c r="R103" s="72"/>
      <c r="T103" s="306"/>
      <c r="AB103" s="274"/>
    </row>
    <row r="104" spans="2:28">
      <c r="F104" s="111"/>
      <c r="G104" s="72" t="s">
        <v>1461</v>
      </c>
      <c r="H104" s="92" t="str">
        <f>CHOOSE(jezyk,n!A343,n!B343,n!C343)</f>
        <v>inne</v>
      </c>
      <c r="I104" s="72"/>
      <c r="J104" s="398">
        <f>IFERROR(VLOOKUP(AB104,#REF!,2,FALSE),0)</f>
        <v>0</v>
      </c>
      <c r="K104" s="302">
        <f>IFERROR(VLOOKUP(AB104,#REF!,2,FALSE),0)</f>
        <v>0</v>
      </c>
      <c r="L104" s="72"/>
      <c r="N104" s="38"/>
      <c r="O104" s="72"/>
      <c r="P104" s="72"/>
      <c r="Q104" s="72"/>
      <c r="R104" s="72"/>
      <c r="T104" s="306"/>
      <c r="AB104" s="274"/>
    </row>
    <row r="105" spans="2:28">
      <c r="F105" s="111"/>
      <c r="G105" s="72" t="s">
        <v>1122</v>
      </c>
      <c r="H105" s="92" t="str">
        <f>CHOOSE(jezyk,n!A344,n!B344,n!C344,n!D344)</f>
        <v>dochodzone na drodze sądowej</v>
      </c>
      <c r="I105" s="72"/>
      <c r="J105" s="398">
        <f>IFERROR(VLOOKUP(AB105,#REF!,2,FALSE),0)</f>
        <v>0</v>
      </c>
      <c r="K105" s="302">
        <f>IFERROR(VLOOKUP(AB105,#REF!,2,FALSE),0)</f>
        <v>0</v>
      </c>
      <c r="L105" s="72"/>
      <c r="N105" s="38"/>
      <c r="O105" s="72"/>
      <c r="P105" s="72"/>
      <c r="Q105" s="72"/>
      <c r="R105" s="72"/>
      <c r="T105" s="306"/>
      <c r="AB105" s="274"/>
    </row>
    <row r="106" spans="2:28">
      <c r="F106" s="111"/>
      <c r="H106" s="111"/>
      <c r="I106" s="72"/>
      <c r="L106" s="72"/>
      <c r="N106" s="38"/>
      <c r="O106" s="72"/>
      <c r="P106" s="72"/>
      <c r="Q106" s="72"/>
      <c r="R106" s="72"/>
      <c r="T106" s="306"/>
      <c r="U106" s="317"/>
      <c r="AB106" s="317"/>
    </row>
    <row r="107" spans="2:28">
      <c r="E107" s="243" t="s">
        <v>1451</v>
      </c>
      <c r="F107" s="118" t="str">
        <f>CHOOSE(jezyk,n!A345,n!B345,n!C345,n!D345)</f>
        <v>Inwestycje krótkoterminowe</v>
      </c>
      <c r="G107" s="111"/>
      <c r="H107" s="111"/>
      <c r="I107" s="111"/>
      <c r="J107" s="112">
        <f>SUM(J109,J128)</f>
        <v>273165.15999999997</v>
      </c>
      <c r="K107" s="112">
        <f>SUM(K109,K128)</f>
        <v>0</v>
      </c>
      <c r="L107" s="72"/>
      <c r="N107" s="38"/>
      <c r="O107" s="72"/>
      <c r="P107" s="72"/>
      <c r="Q107" s="72"/>
      <c r="R107" s="72"/>
      <c r="S107" s="158"/>
      <c r="T107" s="306"/>
    </row>
    <row r="108" spans="2:28">
      <c r="D108" s="66"/>
      <c r="E108" s="66"/>
      <c r="H108" s="111"/>
      <c r="I108" s="72"/>
      <c r="J108" s="92"/>
      <c r="K108" s="92"/>
      <c r="L108" s="72"/>
      <c r="M108" s="317"/>
      <c r="N108" s="38"/>
      <c r="O108" s="72"/>
      <c r="P108" s="72"/>
      <c r="Q108" s="72"/>
      <c r="R108" s="72"/>
      <c r="T108" s="306"/>
    </row>
    <row r="109" spans="2:28">
      <c r="D109" s="66"/>
      <c r="E109" s="66"/>
      <c r="F109" s="72" t="s">
        <v>1448</v>
      </c>
      <c r="G109" s="92" t="str">
        <f>CHOOSE(jezyk,n!A346,n!B346,n!C346,n!D346)</f>
        <v>Krótkoterminowe aktywa finansowe</v>
      </c>
      <c r="H109" s="111"/>
      <c r="I109" s="72"/>
      <c r="J109" s="116">
        <f>SUM(J115,J121,J126)</f>
        <v>273165.15999999997</v>
      </c>
      <c r="K109" s="116">
        <f>SUM(K115,K121,K126)</f>
        <v>0</v>
      </c>
      <c r="L109" s="72"/>
      <c r="O109" s="72"/>
      <c r="P109" s="72"/>
      <c r="Q109" s="72"/>
      <c r="R109" s="72"/>
      <c r="T109" s="306"/>
    </row>
    <row r="110" spans="2:28">
      <c r="B110" s="296"/>
      <c r="C110" s="108"/>
      <c r="D110" s="66"/>
      <c r="E110" s="66"/>
      <c r="G110" s="72" t="s">
        <v>1459</v>
      </c>
      <c r="H110" s="92" t="str">
        <f>CHOOSE(jezyk,n!A347,n!B347,n!C347,n!D347)</f>
        <v>w jednostkach powiązanych</v>
      </c>
      <c r="I110" s="72"/>
      <c r="J110" s="92"/>
      <c r="K110" s="92"/>
      <c r="L110" s="72"/>
      <c r="N110" s="111"/>
      <c r="T110" s="306"/>
    </row>
    <row r="111" spans="2:28">
      <c r="B111" s="215"/>
      <c r="C111" s="215"/>
      <c r="D111" s="66"/>
      <c r="E111" s="66"/>
      <c r="H111" s="111" t="s">
        <v>533</v>
      </c>
      <c r="I111" s="92" t="str">
        <f>CHOOSE(jezyk,n!A348,n!B348,n!C348,n!D348)</f>
        <v>udziały lub akcje</v>
      </c>
      <c r="J111" s="115">
        <f>IFERROR(VLOOKUP(AB111,#REF!,2,FALSE),0)</f>
        <v>0</v>
      </c>
      <c r="K111" s="115">
        <f>IFERROR(VLOOKUP(AB111,#REF!,2,FALSE),0)</f>
        <v>0</v>
      </c>
      <c r="L111" s="72"/>
      <c r="N111" s="111"/>
      <c r="O111" s="111"/>
      <c r="P111" s="111"/>
      <c r="Q111" s="111"/>
      <c r="R111" s="243"/>
      <c r="T111" s="306"/>
      <c r="AB111" s="274"/>
    </row>
    <row r="112" spans="2:28">
      <c r="D112" s="66"/>
      <c r="E112" s="66"/>
      <c r="H112" s="111" t="s">
        <v>533</v>
      </c>
      <c r="I112" s="92" t="str">
        <f>CHOOSE(jezyk,n!A349,n!B349,n!C349,n!D349)</f>
        <v>inne papiery wartościowe</v>
      </c>
      <c r="J112" s="115">
        <f>IFERROR(VLOOKUP(AB112,#REF!,2,FALSE),0)</f>
        <v>0</v>
      </c>
      <c r="K112" s="115">
        <f>IFERROR(VLOOKUP(AB112,#REF!,2,FALSE),0)</f>
        <v>0</v>
      </c>
      <c r="N112" s="111"/>
      <c r="O112" s="111"/>
      <c r="P112" s="111"/>
      <c r="Q112" s="111"/>
      <c r="R112" s="243"/>
      <c r="T112" s="306"/>
      <c r="AB112" s="274"/>
    </row>
    <row r="113" spans="4:28">
      <c r="D113" s="66"/>
      <c r="E113" s="66"/>
      <c r="H113" s="111" t="s">
        <v>533</v>
      </c>
      <c r="I113" s="92" t="str">
        <f>CHOOSE(jezyk,n!A350,n!B350,n!C350,n!D350)</f>
        <v>udzielone pożyczki</v>
      </c>
      <c r="J113" s="115">
        <f>IFERROR(VLOOKUP(AB113,#REF!,2,FALSE),0)</f>
        <v>0</v>
      </c>
      <c r="K113" s="115">
        <f>IFERROR(VLOOKUP(AB113,#REF!,2,FALSE),0)</f>
        <v>0</v>
      </c>
      <c r="N113" s="111"/>
      <c r="O113" s="111"/>
      <c r="P113" s="111"/>
      <c r="Q113" s="111"/>
      <c r="R113" s="243"/>
      <c r="T113" s="306"/>
      <c r="AB113" s="274"/>
    </row>
    <row r="114" spans="4:28" ht="12.75" customHeight="1">
      <c r="D114" s="66"/>
      <c r="E114" s="66"/>
      <c r="H114" s="111" t="s">
        <v>533</v>
      </c>
      <c r="I114" s="92" t="str">
        <f>CHOOSE(jezyk,n!A351,n!B351,n!C351,n!D351)</f>
        <v>inne krótkoterminowe aktywa finansowe</v>
      </c>
      <c r="J114" s="115">
        <f>IFERROR(VLOOKUP(AB114,#REF!,2,FALSE),0)</f>
        <v>0</v>
      </c>
      <c r="K114" s="115">
        <f>IFERROR(VLOOKUP(AB114,#REF!,2,FALSE),0)</f>
        <v>0</v>
      </c>
      <c r="N114" s="111"/>
      <c r="O114" s="111"/>
      <c r="P114" s="111"/>
      <c r="Q114" s="111"/>
      <c r="R114" s="243"/>
      <c r="T114" s="306"/>
      <c r="AB114" s="274"/>
    </row>
    <row r="115" spans="4:28">
      <c r="D115" s="66"/>
      <c r="E115" s="66"/>
      <c r="I115" s="72"/>
      <c r="J115" s="116">
        <f>SUM(J111:J114)</f>
        <v>0</v>
      </c>
      <c r="K115" s="116">
        <f>SUM(K111:K114)</f>
        <v>0</v>
      </c>
      <c r="N115" s="117"/>
      <c r="O115" s="111"/>
      <c r="P115" s="111"/>
      <c r="Q115" s="111"/>
      <c r="R115" s="243"/>
      <c r="T115" s="306"/>
    </row>
    <row r="116" spans="4:28">
      <c r="D116" s="66"/>
      <c r="E116" s="66"/>
      <c r="G116" s="72" t="s">
        <v>1460</v>
      </c>
      <c r="H116" s="92" t="str">
        <f>CHOOSE(jezyk,n!A352,n!B352,n!C352,n!D352)</f>
        <v>w pozostałych jednostkach</v>
      </c>
      <c r="N116" s="111"/>
      <c r="O116" s="117"/>
      <c r="P116" s="117"/>
      <c r="Q116" s="117"/>
      <c r="R116" s="338"/>
      <c r="T116" s="306"/>
    </row>
    <row r="117" spans="4:28" s="243" customFormat="1">
      <c r="D117" s="66"/>
      <c r="E117" s="66"/>
      <c r="F117" s="72"/>
      <c r="G117" s="72"/>
      <c r="H117" s="111" t="s">
        <v>533</v>
      </c>
      <c r="I117" s="92" t="str">
        <f>CHOOSE(jezyk,n!A348,n!B348,n!C348,n!D348)</f>
        <v>udziały lub akcje</v>
      </c>
      <c r="J117" s="309">
        <f>IFERROR(VLOOKUP(AB117,#REF!,2,FALSE),0)</f>
        <v>0</v>
      </c>
      <c r="K117" s="309">
        <f>IFERROR(VLOOKUP(AB117,#REF!,2,FALSE),0)</f>
        <v>0</v>
      </c>
      <c r="L117" s="66"/>
      <c r="M117" s="66"/>
      <c r="N117" s="111"/>
      <c r="O117" s="111"/>
      <c r="P117" s="111"/>
      <c r="Q117" s="111"/>
      <c r="S117" s="38"/>
      <c r="T117" s="306"/>
      <c r="U117" s="66"/>
      <c r="V117" s="66"/>
      <c r="AB117" s="274"/>
    </row>
    <row r="118" spans="4:28">
      <c r="D118" s="66"/>
      <c r="E118" s="66"/>
      <c r="H118" s="72" t="s">
        <v>533</v>
      </c>
      <c r="I118" s="92" t="str">
        <f>CHOOSE(jezyk,n!A349,n!B349,n!C349,n!D349)</f>
        <v>inne papiery wartościowe</v>
      </c>
      <c r="J118" s="309">
        <f>IFERROR(VLOOKUP(AB118,#REF!,2,FALSE),0)</f>
        <v>0</v>
      </c>
      <c r="K118" s="309">
        <f>IFERROR(VLOOKUP(AB118,#REF!,2,FALSE),0)</f>
        <v>0</v>
      </c>
      <c r="N118" s="111"/>
      <c r="O118" s="111"/>
      <c r="P118" s="111"/>
      <c r="Q118" s="111"/>
      <c r="R118" s="243"/>
      <c r="T118" s="306"/>
      <c r="AB118" s="274"/>
    </row>
    <row r="119" spans="4:28">
      <c r="D119" s="66"/>
      <c r="E119" s="66"/>
      <c r="H119" s="72" t="s">
        <v>533</v>
      </c>
      <c r="I119" s="92" t="str">
        <f>CHOOSE(jezyk,n!A350,n!B350,n!C350,n!D350)</f>
        <v>udzielone pożyczki</v>
      </c>
      <c r="J119" s="309">
        <f>IFERROR(VLOOKUP(AB119,#REF!,2,FALSE),0)</f>
        <v>0</v>
      </c>
      <c r="K119" s="309">
        <f>IFERROR(VLOOKUP(AB119,#REF!,2,FALSE),0)</f>
        <v>0</v>
      </c>
      <c r="N119" s="111"/>
      <c r="O119" s="111"/>
      <c r="P119" s="111"/>
      <c r="Q119" s="111"/>
      <c r="R119" s="243"/>
      <c r="T119" s="306"/>
      <c r="AB119" s="274"/>
    </row>
    <row r="120" spans="4:28">
      <c r="D120" s="66"/>
      <c r="E120" s="66"/>
      <c r="F120" s="72" t="s">
        <v>764</v>
      </c>
      <c r="H120" s="111" t="s">
        <v>533</v>
      </c>
      <c r="I120" s="92" t="str">
        <f>CHOOSE(jezyk,n!A351,n!B351,n!C351,n!D351)</f>
        <v>inne krótkoterminowe aktywa finansowe</v>
      </c>
      <c r="J120" s="309">
        <f>IFERROR(VLOOKUP(AB120,#REF!,2,FALSE),0)</f>
        <v>0</v>
      </c>
      <c r="K120" s="309">
        <f>IFERROR(VLOOKUP(AB120,#REF!,2,FALSE),0)</f>
        <v>0</v>
      </c>
      <c r="N120" s="111"/>
      <c r="O120" s="111"/>
      <c r="P120" s="111"/>
      <c r="Q120" s="111"/>
      <c r="R120" s="243"/>
      <c r="T120" s="92"/>
      <c r="AB120" s="274"/>
    </row>
    <row r="121" spans="4:28">
      <c r="D121" s="66"/>
      <c r="E121" s="66"/>
      <c r="H121" s="66"/>
      <c r="I121" s="92"/>
      <c r="J121" s="116">
        <f>SUM(J117:J120)</f>
        <v>0</v>
      </c>
      <c r="K121" s="116">
        <f>SUM(K117:K120)</f>
        <v>0</v>
      </c>
      <c r="M121" s="38"/>
      <c r="N121" s="111"/>
      <c r="O121" s="111"/>
      <c r="P121" s="111"/>
      <c r="Q121" s="111"/>
      <c r="R121" s="243"/>
      <c r="T121" s="92"/>
    </row>
    <row r="122" spans="4:28">
      <c r="D122" s="66"/>
      <c r="E122" s="66"/>
      <c r="G122" s="72" t="s">
        <v>1461</v>
      </c>
      <c r="H122" s="92" t="str">
        <f>CHOOSE(jezyk,n!A353,n!B353,n!C353,n!D353)</f>
        <v>środki pieniężne i inne aktywa pieniężne</v>
      </c>
      <c r="J122" s="92"/>
      <c r="K122" s="92"/>
      <c r="M122" s="38"/>
      <c r="N122" s="111"/>
      <c r="O122" s="111"/>
      <c r="P122" s="111"/>
      <c r="Q122" s="111"/>
      <c r="R122" s="243"/>
      <c r="T122" s="92"/>
    </row>
    <row r="123" spans="4:28">
      <c r="D123" s="66"/>
      <c r="E123" s="66"/>
      <c r="G123" s="92"/>
      <c r="H123" s="111" t="s">
        <v>533</v>
      </c>
      <c r="I123" s="92" t="str">
        <f>CHOOSE(jezyk,n!A354,n!B354,n!C354,n!D354)</f>
        <v>środki pieniężne w kasie i na rachunkach</v>
      </c>
      <c r="J123" s="115">
        <v>273165.15999999997</v>
      </c>
      <c r="K123" s="115">
        <f>IFERROR(VLOOKUP(AB123,#REF!,2,FALSE),0)</f>
        <v>0</v>
      </c>
      <c r="M123" s="182"/>
      <c r="N123" s="111"/>
      <c r="O123" s="111"/>
      <c r="P123" s="111"/>
      <c r="Q123" s="111"/>
      <c r="R123" s="243"/>
      <c r="T123" s="306"/>
      <c r="AB123" s="274"/>
    </row>
    <row r="124" spans="4:28">
      <c r="D124" s="66"/>
      <c r="E124" s="66"/>
      <c r="G124" s="66"/>
      <c r="H124" s="111" t="s">
        <v>533</v>
      </c>
      <c r="I124" s="92" t="str">
        <f>CHOOSE(jezyk,n!A355,n!B355,n!C355,n!D355)</f>
        <v>inne środki pieniężne</v>
      </c>
      <c r="J124" s="115">
        <f>IFERROR(VLOOKUP(AB124,#REF!,2,FALSE),0)</f>
        <v>0</v>
      </c>
      <c r="K124" s="115">
        <f>IFERROR(VLOOKUP(AB124,#REF!,2,FALSE),0)</f>
        <v>0</v>
      </c>
      <c r="N124" s="182"/>
      <c r="O124" s="38"/>
      <c r="P124" s="38"/>
      <c r="Q124" s="38"/>
      <c r="T124" s="92"/>
      <c r="AB124" s="274"/>
    </row>
    <row r="125" spans="4:28">
      <c r="D125" s="66"/>
      <c r="E125" s="66"/>
      <c r="G125" s="92"/>
      <c r="H125" s="111" t="s">
        <v>533</v>
      </c>
      <c r="I125" s="92" t="str">
        <f>CHOOSE(jezyk,n!A356,n!B356,n!C356,n!D356)</f>
        <v>inne aktywa pieniężne</v>
      </c>
      <c r="J125" s="115">
        <f>IFERROR(VLOOKUP(AB125,#REF!,2,FALSE),0)</f>
        <v>0</v>
      </c>
      <c r="K125" s="115">
        <f>IFERROR(VLOOKUP(AB125,#REF!,2,FALSE),0)</f>
        <v>0</v>
      </c>
      <c r="AB125" s="274"/>
    </row>
    <row r="126" spans="4:28">
      <c r="D126" s="66"/>
      <c r="E126" s="66"/>
      <c r="H126" s="111"/>
      <c r="I126" s="92"/>
      <c r="J126" s="116">
        <f>SUM(J123:J125)</f>
        <v>273165.15999999997</v>
      </c>
      <c r="K126" s="116">
        <f>SUM(K123:K125)</f>
        <v>0</v>
      </c>
    </row>
    <row r="127" spans="4:28">
      <c r="D127" s="66"/>
      <c r="E127" s="66"/>
      <c r="H127" s="111"/>
      <c r="I127" s="92"/>
      <c r="J127" s="92"/>
      <c r="K127" s="92"/>
      <c r="M127" s="243"/>
    </row>
    <row r="128" spans="4:28">
      <c r="D128" s="66"/>
      <c r="E128" s="66"/>
      <c r="F128" s="72" t="s">
        <v>1450</v>
      </c>
      <c r="G128" s="92" t="str">
        <f>CHOOSE(jezyk,n!A357,n!B357,n!C357,n!D357)</f>
        <v>Inne inwestycje krótkoterminowe</v>
      </c>
      <c r="H128" s="111"/>
      <c r="I128" s="92"/>
      <c r="J128" s="115">
        <f>IFERROR(VLOOKUP(AB128,#REF!,2,FALSE),0)</f>
        <v>0</v>
      </c>
      <c r="K128" s="115">
        <f>IFERROR(VLOOKUP(AB128,#REF!,2,FALSE),0)</f>
        <v>0</v>
      </c>
      <c r="M128" s="38"/>
      <c r="N128" s="243"/>
      <c r="O128" s="243"/>
      <c r="P128" s="243"/>
      <c r="Q128" s="243"/>
      <c r="R128" s="243"/>
      <c r="S128" s="243"/>
      <c r="T128" s="243"/>
      <c r="V128" s="243"/>
      <c r="AB128" s="274"/>
    </row>
    <row r="129" spans="2:34">
      <c r="B129" s="66" t="str">
        <f>dzb</f>
        <v>31.12.2024</v>
      </c>
      <c r="C129" s="66" t="str">
        <f>CHOOSE(jezyk,n!A288,n!B288,n!C288,n!D288)</f>
        <v>Rok poprzedni</v>
      </c>
      <c r="D129" s="66"/>
      <c r="E129" s="66"/>
      <c r="G129" s="92"/>
      <c r="H129" s="111"/>
      <c r="I129" s="92"/>
      <c r="M129" s="38"/>
      <c r="N129" s="38"/>
      <c r="O129" s="38"/>
      <c r="P129" s="38"/>
      <c r="Q129" s="38"/>
      <c r="U129" s="243"/>
    </row>
    <row r="130" spans="2:34" s="243" customFormat="1" ht="15">
      <c r="B130" s="182">
        <f>J130+J63-'nota 1.11-1.15'!E96</f>
        <v>0</v>
      </c>
      <c r="C130" s="182">
        <f>K130+K63-'nota 1.11-1.15'!G96</f>
        <v>0</v>
      </c>
      <c r="E130" s="243" t="s">
        <v>1454</v>
      </c>
      <c r="F130" s="118" t="str">
        <f>CHOOSE(jezyk,n!A358,n!B358,n!C358,n!D354)</f>
        <v>Krótkoterminowe rozliczenia międzyokresowe</v>
      </c>
      <c r="G130" s="111"/>
      <c r="H130" s="111"/>
      <c r="J130" s="113">
        <v>619496.9</v>
      </c>
      <c r="K130" s="113">
        <f>IFERROR(VLOOKUP(AB130,#REF!,2,FALSE),0)</f>
        <v>0</v>
      </c>
      <c r="M130" s="182"/>
      <c r="N130" s="182"/>
      <c r="O130" s="182"/>
      <c r="P130" s="182"/>
      <c r="Q130" s="182"/>
      <c r="S130" s="182"/>
      <c r="T130" s="182"/>
      <c r="U130" s="66"/>
      <c r="V130" s="66"/>
      <c r="AB130" s="318"/>
    </row>
    <row r="131" spans="2:34">
      <c r="F131" s="118"/>
      <c r="G131" s="111"/>
      <c r="H131" s="111"/>
      <c r="I131" s="243"/>
      <c r="J131" s="182"/>
      <c r="K131" s="182"/>
      <c r="M131" s="38"/>
      <c r="N131" s="38"/>
      <c r="O131" s="182"/>
      <c r="P131" s="182"/>
      <c r="Q131" s="182"/>
    </row>
    <row r="132" spans="2:34">
      <c r="D132" s="243" t="s">
        <v>1191</v>
      </c>
      <c r="E132" s="118" t="str">
        <f>CHOOSE(jezyk,n!A363,n!B363,n!C363,n!D363)</f>
        <v xml:space="preserve">Należne wpłaty na kapitał (fundusz) podstawowy </v>
      </c>
      <c r="F132" s="243"/>
      <c r="G132" s="243"/>
      <c r="H132" s="243"/>
      <c r="I132" s="243"/>
      <c r="J132" s="319">
        <f>IFERROR(VLOOKUP(AB132,#REF!,2,FALSE),0)</f>
        <v>0</v>
      </c>
      <c r="K132" s="319">
        <f>IFERROR(VLOOKUP(AB132,#REF!,2,FALSE),0)</f>
        <v>0</v>
      </c>
      <c r="W132" s="66" t="s">
        <v>764</v>
      </c>
      <c r="AB132" s="303"/>
      <c r="AC132" s="66" t="s">
        <v>764</v>
      </c>
      <c r="AD132" s="66" t="s">
        <v>764</v>
      </c>
      <c r="AE132" s="66" t="s">
        <v>764</v>
      </c>
      <c r="AF132" s="66" t="s">
        <v>764</v>
      </c>
      <c r="AG132" s="66" t="s">
        <v>764</v>
      </c>
      <c r="AH132" s="66" t="s">
        <v>764</v>
      </c>
    </row>
    <row r="133" spans="2:34">
      <c r="F133" s="118"/>
      <c r="G133" s="111"/>
      <c r="H133" s="111"/>
      <c r="I133" s="243"/>
      <c r="J133" s="182"/>
      <c r="K133" s="182"/>
    </row>
    <row r="134" spans="2:34">
      <c r="D134" s="243" t="s">
        <v>1192</v>
      </c>
      <c r="E134" s="118" t="str">
        <f>CHOOSE(jezyk,n!A364,n!B364,n!C364,n!D364)</f>
        <v xml:space="preserve">Udziały (akcje) własne </v>
      </c>
      <c r="F134" s="243"/>
      <c r="G134" s="243"/>
      <c r="H134" s="243"/>
      <c r="I134" s="243"/>
      <c r="J134" s="319">
        <f>IFERROR(VLOOKUP(AB134,#REF!,2,FALSE),0)</f>
        <v>0</v>
      </c>
      <c r="K134" s="319">
        <f>IFERROR(VLOOKUP(AB134,#REF!,2,FALSE),0)</f>
        <v>0</v>
      </c>
      <c r="AB134" s="274"/>
    </row>
    <row r="135" spans="2:34">
      <c r="D135" s="320"/>
      <c r="E135" s="320"/>
      <c r="F135" s="321"/>
      <c r="G135" s="125"/>
      <c r="H135" s="125"/>
      <c r="I135" s="243"/>
      <c r="J135" s="182"/>
      <c r="K135" s="182"/>
      <c r="AB135" s="274"/>
    </row>
    <row r="136" spans="2:34">
      <c r="D136" s="72"/>
      <c r="E136" s="72"/>
      <c r="I136" s="245"/>
      <c r="J136" s="246"/>
      <c r="K136" s="246"/>
      <c r="L136" s="245"/>
      <c r="M136" s="246"/>
      <c r="N136" s="246"/>
      <c r="O136" s="246"/>
      <c r="P136" s="246"/>
      <c r="Q136" s="246"/>
      <c r="R136" s="245"/>
      <c r="S136" s="246"/>
      <c r="T136" s="246"/>
    </row>
    <row r="137" spans="2:34">
      <c r="D137" s="111" t="str">
        <f>CHOOSE(jezyk,n!A359,n!B359,n!C359,n!D359)</f>
        <v>Aktywa razem</v>
      </c>
      <c r="E137" s="111"/>
      <c r="F137" s="111"/>
      <c r="G137" s="111"/>
      <c r="H137" s="111"/>
      <c r="I137" s="243"/>
      <c r="J137" s="112">
        <f>SUM(J9,J69,J132,J134)</f>
        <v>3858555.1599999997</v>
      </c>
      <c r="K137" s="112">
        <f>SUM(K9,K69,K132,K134)</f>
        <v>0</v>
      </c>
      <c r="L137" s="243"/>
      <c r="M137" s="777" t="str">
        <f>CHOOSE(jezyk,n!A411,n!B411,n!C411,n!D411)</f>
        <v>Pasywa razem</v>
      </c>
      <c r="N137" s="777"/>
      <c r="O137" s="777"/>
      <c r="P137" s="777"/>
      <c r="Q137" s="777"/>
      <c r="R137" s="777"/>
      <c r="S137" s="112">
        <f>SUM(S9,S26)</f>
        <v>3858555.1600000011</v>
      </c>
      <c r="T137" s="112">
        <f>SUM(T9,T26)</f>
        <v>1E-4</v>
      </c>
    </row>
    <row r="138" spans="2:34" ht="13.5" thickBot="1">
      <c r="D138" s="322"/>
      <c r="E138" s="322"/>
      <c r="F138" s="322"/>
      <c r="G138" s="322"/>
      <c r="H138" s="322"/>
      <c r="I138" s="322"/>
      <c r="J138" s="323"/>
      <c r="K138" s="323"/>
      <c r="L138" s="322"/>
      <c r="M138" s="323"/>
      <c r="N138" s="323"/>
      <c r="O138" s="323"/>
      <c r="P138" s="323"/>
      <c r="Q138" s="323"/>
      <c r="R138" s="322"/>
      <c r="S138" s="323"/>
      <c r="T138" s="323"/>
    </row>
    <row r="139" spans="2:34">
      <c r="D139" s="66"/>
      <c r="E139" s="66"/>
      <c r="F139" s="66"/>
      <c r="G139" s="66"/>
      <c r="H139" s="66"/>
      <c r="M139" s="38"/>
      <c r="N139" s="38"/>
      <c r="O139" s="38"/>
      <c r="P139" s="38"/>
      <c r="Q139" s="38"/>
    </row>
    <row r="140" spans="2:34" ht="17.100000000000001" customHeight="1">
      <c r="D140" s="66" t="str">
        <f>siedziba&amp;", "&amp;GA!D53</f>
        <v>Warszawa, 28.02.2025</v>
      </c>
      <c r="E140" s="66"/>
      <c r="F140" s="66"/>
      <c r="G140" s="66"/>
      <c r="H140" s="66"/>
      <c r="J140" s="38" t="str">
        <f>CHOOSE(jezyk,n!A412,n!B412,n!C412,n!D412)</f>
        <v>Osoba sporządzająca:</v>
      </c>
      <c r="M140" s="38"/>
      <c r="N140" s="38"/>
      <c r="O140" s="38"/>
      <c r="P140" s="38"/>
      <c r="Q140" s="38"/>
      <c r="R140" s="253" t="str">
        <f>CHOOSE(jezyk,n!A413,n!B413,n!C413,n!D413)</f>
        <v>Zarząd:</v>
      </c>
    </row>
    <row r="141" spans="2:34">
      <c r="M141" s="38"/>
      <c r="N141" s="38"/>
      <c r="O141" s="182"/>
      <c r="P141" s="182"/>
      <c r="Q141" s="182"/>
      <c r="U141" s="243"/>
      <c r="V141" s="243"/>
    </row>
    <row r="142" spans="2:34">
      <c r="D142" s="66"/>
      <c r="E142" s="66"/>
      <c r="F142" s="66"/>
      <c r="G142" s="66"/>
      <c r="H142" s="66"/>
      <c r="M142" s="38"/>
      <c r="N142" s="38"/>
      <c r="O142" s="182"/>
      <c r="P142" s="182"/>
      <c r="Q142" s="182"/>
    </row>
    <row r="143" spans="2:34">
      <c r="D143" s="66"/>
      <c r="E143" s="66"/>
      <c r="F143" s="66"/>
      <c r="G143" s="66"/>
      <c r="H143" s="66"/>
      <c r="M143" s="38"/>
      <c r="N143" s="38"/>
      <c r="O143" s="182"/>
      <c r="P143" s="182"/>
      <c r="Q143" s="182"/>
      <c r="U143" s="66" t="s">
        <v>764</v>
      </c>
      <c r="V143" s="66" t="s">
        <v>764</v>
      </c>
    </row>
    <row r="144" spans="2:34">
      <c r="I144" s="66" t="str">
        <f>CHOOSE(jezyk,n!A6,n!B6,n!C6,n!D6)</f>
        <v>pola kontrolne</v>
      </c>
      <c r="J144" s="215">
        <f>J137-S137</f>
        <v>0</v>
      </c>
      <c r="K144" s="215">
        <f>K137-T137</f>
        <v>-1E-4</v>
      </c>
      <c r="M144" s="38"/>
      <c r="N144" s="38"/>
      <c r="O144" s="182"/>
      <c r="P144" s="182"/>
      <c r="Q144" s="182"/>
      <c r="R144" s="66" t="str">
        <f>I144</f>
        <v>pola kontrolne</v>
      </c>
      <c r="S144" s="215">
        <f>S137-J137</f>
        <v>0</v>
      </c>
      <c r="T144" s="215">
        <f>T137-K137</f>
        <v>1E-4</v>
      </c>
    </row>
    <row r="146" spans="4:10">
      <c r="J146" s="324"/>
    </row>
    <row r="147" spans="4:10">
      <c r="D147" s="66"/>
      <c r="E147" s="66"/>
      <c r="F147" s="66"/>
      <c r="G147" s="66"/>
      <c r="H147" s="66"/>
    </row>
    <row r="148" spans="4:10">
      <c r="D148" s="66"/>
      <c r="E148" s="66"/>
      <c r="F148" s="66"/>
      <c r="G148" s="66"/>
      <c r="H148" s="66"/>
    </row>
    <row r="149" spans="4:10">
      <c r="D149" s="66"/>
      <c r="E149" s="66"/>
      <c r="F149" s="66"/>
      <c r="G149" s="66"/>
      <c r="H149" s="66"/>
    </row>
    <row r="150" spans="4:10">
      <c r="D150" s="66"/>
      <c r="E150" s="66"/>
      <c r="F150" s="66"/>
      <c r="G150" s="66"/>
      <c r="H150" s="66"/>
    </row>
    <row r="151" spans="4:10">
      <c r="D151" s="72"/>
      <c r="E151" s="72"/>
    </row>
  </sheetData>
  <mergeCells count="15">
    <mergeCell ref="Q84:R85"/>
    <mergeCell ref="G89:I89"/>
    <mergeCell ref="H103:I103"/>
    <mergeCell ref="M137:R137"/>
    <mergeCell ref="G34:I34"/>
    <mergeCell ref="P44:R45"/>
    <mergeCell ref="H48:I48"/>
    <mergeCell ref="P65:R66"/>
    <mergeCell ref="O21:R22"/>
    <mergeCell ref="H22:I22"/>
    <mergeCell ref="B1:V1"/>
    <mergeCell ref="D2:T2"/>
    <mergeCell ref="D3:T3"/>
    <mergeCell ref="D4:T4"/>
    <mergeCell ref="Q13:R13"/>
  </mergeCells>
  <hyperlinks>
    <hyperlink ref="B1:V1" location="'spis treści'!A1" display="SPIS TREŚCI" xr:uid="{00000000-0004-0000-1100-000000000000}"/>
  </hyperlinks>
  <printOptions horizontalCentered="1" verticalCentered="1"/>
  <pageMargins left="0.78740157480314965" right="0.78740157480314965" top="0.98425196850393704" bottom="0.98425196850393704" header="0.51181102362204722" footer="0.51181102362204722"/>
  <pageSetup paperSize="8" scale="58" orientation="portrait" blackAndWhite="1" r:id="rId1"/>
  <headerFooter>
    <oddHeader>&amp;R&amp;G&amp;G</oddHead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7">
    <tabColor rgb="FFFFC000"/>
    <pageSetUpPr fitToPage="1"/>
  </sheetPr>
  <dimension ref="A1:H157"/>
  <sheetViews>
    <sheetView showGridLines="0" view="pageBreakPreview" topLeftCell="A52" zoomScaleNormal="100" zoomScaleSheetLayoutView="100" workbookViewId="0">
      <selection activeCell="E76" sqref="E76"/>
    </sheetView>
  </sheetViews>
  <sheetFormatPr defaultColWidth="9.85546875" defaultRowHeight="12.75"/>
  <cols>
    <col min="1" max="1" width="3" style="66" customWidth="1"/>
    <col min="2" max="3" width="3.5703125" style="66" customWidth="1"/>
    <col min="4" max="4" width="62.140625" style="66" customWidth="1"/>
    <col min="5" max="6" width="14.5703125" style="38" customWidth="1"/>
    <col min="7" max="7" width="9.85546875" style="66" customWidth="1"/>
    <col min="8" max="8" width="12" style="66" bestFit="1" customWidth="1"/>
    <col min="9" max="16384" width="9.85546875" style="66"/>
  </cols>
  <sheetData>
    <row r="1" spans="1:8">
      <c r="A1" s="773" t="s">
        <v>1257</v>
      </c>
      <c r="B1" s="773"/>
      <c r="C1" s="773"/>
      <c r="D1" s="773"/>
      <c r="E1" s="773"/>
      <c r="F1" s="773"/>
    </row>
    <row r="2" spans="1:8" ht="42" customHeight="1">
      <c r="A2" s="397"/>
      <c r="B2" s="397"/>
      <c r="C2" s="397"/>
      <c r="D2" s="397"/>
      <c r="E2" s="397"/>
      <c r="F2" s="397"/>
    </row>
    <row r="3" spans="1:8">
      <c r="A3" s="778" t="str">
        <f>nazwa_spolki&amp;", "&amp;siedziba</f>
        <v>Rhenus Digital Workforce Sp. z o.o., Warszawa</v>
      </c>
      <c r="B3" s="778"/>
      <c r="C3" s="778"/>
      <c r="D3" s="778"/>
      <c r="E3" s="778"/>
      <c r="F3" s="778"/>
    </row>
    <row r="4" spans="1:8">
      <c r="A4" s="778" t="str">
        <f>CHOOSE(jezyk,n!A417,n!B417,n!C417,n!D417)</f>
        <v>Rachunek zysków i strat</v>
      </c>
      <c r="B4" s="778"/>
      <c r="C4" s="778"/>
      <c r="D4" s="778"/>
      <c r="E4" s="778"/>
      <c r="F4" s="778"/>
    </row>
    <row r="5" spans="1:8">
      <c r="A5" s="778" t="str">
        <f>CHOOSE(jezyk,n!A418,n!B418,n!C418,n!D418)</f>
        <v>za rok obrotowy od 19.10.2023 do 31.12.2024</v>
      </c>
      <c r="B5" s="778"/>
      <c r="C5" s="778"/>
      <c r="D5" s="778"/>
      <c r="E5" s="778"/>
      <c r="F5" s="778"/>
    </row>
    <row r="6" spans="1:8">
      <c r="A6" s="778" t="str">
        <f>CHOOSE(jezyk,n!A419,n!B419,n!C419,n!D419)</f>
        <v>(wariant porównawczy)</v>
      </c>
      <c r="B6" s="778"/>
      <c r="C6" s="778"/>
      <c r="D6" s="778"/>
      <c r="E6" s="778"/>
      <c r="F6" s="778"/>
    </row>
    <row r="7" spans="1:8">
      <c r="A7" s="325"/>
      <c r="B7" s="326"/>
      <c r="C7" s="326"/>
      <c r="D7" s="326"/>
      <c r="E7" s="327"/>
      <c r="F7" s="327"/>
    </row>
    <row r="8" spans="1:8" ht="12.95" customHeight="1">
      <c r="B8" s="328"/>
      <c r="C8" s="328"/>
      <c r="D8" s="328"/>
      <c r="F8" s="294" t="str">
        <f>IF(GA!D51="nie","",CHOOSE(jezyk,n!A289,n!B289,n!C289,n!D289))</f>
        <v/>
      </c>
    </row>
    <row r="9" spans="1:8">
      <c r="B9" s="328"/>
      <c r="C9" s="328"/>
      <c r="D9" s="328"/>
      <c r="E9" s="108" t="str">
        <f>CHOOSE(jezyk,n!A287,n!B287,n!C287,n!D287)</f>
        <v>Rok bieżący</v>
      </c>
      <c r="F9" s="108" t="str">
        <f>IF(GA!D51="nie",CHOOSE(jezyk,n!A288,n!B288,n!C288,n!D288),CHOOSE(jezyk,n!A290,n!B290,n!C290,n!D290))</f>
        <v>Rok poprzedni</v>
      </c>
    </row>
    <row r="10" spans="1:8">
      <c r="A10" s="154"/>
      <c r="B10" s="329"/>
      <c r="C10" s="329"/>
      <c r="D10" s="329"/>
      <c r="E10" s="330" t="s">
        <v>35</v>
      </c>
      <c r="F10" s="330" t="s">
        <v>35</v>
      </c>
    </row>
    <row r="11" spans="1:8">
      <c r="B11" s="328"/>
      <c r="C11" s="328"/>
      <c r="D11" s="328"/>
      <c r="E11" s="331"/>
      <c r="F11" s="331"/>
    </row>
    <row r="12" spans="1:8" s="243" customFormat="1">
      <c r="A12" s="111" t="s">
        <v>1446</v>
      </c>
      <c r="B12" s="118" t="str">
        <f>CHOOSE(jezyk,n!A420,n!B420,n!C420,n!D420)</f>
        <v>Przychody netto ze sprzedaży i zrównane z nimi, w tym:</v>
      </c>
      <c r="C12" s="118"/>
      <c r="E12" s="112">
        <f>SUM(E15:E18)</f>
        <v>7234361.1900000004</v>
      </c>
      <c r="F12" s="112">
        <f>SUM(F15:F18)</f>
        <v>0</v>
      </c>
      <c r="H12" s="66"/>
    </row>
    <row r="13" spans="1:8" s="243" customFormat="1">
      <c r="A13" s="111"/>
      <c r="B13" s="118"/>
      <c r="C13" s="118"/>
      <c r="E13" s="331"/>
      <c r="F13" s="331"/>
      <c r="H13" s="66"/>
    </row>
    <row r="14" spans="1:8" s="243" customFormat="1">
      <c r="A14" s="111"/>
      <c r="C14" s="92" t="s">
        <v>533</v>
      </c>
      <c r="D14" s="38" t="str">
        <f>CHOOSE(jezyk,n!A421,n!B421,n!C421,n!D421)</f>
        <v>od jednostek powiązanych</v>
      </c>
      <c r="E14" s="715">
        <v>4235506.6399999997</v>
      </c>
      <c r="F14" s="332">
        <v>0</v>
      </c>
      <c r="H14" s="66"/>
    </row>
    <row r="15" spans="1:8">
      <c r="B15" s="72" t="s">
        <v>1447</v>
      </c>
      <c r="C15" s="92" t="str">
        <f>CHOOSE(jezyk,n!A422,n!B422,n!C422,n!D422)</f>
        <v>Przychody netto ze sprzedaży produktów</v>
      </c>
      <c r="E15" s="714">
        <v>7234361.1900000004</v>
      </c>
      <c r="F15" s="333">
        <v>0</v>
      </c>
    </row>
    <row r="16" spans="1:8">
      <c r="B16" s="72" t="s">
        <v>1449</v>
      </c>
      <c r="C16" s="92" t="str">
        <f>CHOOSE(jezyk,n!A423,n!B423,n!C423,n!D423)</f>
        <v>Zmiana stanu produktów</v>
      </c>
      <c r="E16" s="714">
        <v>0</v>
      </c>
      <c r="F16" s="333">
        <v>0</v>
      </c>
    </row>
    <row r="17" spans="1:8">
      <c r="B17" s="72" t="s">
        <v>1451</v>
      </c>
      <c r="C17" s="92" t="str">
        <f>CHOOSE(jezyk,n!A424,n!B424,n!C424,n!D424)</f>
        <v>Koszt wytworzenia produktów na własne potrzeby jednostki</v>
      </c>
      <c r="E17" s="714">
        <v>0</v>
      </c>
      <c r="F17" s="333">
        <v>0</v>
      </c>
    </row>
    <row r="18" spans="1:8">
      <c r="B18" s="72" t="s">
        <v>1454</v>
      </c>
      <c r="C18" s="92" t="str">
        <f>CHOOSE(jezyk,n!A425,n!B425,n!C425,n!D425)</f>
        <v>Przychody netto ze sprzedaży towarów</v>
      </c>
      <c r="E18" s="714">
        <v>0</v>
      </c>
      <c r="F18" s="333">
        <v>0</v>
      </c>
    </row>
    <row r="19" spans="1:8">
      <c r="B19" s="72" t="s">
        <v>764</v>
      </c>
      <c r="C19" s="72"/>
      <c r="D19" s="72"/>
      <c r="E19" s="331"/>
      <c r="F19" s="92"/>
    </row>
    <row r="20" spans="1:8" s="243" customFormat="1">
      <c r="A20" s="111" t="s">
        <v>1458</v>
      </c>
      <c r="B20" s="118" t="str">
        <f>CHOOSE(jezyk,n!A426,n!B426,n!C426,n!D426)</f>
        <v>Koszty działalności operacyjnej</v>
      </c>
      <c r="C20" s="118"/>
      <c r="E20" s="112">
        <f>SUM(E22:E25,E27:E28,E30:E31)</f>
        <v>6732516.3099999996</v>
      </c>
      <c r="F20" s="112">
        <f>SUM(F22:F25,F27:F28,F30:F31)</f>
        <v>0</v>
      </c>
      <c r="H20" s="66"/>
    </row>
    <row r="21" spans="1:8" s="243" customFormat="1">
      <c r="A21" s="111"/>
      <c r="B21" s="118"/>
      <c r="C21" s="118"/>
      <c r="E21" s="331"/>
      <c r="F21" s="92"/>
      <c r="H21" s="66"/>
    </row>
    <row r="22" spans="1:8">
      <c r="B22" s="72" t="s">
        <v>1447</v>
      </c>
      <c r="C22" s="92" t="str">
        <f>CHOOSE(jezyk,n!A427,n!B427,n!C427,n!D427)</f>
        <v>Amortyzacja</v>
      </c>
      <c r="E22" s="714">
        <v>107432.19</v>
      </c>
      <c r="F22" s="302">
        <v>0</v>
      </c>
    </row>
    <row r="23" spans="1:8">
      <c r="B23" s="72" t="s">
        <v>1449</v>
      </c>
      <c r="C23" s="92" t="str">
        <f>CHOOSE(jezyk,n!A428,n!B428,n!C428,n!D428)</f>
        <v>Zużycie materiałów i energii</v>
      </c>
      <c r="E23" s="714">
        <v>98854.71</v>
      </c>
      <c r="F23" s="302">
        <v>0</v>
      </c>
    </row>
    <row r="24" spans="1:8">
      <c r="B24" s="72" t="s">
        <v>1451</v>
      </c>
      <c r="C24" s="92" t="str">
        <f>CHOOSE(jezyk,n!A429,n!B429,n!C429,n!D429)</f>
        <v>Usługi obce</v>
      </c>
      <c r="E24" s="714">
        <v>3644205.47</v>
      </c>
      <c r="F24" s="302">
        <v>0</v>
      </c>
    </row>
    <row r="25" spans="1:8">
      <c r="B25" s="72" t="s">
        <v>1454</v>
      </c>
      <c r="C25" s="92" t="str">
        <f>CHOOSE(jezyk,n!A430,n!B430,n!C430,n!D430)</f>
        <v>Podatki i opłaty, w tym:</v>
      </c>
      <c r="E25" s="714">
        <v>21938.560000000001</v>
      </c>
      <c r="F25" s="302">
        <v>0</v>
      </c>
    </row>
    <row r="26" spans="1:8">
      <c r="C26" s="66" t="s">
        <v>533</v>
      </c>
      <c r="D26" s="92" t="str">
        <f>CHOOSE(jezyk,n!A431,n!B431,n!C431,n!D431)</f>
        <v>podatek akcyzowy</v>
      </c>
      <c r="E26" s="715">
        <v>0</v>
      </c>
      <c r="F26" s="689">
        <v>0</v>
      </c>
    </row>
    <row r="27" spans="1:8">
      <c r="B27" s="72" t="s">
        <v>1455</v>
      </c>
      <c r="C27" s="92" t="str">
        <f>CHOOSE(jezyk,n!A432,n!B432,n!C432,n!D432)</f>
        <v>Wynagrodzenia</v>
      </c>
      <c r="E27" s="714">
        <v>2495139.66</v>
      </c>
      <c r="F27" s="302">
        <v>0</v>
      </c>
    </row>
    <row r="28" spans="1:8">
      <c r="B28" s="72" t="s">
        <v>1456</v>
      </c>
      <c r="C28" s="92" t="str">
        <f>CHOOSE(jezyk,n!A433,n!B433,n!C433,n!D433)</f>
        <v>Ubezpieczenia społeczne i inne świadczenia, w tym:</v>
      </c>
      <c r="E28" s="714">
        <v>339009.6</v>
      </c>
      <c r="F28" s="302">
        <v>0</v>
      </c>
    </row>
    <row r="29" spans="1:8">
      <c r="B29" s="72"/>
      <c r="C29" s="66" t="s">
        <v>533</v>
      </c>
      <c r="D29" s="92" t="str">
        <f>CHOOSE(jezyk,n!A434,n!B434,n!C434,n!D434)</f>
        <v>emerytalne</v>
      </c>
      <c r="E29" s="715">
        <v>135747.22</v>
      </c>
      <c r="F29" s="689">
        <v>0</v>
      </c>
    </row>
    <row r="30" spans="1:8">
      <c r="B30" s="72" t="s">
        <v>1457</v>
      </c>
      <c r="C30" s="92" t="str">
        <f>CHOOSE(jezyk,n!A435,n!B435,n!C435,n!D435)</f>
        <v>Pozostałe koszty rodzajowe</v>
      </c>
      <c r="E30" s="714">
        <v>25936.12</v>
      </c>
      <c r="F30" s="302">
        <v>0</v>
      </c>
    </row>
    <row r="31" spans="1:8">
      <c r="B31" s="72" t="s">
        <v>1124</v>
      </c>
      <c r="C31" s="92" t="str">
        <f>CHOOSE(jezyk,n!A436,n!B436,n!C436,n!D436)</f>
        <v>Wartość sprzedanych towarów</v>
      </c>
      <c r="E31" s="714">
        <v>0</v>
      </c>
      <c r="F31" s="302">
        <v>0</v>
      </c>
    </row>
    <row r="32" spans="1:8">
      <c r="B32" s="72"/>
      <c r="C32" s="72"/>
      <c r="D32" s="72"/>
      <c r="E32" s="92"/>
      <c r="F32" s="92"/>
    </row>
    <row r="33" spans="1:8" s="243" customFormat="1">
      <c r="A33" s="111" t="s">
        <v>1191</v>
      </c>
      <c r="B33" s="118" t="str">
        <f>CHOOSE(jezyk,n!A437,n!B437,n!C437,n!D437)</f>
        <v>Zysk (strata) ze sprzedaży</v>
      </c>
      <c r="C33" s="111"/>
      <c r="E33" s="334">
        <f>E12-E20</f>
        <v>501844.88000000082</v>
      </c>
      <c r="F33" s="334">
        <f>F12-F20</f>
        <v>0</v>
      </c>
    </row>
    <row r="34" spans="1:8">
      <c r="A34" s="72"/>
      <c r="B34" s="72" t="s">
        <v>764</v>
      </c>
      <c r="C34" s="72"/>
      <c r="E34" s="331"/>
      <c r="F34" s="92"/>
    </row>
    <row r="35" spans="1:8" s="243" customFormat="1">
      <c r="A35" s="111" t="s">
        <v>1192</v>
      </c>
      <c r="B35" s="118" t="str">
        <f>CHOOSE(jezyk,n!A438,n!B438,n!C438,n!D438)</f>
        <v>Pozostałe przychody operacyjne</v>
      </c>
      <c r="C35" s="111"/>
      <c r="E35" s="112">
        <f>SUM(E37:E40)</f>
        <v>1245.1500000000001</v>
      </c>
      <c r="F35" s="112">
        <f>SUM(F37:F40)</f>
        <v>0</v>
      </c>
      <c r="H35" s="66"/>
    </row>
    <row r="36" spans="1:8" s="243" customFormat="1">
      <c r="A36" s="111"/>
      <c r="B36" s="118"/>
      <c r="C36" s="111"/>
      <c r="E36" s="331"/>
      <c r="F36" s="92"/>
      <c r="H36" s="66"/>
    </row>
    <row r="37" spans="1:8">
      <c r="B37" s="72" t="s">
        <v>1447</v>
      </c>
      <c r="C37" s="92" t="str">
        <f>CHOOSE(jezyk,n!A439,n!B439,n!C439,n!D439)</f>
        <v>Zysk z tytułu rozchodu niefinansowych aktywów trwałych</v>
      </c>
      <c r="D37" s="72"/>
      <c r="E37" s="714">
        <v>0</v>
      </c>
      <c r="F37" s="302">
        <v>0</v>
      </c>
    </row>
    <row r="38" spans="1:8">
      <c r="B38" s="72" t="s">
        <v>1449</v>
      </c>
      <c r="C38" s="92" t="str">
        <f>CHOOSE(jezyk,n!A440,n!B440,n!C440,n!D440)</f>
        <v>Dotacje</v>
      </c>
      <c r="D38" s="72"/>
      <c r="E38" s="714">
        <v>0</v>
      </c>
      <c r="F38" s="302">
        <v>0</v>
      </c>
    </row>
    <row r="39" spans="1:8">
      <c r="B39" s="72" t="s">
        <v>1451</v>
      </c>
      <c r="C39" s="92" t="str">
        <f>CHOOSE(jezyk,n!A441,n!B441,n!C441,n!D441)</f>
        <v>Aktualizacja wartości aktywów niefinansowych</v>
      </c>
      <c r="D39" s="72"/>
      <c r="E39" s="714">
        <v>0</v>
      </c>
      <c r="F39" s="302">
        <v>0</v>
      </c>
    </row>
    <row r="40" spans="1:8">
      <c r="B40" s="72" t="s">
        <v>1454</v>
      </c>
      <c r="C40" s="92" t="str">
        <f>CHOOSE(jezyk,n!A442,n!B442,n!C442,n!D442)</f>
        <v>Inne przychody operacyjne</v>
      </c>
      <c r="D40" s="72"/>
      <c r="E40" s="714">
        <v>1245.1500000000001</v>
      </c>
      <c r="F40" s="302">
        <v>0</v>
      </c>
    </row>
    <row r="41" spans="1:8">
      <c r="B41" s="72" t="s">
        <v>764</v>
      </c>
      <c r="C41" s="72"/>
      <c r="D41" s="72"/>
      <c r="E41" s="66"/>
      <c r="F41" s="66"/>
    </row>
    <row r="42" spans="1:8" s="243" customFormat="1">
      <c r="A42" s="111" t="s">
        <v>1193</v>
      </c>
      <c r="B42" s="118" t="str">
        <f>CHOOSE(jezyk,n!A443,n!B443,n!C443,n!D443)</f>
        <v>Pozostałe koszty operacyjne</v>
      </c>
      <c r="C42" s="111"/>
      <c r="E42" s="112">
        <f>SUM(E44:E46)</f>
        <v>10540.21</v>
      </c>
      <c r="F42" s="112">
        <f>SUM(F44:F46)</f>
        <v>0</v>
      </c>
      <c r="H42" s="66"/>
    </row>
    <row r="43" spans="1:8" s="243" customFormat="1">
      <c r="A43" s="111"/>
      <c r="B43" s="118"/>
      <c r="C43" s="111"/>
      <c r="E43" s="331"/>
      <c r="F43" s="92"/>
      <c r="H43" s="66"/>
    </row>
    <row r="44" spans="1:8">
      <c r="B44" s="72" t="s">
        <v>1447</v>
      </c>
      <c r="C44" s="92" t="str">
        <f>CHOOSE(jezyk,n!A444,n!B444,n!C444,n!D444)</f>
        <v>Strata z tytułu rozchodu niefinansowych aktywów trwałych</v>
      </c>
      <c r="E44" s="714">
        <v>0</v>
      </c>
      <c r="F44" s="302">
        <v>0</v>
      </c>
    </row>
    <row r="45" spans="1:8">
      <c r="B45" s="72" t="s">
        <v>1449</v>
      </c>
      <c r="C45" s="92" t="str">
        <f>CHOOSE(jezyk,n!A445,n!B445,n!C445,n!D445)</f>
        <v>Aktualizacja wartości aktywów niefinansowych</v>
      </c>
      <c r="E45" s="714">
        <v>10540.21</v>
      </c>
      <c r="F45" s="302">
        <v>0</v>
      </c>
    </row>
    <row r="46" spans="1:8">
      <c r="B46" s="72" t="s">
        <v>1451</v>
      </c>
      <c r="C46" s="92" t="str">
        <f>CHOOSE(jezyk,n!A446,n!B446,n!C446,n!D446)</f>
        <v>Inne koszty operacyjne</v>
      </c>
      <c r="D46" s="72"/>
      <c r="E46" s="714">
        <v>0</v>
      </c>
      <c r="F46" s="302">
        <v>0</v>
      </c>
    </row>
    <row r="47" spans="1:8">
      <c r="B47" s="72"/>
      <c r="C47" s="72"/>
      <c r="D47" s="111"/>
      <c r="E47" s="92"/>
      <c r="F47" s="92"/>
    </row>
    <row r="48" spans="1:8" s="243" customFormat="1">
      <c r="A48" s="243" t="s">
        <v>1194</v>
      </c>
      <c r="B48" s="118" t="str">
        <f>CHOOSE(jezyk,n!A447,n!B447,n!C447,n!D447)</f>
        <v>Zysk (strata) z działalności operacyjnej</v>
      </c>
      <c r="C48" s="111"/>
      <c r="D48" s="111"/>
      <c r="E48" s="334">
        <f>E33+E35-E42</f>
        <v>492549.82000000082</v>
      </c>
      <c r="F48" s="334">
        <f>F33+F35-F42</f>
        <v>0</v>
      </c>
    </row>
    <row r="49" spans="1:8">
      <c r="B49" s="72" t="s">
        <v>764</v>
      </c>
      <c r="C49" s="72"/>
      <c r="D49" s="72"/>
      <c r="E49" s="331"/>
      <c r="F49" s="92"/>
    </row>
    <row r="50" spans="1:8" s="243" customFormat="1">
      <c r="A50" s="111" t="s">
        <v>1195</v>
      </c>
      <c r="B50" s="118" t="str">
        <f>CHOOSE(jezyk,n!A448,n!B448,n!C448,n!D448)</f>
        <v>Przychody finansowe</v>
      </c>
      <c r="C50" s="111"/>
      <c r="E50" s="301">
        <f>SUM(E52,E57,E59,E61,E62)</f>
        <v>22230.04</v>
      </c>
      <c r="F50" s="301">
        <f>SUM(F52,F57,F59,F61,F62)</f>
        <v>0</v>
      </c>
      <c r="H50" s="66"/>
    </row>
    <row r="51" spans="1:8" s="243" customFormat="1">
      <c r="A51" s="111"/>
      <c r="B51" s="118"/>
      <c r="C51" s="111"/>
      <c r="E51" s="331"/>
      <c r="F51" s="306"/>
      <c r="H51" s="66"/>
    </row>
    <row r="52" spans="1:8">
      <c r="B52" s="72" t="s">
        <v>1447</v>
      </c>
      <c r="C52" s="92" t="str">
        <f>CHOOSE(jezyk,n!A449,n!B449,n!C449,n!D449)</f>
        <v>Dywidendy i udziały w zyskach, w tym:</v>
      </c>
      <c r="D52" s="72"/>
      <c r="E52" s="311">
        <f>E53+E55</f>
        <v>0</v>
      </c>
      <c r="F52" s="311">
        <f>F53+F55</f>
        <v>0</v>
      </c>
    </row>
    <row r="53" spans="1:8">
      <c r="B53" s="72"/>
      <c r="C53" s="72" t="s">
        <v>1459</v>
      </c>
      <c r="D53" s="92" t="str">
        <f>CHOOSE(jezyk,n!A450,n!B450,n!C450,n!D450)</f>
        <v>od jednostek powiązanych, w tym:</v>
      </c>
      <c r="E53" s="714">
        <v>0</v>
      </c>
      <c r="F53" s="302">
        <v>0</v>
      </c>
    </row>
    <row r="54" spans="1:8">
      <c r="B54" s="72"/>
      <c r="C54" s="72" t="s">
        <v>533</v>
      </c>
      <c r="D54" s="92" t="str">
        <f>CHOOSE(jezyk,n!A451,n!B451,n!C451,n!D451)</f>
        <v>w których jednostka posiada zaangażowanie w kapitale</v>
      </c>
      <c r="E54" s="715">
        <v>0</v>
      </c>
      <c r="F54" s="689">
        <v>0</v>
      </c>
    </row>
    <row r="55" spans="1:8">
      <c r="B55" s="72"/>
      <c r="C55" s="72" t="s">
        <v>1460</v>
      </c>
      <c r="D55" s="92" t="str">
        <f>CHOOSE(jezyk,n!A452,n!B452,n!C452,n!D452)</f>
        <v>od jednostek pozostałych, w tym:</v>
      </c>
      <c r="E55" s="714">
        <v>0</v>
      </c>
      <c r="F55" s="302">
        <v>0</v>
      </c>
    </row>
    <row r="56" spans="1:8">
      <c r="B56" s="72"/>
      <c r="C56" s="72" t="s">
        <v>533</v>
      </c>
      <c r="D56" s="92" t="str">
        <f>D54</f>
        <v>w których jednostka posiada zaangażowanie w kapitale</v>
      </c>
      <c r="E56" s="715">
        <v>0</v>
      </c>
      <c r="F56" s="689">
        <v>0</v>
      </c>
    </row>
    <row r="57" spans="1:8">
      <c r="B57" s="72" t="s">
        <v>1449</v>
      </c>
      <c r="C57" s="92" t="str">
        <f>CHOOSE(jezyk,n!A453,n!B453,n!C453,n!D453)</f>
        <v>Odsetki, w tym:</v>
      </c>
      <c r="D57" s="72"/>
      <c r="E57" s="714">
        <v>0</v>
      </c>
      <c r="F57" s="302">
        <v>0</v>
      </c>
    </row>
    <row r="58" spans="1:8">
      <c r="B58" s="72"/>
      <c r="C58" s="72" t="s">
        <v>533</v>
      </c>
      <c r="D58" s="92" t="str">
        <f>CHOOSE(jezyk,n!A478,n!B478,n!C478,n!D478)</f>
        <v>od jednostek powiązanych</v>
      </c>
      <c r="E58" s="715">
        <v>0</v>
      </c>
      <c r="F58" s="689">
        <v>0</v>
      </c>
    </row>
    <row r="59" spans="1:8">
      <c r="B59" s="72" t="s">
        <v>1451</v>
      </c>
      <c r="C59" s="92" t="str">
        <f>CHOOSE(jezyk,n!A454,n!B454,n!C454,n!D454)</f>
        <v>Zysk z tytułu rozchodu aktywów finansowych, w tym:</v>
      </c>
      <c r="D59" s="72"/>
      <c r="E59" s="714">
        <v>0</v>
      </c>
      <c r="F59" s="302">
        <v>0</v>
      </c>
    </row>
    <row r="60" spans="1:8">
      <c r="B60" s="72"/>
      <c r="C60" s="72" t="s">
        <v>533</v>
      </c>
      <c r="D60" s="92" t="str">
        <f>CHOOSE(jezyk,n!A455,n!B455,n!C455,n!D455)</f>
        <v>w jednostkach powiązanych</v>
      </c>
      <c r="E60" s="715">
        <v>0</v>
      </c>
      <c r="F60" s="689">
        <v>0</v>
      </c>
    </row>
    <row r="61" spans="1:8">
      <c r="B61" s="72" t="s">
        <v>1454</v>
      </c>
      <c r="C61" s="92" t="str">
        <f>CHOOSE(jezyk,n!A456,n!B456,n!C456,n!D456)</f>
        <v>Aktualizacja wartości aktywów finansowych</v>
      </c>
      <c r="D61" s="72"/>
      <c r="E61" s="714">
        <v>0</v>
      </c>
      <c r="F61" s="302">
        <v>0</v>
      </c>
    </row>
    <row r="62" spans="1:8">
      <c r="B62" s="66" t="s">
        <v>1455</v>
      </c>
      <c r="C62" s="92" t="str">
        <f>CHOOSE(jezyk,n!A457,n!B457,n!C457,n!D457)</f>
        <v>Inne</v>
      </c>
      <c r="D62" s="72"/>
      <c r="E62" s="714">
        <v>22230.04</v>
      </c>
      <c r="F62" s="302">
        <v>0</v>
      </c>
    </row>
    <row r="63" spans="1:8">
      <c r="B63" s="111" t="s">
        <v>764</v>
      </c>
      <c r="C63" s="111"/>
      <c r="D63" s="72"/>
      <c r="E63" s="331"/>
      <c r="F63" s="92"/>
    </row>
    <row r="64" spans="1:8" s="243" customFormat="1">
      <c r="A64" s="111" t="s">
        <v>1196</v>
      </c>
      <c r="B64" s="243" t="str">
        <f>CHOOSE(jezyk,n!A458,n!B458,n!C458,n!D458)</f>
        <v>Koszty finansowe</v>
      </c>
      <c r="C64" s="111"/>
      <c r="E64" s="112">
        <f>SUM(E66,E68,E70,E71)</f>
        <v>56592.49</v>
      </c>
      <c r="F64" s="112">
        <f>SUM(F66,F68,F70,F71)</f>
        <v>0</v>
      </c>
      <c r="H64" s="66"/>
    </row>
    <row r="65" spans="1:8" s="243" customFormat="1">
      <c r="A65" s="111"/>
      <c r="B65" s="118"/>
      <c r="C65" s="111"/>
      <c r="E65" s="331"/>
      <c r="F65" s="92"/>
      <c r="H65" s="66"/>
    </row>
    <row r="66" spans="1:8">
      <c r="B66" s="72" t="s">
        <v>1447</v>
      </c>
      <c r="C66" s="92" t="str">
        <f>CHOOSE(jezyk,n!A459,n!B459,n!C459,n!D459)</f>
        <v>Odsetki, w tym:</v>
      </c>
      <c r="E66" s="714">
        <v>37616.03</v>
      </c>
      <c r="F66" s="302">
        <v>0</v>
      </c>
    </row>
    <row r="67" spans="1:8">
      <c r="C67" s="66" t="s">
        <v>533</v>
      </c>
      <c r="D67" s="92" t="str">
        <f>CHOOSE(jezyk,n!A460,n!B460,n!C460,n!D460)</f>
        <v>dla jednostek powiązanych</v>
      </c>
      <c r="E67" s="715">
        <v>37436.03</v>
      </c>
      <c r="F67" s="689">
        <v>0</v>
      </c>
    </row>
    <row r="68" spans="1:8">
      <c r="B68" s="72" t="s">
        <v>1449</v>
      </c>
      <c r="C68" s="92" t="str">
        <f>CHOOSE(jezyk,n!A461,n!B461,n!C461,n!D461)</f>
        <v>Strata z tytułu rozchodu aktywów finansowych, w tym:</v>
      </c>
      <c r="D68" s="72"/>
      <c r="E68" s="714">
        <v>0</v>
      </c>
      <c r="F68" s="302">
        <v>0</v>
      </c>
    </row>
    <row r="69" spans="1:8">
      <c r="B69" s="72"/>
      <c r="C69" s="72" t="s">
        <v>533</v>
      </c>
      <c r="D69" s="92" t="str">
        <f>D60</f>
        <v>w jednostkach powiązanych</v>
      </c>
      <c r="E69" s="715">
        <v>0</v>
      </c>
      <c r="F69" s="689">
        <v>0</v>
      </c>
    </row>
    <row r="70" spans="1:8">
      <c r="B70" s="72" t="s">
        <v>1451</v>
      </c>
      <c r="C70" s="92" t="str">
        <f>CHOOSE(jezyk,n!A462,n!B462,n!C462,n!D462)</f>
        <v>Aktualizacja wartości aktywów finansowych</v>
      </c>
      <c r="D70" s="72"/>
      <c r="E70" s="714">
        <v>0</v>
      </c>
      <c r="F70" s="302">
        <v>0</v>
      </c>
    </row>
    <row r="71" spans="1:8">
      <c r="B71" s="72" t="s">
        <v>1454</v>
      </c>
      <c r="C71" s="92" t="str">
        <f>CHOOSE(jezyk,n!A463,n!B463,n!C463,n!D463)</f>
        <v>Inne</v>
      </c>
      <c r="D71" s="72"/>
      <c r="E71" s="714">
        <v>18976.46</v>
      </c>
      <c r="F71" s="302">
        <v>0</v>
      </c>
    </row>
    <row r="72" spans="1:8" ht="9" customHeight="1">
      <c r="B72" s="111"/>
      <c r="C72" s="111"/>
      <c r="D72" s="72"/>
      <c r="E72" s="92"/>
      <c r="F72" s="92"/>
    </row>
    <row r="73" spans="1:8" ht="5.25" customHeight="1">
      <c r="B73" s="111"/>
      <c r="C73" s="111"/>
      <c r="D73" s="72"/>
      <c r="E73" s="92"/>
      <c r="F73" s="92"/>
    </row>
    <row r="74" spans="1:8" s="243" customFormat="1">
      <c r="A74" s="111" t="s">
        <v>1447</v>
      </c>
      <c r="B74" s="118" t="str">
        <f>CHOOSE(jezyk,n!A468,n!B468,n!C468,n!D468)</f>
        <v>Zysk (strata) brutto</v>
      </c>
      <c r="C74" s="111"/>
      <c r="E74" s="334">
        <f>E48+E50-E64</f>
        <v>458187.37000000081</v>
      </c>
      <c r="F74" s="334">
        <f>F48+F50-F64</f>
        <v>0</v>
      </c>
    </row>
    <row r="75" spans="1:8">
      <c r="A75" s="72"/>
      <c r="B75" s="111" t="s">
        <v>764</v>
      </c>
      <c r="C75" s="111"/>
      <c r="E75" s="331"/>
      <c r="F75" s="92"/>
    </row>
    <row r="76" spans="1:8" s="243" customFormat="1">
      <c r="A76" s="111" t="s">
        <v>1197</v>
      </c>
      <c r="B76" s="118" t="str">
        <f>CHOOSE(jezyk,n!A469,n!B469,n!C469,n!D469)</f>
        <v>Podatek dochodowy</v>
      </c>
      <c r="C76" s="111"/>
      <c r="E76" s="714">
        <v>94015</v>
      </c>
      <c r="F76" s="115">
        <v>0</v>
      </c>
      <c r="G76" s="215">
        <f>E76-'nota 2'!K204</f>
        <v>0</v>
      </c>
      <c r="H76" s="303"/>
    </row>
    <row r="77" spans="1:8">
      <c r="C77" s="72"/>
      <c r="D77" s="72"/>
      <c r="E77" s="331"/>
      <c r="F77" s="306"/>
    </row>
    <row r="78" spans="1:8">
      <c r="A78" s="243" t="s">
        <v>1198</v>
      </c>
      <c r="B78" s="118" t="str">
        <f>CHOOSE(jezyk,n!A470,n!B470,n!C470,n!D470)</f>
        <v>Pozostałe obowiązkowe zmniejszenia zysku (zwiększenia straty)</v>
      </c>
      <c r="C78" s="72"/>
      <c r="D78" s="72"/>
      <c r="E78" s="714">
        <v>0</v>
      </c>
      <c r="F78" s="115">
        <v>0</v>
      </c>
    </row>
    <row r="79" spans="1:8">
      <c r="A79" s="250"/>
      <c r="B79" s="125" t="s">
        <v>764</v>
      </c>
      <c r="C79" s="125"/>
      <c r="D79" s="250"/>
      <c r="E79" s="250"/>
      <c r="F79" s="126"/>
    </row>
    <row r="80" spans="1:8">
      <c r="B80" s="111" t="s">
        <v>764</v>
      </c>
      <c r="C80" s="111"/>
      <c r="F80" s="92"/>
    </row>
    <row r="81" spans="1:7" s="243" customFormat="1">
      <c r="A81" s="182" t="s">
        <v>1199</v>
      </c>
      <c r="B81" s="118" t="str">
        <f>CHOOSE(jezyk,n!A471,n!B471,n!C471,n!D471)</f>
        <v>Zysk (strata) netto</v>
      </c>
      <c r="C81" s="111"/>
      <c r="D81" s="182"/>
      <c r="E81" s="300">
        <f>E74-E76-E78</f>
        <v>364172.37000000081</v>
      </c>
      <c r="F81" s="300">
        <f>F74-F76-F78+0.0001</f>
        <v>1E-4</v>
      </c>
    </row>
    <row r="82" spans="1:7" ht="13.5" thickBot="1">
      <c r="A82" s="322"/>
      <c r="B82" s="322"/>
      <c r="C82" s="322"/>
      <c r="D82" s="322"/>
      <c r="E82" s="323"/>
      <c r="F82" s="323"/>
    </row>
    <row r="84" spans="1:7">
      <c r="A84" s="66" t="str">
        <f>siedziba&amp;", "&amp;GA!D53</f>
        <v>Warszawa, 28.02.2025</v>
      </c>
    </row>
    <row r="85" spans="1:7">
      <c r="D85" s="253" t="str">
        <f>CHOOSE(jezyk,n!A412,n!B412,n!C412,n!D412)</f>
        <v>Osoba sporządzająca:</v>
      </c>
      <c r="E85" s="331" t="str">
        <f>CHOOSE(jezyk,n!A413,n!B413,n!C413,n!D413)</f>
        <v>Zarząd:</v>
      </c>
    </row>
    <row r="86" spans="1:7">
      <c r="B86" s="328"/>
      <c r="C86" s="328"/>
      <c r="D86" s="328"/>
      <c r="E86" s="296"/>
      <c r="F86" s="296"/>
    </row>
    <row r="87" spans="1:7">
      <c r="B87" s="328"/>
      <c r="C87" s="328"/>
      <c r="D87" s="328" t="s">
        <v>994</v>
      </c>
      <c r="E87" s="215">
        <f>E81-Bilans!S21</f>
        <v>364172.37000000081</v>
      </c>
      <c r="F87" s="215">
        <f>F81-Bilans!T21</f>
        <v>1E-4</v>
      </c>
    </row>
    <row r="88" spans="1:7">
      <c r="B88" s="328"/>
      <c r="C88" s="328"/>
      <c r="D88" s="328"/>
      <c r="E88" s="296"/>
      <c r="F88" s="296"/>
    </row>
    <row r="89" spans="1:7">
      <c r="B89" s="328"/>
      <c r="C89" s="328"/>
      <c r="D89" s="328"/>
      <c r="E89" s="296"/>
      <c r="F89" s="296"/>
    </row>
    <row r="90" spans="1:7">
      <c r="B90" s="328"/>
      <c r="C90" s="328"/>
      <c r="D90" s="328"/>
      <c r="E90" s="296"/>
      <c r="F90" s="296"/>
    </row>
    <row r="91" spans="1:7">
      <c r="B91" s="328"/>
      <c r="C91" s="328"/>
      <c r="D91" s="328"/>
      <c r="E91" s="296"/>
      <c r="F91" s="296"/>
    </row>
    <row r="92" spans="1:7">
      <c r="B92" s="328"/>
      <c r="C92" s="328"/>
      <c r="D92" s="328"/>
      <c r="E92" s="296"/>
      <c r="F92" s="296"/>
    </row>
    <row r="93" spans="1:7">
      <c r="B93" s="328"/>
      <c r="C93" s="328"/>
      <c r="D93" s="328"/>
      <c r="E93" s="296"/>
      <c r="F93" s="296"/>
    </row>
    <row r="94" spans="1:7">
      <c r="B94" s="328"/>
      <c r="C94" s="328"/>
      <c r="D94" s="328"/>
      <c r="E94" s="296"/>
      <c r="F94" s="296"/>
    </row>
    <row r="95" spans="1:7">
      <c r="B95" s="328"/>
      <c r="C95" s="328"/>
      <c r="D95" s="328"/>
      <c r="E95" s="296"/>
      <c r="F95" s="296"/>
    </row>
    <row r="96" spans="1:7">
      <c r="B96" s="328"/>
      <c r="C96" s="328"/>
      <c r="D96" s="328"/>
      <c r="E96" s="296"/>
      <c r="F96" s="296"/>
    </row>
    <row r="97" spans="2:6">
      <c r="B97" s="328"/>
      <c r="C97" s="328"/>
      <c r="D97" s="328"/>
      <c r="E97" s="296"/>
      <c r="F97" s="296"/>
    </row>
    <row r="98" spans="2:6">
      <c r="B98" s="328"/>
      <c r="C98" s="328"/>
      <c r="D98" s="328"/>
      <c r="E98" s="296"/>
      <c r="F98" s="296"/>
    </row>
    <row r="99" spans="2:6">
      <c r="B99" s="328"/>
      <c r="C99" s="328"/>
      <c r="D99" s="328"/>
      <c r="E99" s="296"/>
      <c r="F99" s="296"/>
    </row>
    <row r="100" spans="2:6">
      <c r="B100" s="328"/>
      <c r="C100" s="328"/>
      <c r="D100" s="328"/>
      <c r="E100" s="296"/>
      <c r="F100" s="296"/>
    </row>
    <row r="101" spans="2:6">
      <c r="B101" s="328"/>
      <c r="C101" s="328"/>
      <c r="D101" s="328"/>
      <c r="E101" s="296"/>
      <c r="F101" s="296"/>
    </row>
    <row r="102" spans="2:6">
      <c r="B102" s="328"/>
      <c r="C102" s="328"/>
      <c r="D102" s="328"/>
      <c r="E102" s="296"/>
      <c r="F102" s="296"/>
    </row>
    <row r="103" spans="2:6">
      <c r="B103" s="328"/>
      <c r="C103" s="328"/>
      <c r="D103" s="328"/>
      <c r="E103" s="296"/>
      <c r="F103" s="296"/>
    </row>
    <row r="104" spans="2:6">
      <c r="B104" s="328"/>
      <c r="C104" s="328"/>
      <c r="D104" s="328"/>
      <c r="E104" s="296"/>
      <c r="F104" s="296"/>
    </row>
    <row r="105" spans="2:6">
      <c r="B105" s="328"/>
      <c r="C105" s="328"/>
      <c r="D105" s="328"/>
      <c r="E105" s="296"/>
      <c r="F105" s="296"/>
    </row>
    <row r="106" spans="2:6">
      <c r="B106" s="328"/>
      <c r="C106" s="328"/>
      <c r="D106" s="328"/>
      <c r="E106" s="296"/>
      <c r="F106" s="296"/>
    </row>
    <row r="107" spans="2:6">
      <c r="B107" s="328"/>
      <c r="C107" s="328"/>
      <c r="D107" s="328"/>
      <c r="E107" s="296"/>
      <c r="F107" s="296"/>
    </row>
    <row r="108" spans="2:6">
      <c r="B108" s="328"/>
      <c r="C108" s="328"/>
      <c r="D108" s="328"/>
      <c r="E108" s="296"/>
      <c r="F108" s="296"/>
    </row>
    <row r="109" spans="2:6">
      <c r="B109" s="328"/>
      <c r="C109" s="328"/>
      <c r="D109" s="328"/>
      <c r="E109" s="296"/>
      <c r="F109" s="296"/>
    </row>
    <row r="110" spans="2:6">
      <c r="B110" s="328"/>
      <c r="C110" s="328"/>
      <c r="D110" s="328"/>
      <c r="E110" s="296"/>
      <c r="F110" s="296"/>
    </row>
    <row r="111" spans="2:6">
      <c r="B111" s="328"/>
      <c r="C111" s="328"/>
      <c r="D111" s="328"/>
      <c r="E111" s="296"/>
      <c r="F111" s="296"/>
    </row>
    <row r="112" spans="2:6">
      <c r="B112" s="328"/>
      <c r="C112" s="328"/>
      <c r="D112" s="328"/>
      <c r="E112" s="296"/>
      <c r="F112" s="296"/>
    </row>
    <row r="113" spans="2:6">
      <c r="B113" s="328"/>
      <c r="C113" s="328"/>
      <c r="D113" s="328"/>
      <c r="E113" s="296"/>
      <c r="F113" s="296"/>
    </row>
    <row r="114" spans="2:6">
      <c r="B114" s="328"/>
      <c r="C114" s="328"/>
      <c r="D114" s="328"/>
      <c r="E114" s="296"/>
      <c r="F114" s="296"/>
    </row>
    <row r="115" spans="2:6">
      <c r="B115" s="328"/>
      <c r="C115" s="328"/>
      <c r="D115" s="328"/>
      <c r="E115" s="296"/>
      <c r="F115" s="296"/>
    </row>
    <row r="116" spans="2:6">
      <c r="B116" s="328"/>
      <c r="C116" s="328"/>
      <c r="D116" s="328"/>
      <c r="E116" s="296"/>
      <c r="F116" s="296"/>
    </row>
    <row r="117" spans="2:6">
      <c r="B117" s="328"/>
      <c r="C117" s="328"/>
      <c r="D117" s="328"/>
      <c r="E117" s="296"/>
      <c r="F117" s="296"/>
    </row>
    <row r="118" spans="2:6">
      <c r="B118" s="328"/>
      <c r="C118" s="328"/>
      <c r="D118" s="328"/>
      <c r="E118" s="296"/>
      <c r="F118" s="296"/>
    </row>
    <row r="119" spans="2:6">
      <c r="B119" s="328"/>
      <c r="C119" s="328"/>
      <c r="D119" s="328"/>
      <c r="E119" s="296"/>
      <c r="F119" s="296"/>
    </row>
    <row r="120" spans="2:6">
      <c r="B120" s="328"/>
      <c r="C120" s="328"/>
      <c r="D120" s="328"/>
      <c r="E120" s="296"/>
      <c r="F120" s="296"/>
    </row>
    <row r="121" spans="2:6">
      <c r="B121" s="328"/>
      <c r="C121" s="328"/>
      <c r="D121" s="328"/>
      <c r="E121" s="296"/>
      <c r="F121" s="296"/>
    </row>
    <row r="122" spans="2:6">
      <c r="B122" s="328"/>
      <c r="C122" s="328"/>
      <c r="D122" s="328"/>
      <c r="E122" s="296"/>
      <c r="F122" s="296"/>
    </row>
    <row r="123" spans="2:6">
      <c r="B123" s="328"/>
      <c r="C123" s="328"/>
      <c r="D123" s="328"/>
      <c r="E123" s="296"/>
      <c r="F123" s="296"/>
    </row>
    <row r="124" spans="2:6">
      <c r="B124" s="328"/>
      <c r="C124" s="328"/>
      <c r="D124" s="328"/>
      <c r="E124" s="296"/>
      <c r="F124" s="296"/>
    </row>
    <row r="125" spans="2:6">
      <c r="B125" s="328"/>
      <c r="C125" s="328"/>
      <c r="D125" s="328"/>
      <c r="E125" s="296"/>
      <c r="F125" s="296"/>
    </row>
    <row r="126" spans="2:6">
      <c r="B126" s="328"/>
      <c r="C126" s="328"/>
      <c r="D126" s="328"/>
      <c r="E126" s="296"/>
      <c r="F126" s="296"/>
    </row>
    <row r="127" spans="2:6">
      <c r="B127" s="328"/>
      <c r="C127" s="328"/>
      <c r="D127" s="328"/>
      <c r="E127" s="296"/>
      <c r="F127" s="296"/>
    </row>
    <row r="128" spans="2:6">
      <c r="B128" s="328"/>
      <c r="C128" s="328"/>
      <c r="D128" s="328"/>
      <c r="E128" s="296"/>
      <c r="F128" s="296"/>
    </row>
    <row r="129" spans="2:6">
      <c r="B129" s="328"/>
      <c r="C129" s="328"/>
      <c r="D129" s="328"/>
      <c r="E129" s="296"/>
      <c r="F129" s="296"/>
    </row>
    <row r="130" spans="2:6">
      <c r="B130" s="328"/>
      <c r="C130" s="328"/>
      <c r="D130" s="328"/>
      <c r="E130" s="296"/>
      <c r="F130" s="296"/>
    </row>
    <row r="131" spans="2:6">
      <c r="B131" s="328"/>
      <c r="C131" s="328"/>
      <c r="D131" s="328"/>
      <c r="E131" s="296"/>
      <c r="F131" s="296"/>
    </row>
    <row r="132" spans="2:6">
      <c r="B132" s="328"/>
      <c r="C132" s="328"/>
      <c r="D132" s="328"/>
      <c r="E132" s="296"/>
      <c r="F132" s="296"/>
    </row>
    <row r="133" spans="2:6">
      <c r="B133" s="328"/>
      <c r="C133" s="328"/>
      <c r="D133" s="328"/>
      <c r="E133" s="296"/>
      <c r="F133" s="296"/>
    </row>
    <row r="134" spans="2:6">
      <c r="B134" s="328"/>
      <c r="C134" s="328"/>
      <c r="D134" s="328"/>
      <c r="E134" s="296"/>
      <c r="F134" s="296"/>
    </row>
    <row r="135" spans="2:6">
      <c r="B135" s="328"/>
      <c r="C135" s="328"/>
      <c r="D135" s="328"/>
      <c r="E135" s="296"/>
      <c r="F135" s="296"/>
    </row>
    <row r="136" spans="2:6">
      <c r="B136" s="328"/>
      <c r="C136" s="328"/>
      <c r="D136" s="328"/>
      <c r="E136" s="296"/>
      <c r="F136" s="296"/>
    </row>
    <row r="137" spans="2:6">
      <c r="B137" s="328"/>
      <c r="C137" s="328"/>
      <c r="D137" s="328"/>
      <c r="E137" s="296"/>
      <c r="F137" s="296"/>
    </row>
    <row r="138" spans="2:6">
      <c r="B138" s="328"/>
      <c r="C138" s="328"/>
      <c r="D138" s="328"/>
      <c r="E138" s="296"/>
      <c r="F138" s="296"/>
    </row>
    <row r="139" spans="2:6">
      <c r="B139" s="328"/>
      <c r="C139" s="328"/>
      <c r="D139" s="328"/>
      <c r="E139" s="296"/>
      <c r="F139" s="296"/>
    </row>
    <row r="140" spans="2:6">
      <c r="B140" s="328"/>
      <c r="C140" s="328"/>
      <c r="D140" s="328"/>
      <c r="E140" s="296"/>
      <c r="F140" s="296"/>
    </row>
    <row r="141" spans="2:6">
      <c r="B141" s="328"/>
      <c r="C141" s="328"/>
      <c r="D141" s="328"/>
      <c r="E141" s="296"/>
      <c r="F141" s="296"/>
    </row>
    <row r="142" spans="2:6">
      <c r="B142" s="328"/>
      <c r="C142" s="328"/>
      <c r="D142" s="328"/>
      <c r="E142" s="296"/>
      <c r="F142" s="296"/>
    </row>
    <row r="143" spans="2:6">
      <c r="B143" s="328"/>
      <c r="C143" s="328"/>
      <c r="D143" s="328"/>
      <c r="E143" s="296"/>
      <c r="F143" s="296"/>
    </row>
    <row r="144" spans="2:6">
      <c r="B144" s="328"/>
      <c r="C144" s="328"/>
      <c r="D144" s="328"/>
      <c r="E144" s="296"/>
      <c r="F144" s="296"/>
    </row>
    <row r="145" spans="2:6">
      <c r="B145" s="328"/>
      <c r="C145" s="328"/>
      <c r="D145" s="328"/>
      <c r="E145" s="296"/>
      <c r="F145" s="296"/>
    </row>
    <row r="146" spans="2:6">
      <c r="B146" s="328"/>
      <c r="C146" s="328"/>
      <c r="D146" s="328"/>
      <c r="E146" s="296"/>
      <c r="F146" s="296"/>
    </row>
    <row r="147" spans="2:6">
      <c r="B147" s="328"/>
      <c r="C147" s="328"/>
      <c r="D147" s="328"/>
      <c r="E147" s="296"/>
      <c r="F147" s="296"/>
    </row>
    <row r="148" spans="2:6">
      <c r="B148" s="328"/>
      <c r="C148" s="328"/>
      <c r="D148" s="328"/>
      <c r="E148" s="296"/>
      <c r="F148" s="296"/>
    </row>
    <row r="149" spans="2:6">
      <c r="B149" s="328"/>
      <c r="C149" s="328"/>
      <c r="D149" s="328"/>
      <c r="E149" s="296"/>
      <c r="F149" s="296"/>
    </row>
    <row r="150" spans="2:6">
      <c r="B150" s="328"/>
      <c r="C150" s="328"/>
      <c r="D150" s="328"/>
      <c r="E150" s="296"/>
      <c r="F150" s="296"/>
    </row>
    <row r="151" spans="2:6">
      <c r="B151" s="328"/>
      <c r="C151" s="328"/>
      <c r="D151" s="328"/>
      <c r="E151" s="296"/>
      <c r="F151" s="296"/>
    </row>
    <row r="152" spans="2:6">
      <c r="B152" s="328"/>
      <c r="C152" s="328"/>
      <c r="D152" s="328"/>
      <c r="E152" s="296"/>
      <c r="F152" s="296"/>
    </row>
    <row r="153" spans="2:6">
      <c r="B153" s="328"/>
      <c r="C153" s="328"/>
      <c r="D153" s="328"/>
      <c r="E153" s="296"/>
      <c r="F153" s="296"/>
    </row>
    <row r="154" spans="2:6">
      <c r="B154" s="328"/>
      <c r="C154" s="328"/>
      <c r="D154" s="328"/>
      <c r="E154" s="296"/>
      <c r="F154" s="296"/>
    </row>
    <row r="155" spans="2:6">
      <c r="B155" s="328"/>
      <c r="C155" s="328"/>
      <c r="D155" s="328"/>
      <c r="E155" s="296"/>
      <c r="F155" s="296"/>
    </row>
    <row r="156" spans="2:6">
      <c r="B156" s="328"/>
      <c r="C156" s="328"/>
      <c r="D156" s="328"/>
      <c r="E156" s="296"/>
      <c r="F156" s="296"/>
    </row>
    <row r="157" spans="2:6">
      <c r="B157" s="328"/>
      <c r="C157" s="328"/>
      <c r="D157" s="328"/>
      <c r="E157" s="296"/>
      <c r="F157" s="296"/>
    </row>
  </sheetData>
  <sheetProtection formatCells="0" formatColumns="0" formatRows="0" insertRows="0" insertHyperlinks="0" sort="0" autoFilter="0" pivotTables="0"/>
  <protectedRanges>
    <protectedRange algorithmName="SHA-512" hashValue="UZ1yh61+cNSIAO4fia553jOE10Ge8TDNVm9a9uCHFtFwSGhT+454GbN/zciHsw0Tm8dIgC1egBCMvyD8uw+8jA==" saltValue="bj74xEauxSaZvYxjg+IhDg==" spinCount="100000" sqref="E53:E62 E66:E71 E76 E78 E37:E40 E44:E46 E14:E18 E22:E31" name="dane po korektach"/>
  </protectedRanges>
  <mergeCells count="5">
    <mergeCell ref="A1:F1"/>
    <mergeCell ref="A3:F3"/>
    <mergeCell ref="A4:F4"/>
    <mergeCell ref="A5:F5"/>
    <mergeCell ref="A6:F6"/>
  </mergeCells>
  <phoneticPr fontId="0" type="noConversion"/>
  <hyperlinks>
    <hyperlink ref="A1:F1" location="'spis treści'!A1" display="SPIS TREŚCI" xr:uid="{00000000-0004-0000-1700-000000000000}"/>
  </hyperlinks>
  <printOptions horizontalCentered="1" verticalCentered="1"/>
  <pageMargins left="0.78740157480314965" right="0.78740157480314965" top="0.35433070866141736" bottom="0.98425196850393704" header="0.27559055118110237" footer="0.51181102362204722"/>
  <pageSetup paperSize="9" scale="73" orientation="portrait" blackAndWhite="1"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8">
    <tabColor rgb="FFFF0000"/>
  </sheetPr>
  <dimension ref="A1:F58"/>
  <sheetViews>
    <sheetView workbookViewId="0"/>
  </sheetViews>
  <sheetFormatPr defaultColWidth="9.140625" defaultRowHeight="15"/>
  <cols>
    <col min="1" max="16384" width="9.140625" style="470"/>
  </cols>
  <sheetData>
    <row r="1" spans="1:6">
      <c r="A1" s="470" t="s">
        <v>2458</v>
      </c>
      <c r="B1" s="470" t="s">
        <v>2459</v>
      </c>
      <c r="C1" s="470" t="s">
        <v>2460</v>
      </c>
      <c r="D1" s="470" t="s">
        <v>2530</v>
      </c>
      <c r="E1" s="470" t="s">
        <v>2531</v>
      </c>
      <c r="F1" s="470" t="s">
        <v>2532</v>
      </c>
    </row>
    <row r="2" spans="1:6">
      <c r="A2" s="470" t="s">
        <v>1448</v>
      </c>
      <c r="B2" s="470" t="s">
        <v>1446</v>
      </c>
      <c r="C2" s="470" t="s">
        <v>2533</v>
      </c>
      <c r="D2" s="470">
        <v>0</v>
      </c>
      <c r="E2" s="470">
        <v>0</v>
      </c>
      <c r="F2" s="470">
        <v>0</v>
      </c>
    </row>
    <row r="3" spans="1:6">
      <c r="A3" s="470" t="s">
        <v>423</v>
      </c>
      <c r="B3" s="470" t="s">
        <v>2490</v>
      </c>
      <c r="C3" s="470" t="s">
        <v>2534</v>
      </c>
      <c r="D3" s="470">
        <v>0</v>
      </c>
      <c r="E3" s="470">
        <v>0</v>
      </c>
      <c r="F3" s="470">
        <v>0</v>
      </c>
    </row>
    <row r="4" spans="1:6">
      <c r="A4" s="470" t="s">
        <v>2491</v>
      </c>
      <c r="B4" s="470" t="s">
        <v>2492</v>
      </c>
      <c r="C4" s="470" t="s">
        <v>2535</v>
      </c>
      <c r="D4" s="470">
        <v>0</v>
      </c>
      <c r="E4" s="470">
        <v>0</v>
      </c>
      <c r="F4" s="470">
        <v>0</v>
      </c>
    </row>
    <row r="5" spans="1:6">
      <c r="A5" s="470" t="s">
        <v>2493</v>
      </c>
      <c r="B5" s="470" t="s">
        <v>2494</v>
      </c>
      <c r="C5" s="470" t="s">
        <v>2536</v>
      </c>
      <c r="D5" s="470">
        <v>0</v>
      </c>
      <c r="E5" s="470">
        <v>0</v>
      </c>
      <c r="F5" s="470">
        <v>0</v>
      </c>
    </row>
    <row r="6" spans="1:6">
      <c r="A6" s="470" t="s">
        <v>91</v>
      </c>
      <c r="B6" s="470" t="s">
        <v>2495</v>
      </c>
      <c r="C6" s="470" t="s">
        <v>2537</v>
      </c>
      <c r="D6" s="470">
        <v>0</v>
      </c>
      <c r="E6" s="470">
        <v>0</v>
      </c>
      <c r="F6" s="470">
        <v>0</v>
      </c>
    </row>
    <row r="7" spans="1:6">
      <c r="A7" s="470" t="s">
        <v>2496</v>
      </c>
      <c r="B7" s="470" t="s">
        <v>2497</v>
      </c>
      <c r="C7" s="470" t="s">
        <v>2538</v>
      </c>
      <c r="D7" s="470">
        <v>0</v>
      </c>
      <c r="E7" s="470">
        <v>0</v>
      </c>
      <c r="F7" s="470">
        <v>0</v>
      </c>
    </row>
    <row r="8" spans="1:6">
      <c r="A8" s="470" t="s">
        <v>2498</v>
      </c>
      <c r="B8" s="470" t="s">
        <v>2499</v>
      </c>
      <c r="C8" s="470" t="s">
        <v>2539</v>
      </c>
      <c r="D8" s="470">
        <v>0</v>
      </c>
      <c r="E8" s="470">
        <v>0</v>
      </c>
      <c r="F8" s="470">
        <v>0</v>
      </c>
    </row>
    <row r="9" spans="1:6">
      <c r="A9" s="470" t="s">
        <v>2500</v>
      </c>
      <c r="B9" s="470" t="s">
        <v>2501</v>
      </c>
      <c r="C9" s="470" t="s">
        <v>2540</v>
      </c>
      <c r="D9" s="470">
        <v>0</v>
      </c>
      <c r="E9" s="470">
        <v>0</v>
      </c>
      <c r="F9" s="470">
        <v>0</v>
      </c>
    </row>
    <row r="10" spans="1:6">
      <c r="A10" s="470" t="s">
        <v>2541</v>
      </c>
      <c r="B10" s="470" t="s">
        <v>2542</v>
      </c>
      <c r="C10" s="470" t="s">
        <v>2543</v>
      </c>
      <c r="D10" s="470">
        <v>0</v>
      </c>
      <c r="E10" s="470">
        <v>0</v>
      </c>
      <c r="F10" s="470">
        <v>0</v>
      </c>
    </row>
    <row r="11" spans="1:6">
      <c r="A11" s="470" t="s">
        <v>2544</v>
      </c>
      <c r="B11" s="470" t="s">
        <v>2545</v>
      </c>
      <c r="C11" s="470" t="s">
        <v>2546</v>
      </c>
      <c r="D11" s="470">
        <v>0</v>
      </c>
      <c r="E11" s="470">
        <v>0</v>
      </c>
      <c r="F11" s="470">
        <v>0</v>
      </c>
    </row>
    <row r="12" spans="1:6">
      <c r="A12" s="470" t="s">
        <v>2502</v>
      </c>
      <c r="B12" s="470" t="s">
        <v>2503</v>
      </c>
      <c r="C12" s="470" t="s">
        <v>2547</v>
      </c>
      <c r="D12" s="470">
        <v>0</v>
      </c>
      <c r="E12" s="470">
        <v>0</v>
      </c>
      <c r="F12" s="470">
        <v>0</v>
      </c>
    </row>
    <row r="13" spans="1:6">
      <c r="A13" s="470" t="s">
        <v>1450</v>
      </c>
      <c r="B13" s="470" t="s">
        <v>1458</v>
      </c>
      <c r="C13" s="470" t="s">
        <v>2548</v>
      </c>
      <c r="D13" s="470">
        <v>0</v>
      </c>
      <c r="E13" s="470">
        <v>0</v>
      </c>
      <c r="F13" s="470">
        <v>0</v>
      </c>
    </row>
    <row r="14" spans="1:6">
      <c r="A14" s="470" t="s">
        <v>966</v>
      </c>
      <c r="B14" s="470" t="s">
        <v>2506</v>
      </c>
      <c r="C14" s="470" t="s">
        <v>2534</v>
      </c>
      <c r="D14" s="470">
        <v>0</v>
      </c>
      <c r="E14" s="470">
        <v>0</v>
      </c>
      <c r="F14" s="470">
        <v>0</v>
      </c>
    </row>
    <row r="15" spans="1:6">
      <c r="A15" s="470" t="s">
        <v>2507</v>
      </c>
      <c r="B15" s="470" t="s">
        <v>2508</v>
      </c>
      <c r="C15" s="470" t="s">
        <v>2549</v>
      </c>
      <c r="D15" s="470">
        <v>0</v>
      </c>
      <c r="E15" s="470">
        <v>0</v>
      </c>
      <c r="F15" s="470">
        <v>0</v>
      </c>
    </row>
    <row r="16" spans="1:6">
      <c r="A16" s="470" t="s">
        <v>2509</v>
      </c>
      <c r="B16" s="470" t="s">
        <v>2510</v>
      </c>
      <c r="C16" s="470" t="s">
        <v>2550</v>
      </c>
      <c r="D16" s="470">
        <v>0</v>
      </c>
      <c r="E16" s="470">
        <v>0</v>
      </c>
      <c r="F16" s="470">
        <v>0</v>
      </c>
    </row>
    <row r="17" spans="1:6">
      <c r="A17" s="470" t="s">
        <v>2511</v>
      </c>
      <c r="B17" s="470" t="s">
        <v>2512</v>
      </c>
      <c r="C17" s="470" t="s">
        <v>2551</v>
      </c>
      <c r="D17" s="470">
        <v>0</v>
      </c>
      <c r="E17" s="470">
        <v>0</v>
      </c>
      <c r="F17" s="470">
        <v>0</v>
      </c>
    </row>
    <row r="18" spans="1:6">
      <c r="A18" s="470" t="s">
        <v>2528</v>
      </c>
      <c r="B18" s="470" t="s">
        <v>2552</v>
      </c>
      <c r="C18" s="470" t="s">
        <v>2505</v>
      </c>
      <c r="D18" s="470">
        <v>0</v>
      </c>
      <c r="E18" s="470">
        <v>0</v>
      </c>
      <c r="F18" s="470">
        <v>0</v>
      </c>
    </row>
    <row r="19" spans="1:6">
      <c r="A19" s="470" t="s">
        <v>2529</v>
      </c>
      <c r="B19" s="470" t="s">
        <v>2553</v>
      </c>
      <c r="C19" s="470" t="s">
        <v>2527</v>
      </c>
      <c r="D19" s="470">
        <v>0</v>
      </c>
      <c r="E19" s="470">
        <v>0</v>
      </c>
      <c r="F19" s="470">
        <v>0</v>
      </c>
    </row>
    <row r="20" spans="1:6">
      <c r="A20" s="470" t="s">
        <v>2554</v>
      </c>
      <c r="B20" s="470" t="s">
        <v>2555</v>
      </c>
      <c r="C20" s="470" t="s">
        <v>2556</v>
      </c>
      <c r="D20" s="470">
        <v>0</v>
      </c>
      <c r="E20" s="470">
        <v>0</v>
      </c>
      <c r="F20" s="470">
        <v>0</v>
      </c>
    </row>
    <row r="21" spans="1:6">
      <c r="A21" s="470" t="s">
        <v>2557</v>
      </c>
      <c r="B21" s="470" t="s">
        <v>2558</v>
      </c>
      <c r="C21" s="470" t="s">
        <v>2559</v>
      </c>
      <c r="D21" s="470">
        <v>0</v>
      </c>
      <c r="E21" s="470">
        <v>0</v>
      </c>
      <c r="F21" s="470">
        <v>0</v>
      </c>
    </row>
    <row r="22" spans="1:6">
      <c r="A22" s="470" t="s">
        <v>2560</v>
      </c>
      <c r="B22" s="470" t="s">
        <v>2561</v>
      </c>
      <c r="C22" s="470" t="s">
        <v>2562</v>
      </c>
      <c r="D22" s="470">
        <v>0</v>
      </c>
      <c r="E22" s="470">
        <v>0</v>
      </c>
      <c r="F22" s="470">
        <v>0</v>
      </c>
    </row>
    <row r="23" spans="1:6">
      <c r="A23" s="470" t="s">
        <v>2563</v>
      </c>
      <c r="B23" s="470" t="s">
        <v>2564</v>
      </c>
      <c r="C23" s="470" t="s">
        <v>2565</v>
      </c>
      <c r="D23" s="470">
        <v>0</v>
      </c>
      <c r="E23" s="470">
        <v>0</v>
      </c>
      <c r="F23" s="470">
        <v>0</v>
      </c>
    </row>
    <row r="24" spans="1:6">
      <c r="A24" s="470" t="s">
        <v>2566</v>
      </c>
      <c r="B24" s="470" t="s">
        <v>2567</v>
      </c>
      <c r="C24" s="470" t="s">
        <v>2568</v>
      </c>
      <c r="D24" s="470">
        <v>0</v>
      </c>
      <c r="E24" s="470">
        <v>0</v>
      </c>
      <c r="F24" s="470">
        <v>0</v>
      </c>
    </row>
    <row r="25" spans="1:6">
      <c r="A25" s="470" t="s">
        <v>2513</v>
      </c>
      <c r="B25" s="470" t="s">
        <v>2514</v>
      </c>
      <c r="C25" s="470" t="s">
        <v>2569</v>
      </c>
      <c r="D25" s="470">
        <v>0</v>
      </c>
      <c r="E25" s="470">
        <v>0</v>
      </c>
      <c r="F25" s="470">
        <v>0</v>
      </c>
    </row>
    <row r="26" spans="1:6">
      <c r="A26" s="470" t="s">
        <v>781</v>
      </c>
      <c r="B26" s="470" t="s">
        <v>2515</v>
      </c>
      <c r="C26" s="470" t="s">
        <v>2537</v>
      </c>
      <c r="D26" s="470">
        <v>0</v>
      </c>
      <c r="E26" s="470">
        <v>0</v>
      </c>
      <c r="F26" s="470">
        <v>0</v>
      </c>
    </row>
    <row r="27" spans="1:6">
      <c r="A27" s="470" t="s">
        <v>2516</v>
      </c>
      <c r="B27" s="470" t="s">
        <v>2517</v>
      </c>
      <c r="C27" s="470" t="s">
        <v>2570</v>
      </c>
      <c r="D27" s="470">
        <v>0</v>
      </c>
      <c r="E27" s="470">
        <v>0</v>
      </c>
      <c r="F27" s="470">
        <v>0</v>
      </c>
    </row>
    <row r="28" spans="1:6">
      <c r="A28" s="470" t="s">
        <v>2518</v>
      </c>
      <c r="B28" s="470" t="s">
        <v>2519</v>
      </c>
      <c r="C28" s="470" t="s">
        <v>2571</v>
      </c>
      <c r="D28" s="470">
        <v>0</v>
      </c>
      <c r="E28" s="470">
        <v>0</v>
      </c>
      <c r="F28" s="470">
        <v>0</v>
      </c>
    </row>
    <row r="29" spans="1:6">
      <c r="A29" s="470" t="s">
        <v>2520</v>
      </c>
      <c r="B29" s="470" t="s">
        <v>2521</v>
      </c>
      <c r="C29" s="470" t="s">
        <v>2572</v>
      </c>
      <c r="D29" s="470">
        <v>0</v>
      </c>
      <c r="E29" s="470">
        <v>0</v>
      </c>
      <c r="F29" s="470">
        <v>0</v>
      </c>
    </row>
    <row r="30" spans="1:6">
      <c r="A30" s="470" t="s">
        <v>2522</v>
      </c>
      <c r="B30" s="470" t="s">
        <v>2523</v>
      </c>
      <c r="C30" s="470" t="s">
        <v>2505</v>
      </c>
      <c r="D30" s="470">
        <v>0</v>
      </c>
      <c r="E30" s="470">
        <v>0</v>
      </c>
      <c r="F30" s="470">
        <v>0</v>
      </c>
    </row>
    <row r="31" spans="1:6">
      <c r="A31" s="470" t="s">
        <v>2524</v>
      </c>
      <c r="B31" s="470" t="s">
        <v>2525</v>
      </c>
      <c r="C31" s="470" t="s">
        <v>2527</v>
      </c>
      <c r="D31" s="470">
        <v>0</v>
      </c>
      <c r="E31" s="470">
        <v>0</v>
      </c>
      <c r="F31" s="470">
        <v>0</v>
      </c>
    </row>
    <row r="32" spans="1:6">
      <c r="A32" s="470" t="s">
        <v>2573</v>
      </c>
      <c r="B32" s="470" t="s">
        <v>2574</v>
      </c>
      <c r="C32" s="470" t="s">
        <v>2575</v>
      </c>
      <c r="D32" s="470">
        <v>0</v>
      </c>
      <c r="E32" s="470">
        <v>0</v>
      </c>
      <c r="F32" s="470">
        <v>0</v>
      </c>
    </row>
    <row r="33" spans="1:6">
      <c r="A33" s="470" t="s">
        <v>2576</v>
      </c>
      <c r="B33" s="470" t="s">
        <v>2577</v>
      </c>
      <c r="C33" s="470" t="s">
        <v>2578</v>
      </c>
      <c r="D33" s="470">
        <v>0</v>
      </c>
      <c r="E33" s="470">
        <v>0</v>
      </c>
      <c r="F33" s="470">
        <v>0</v>
      </c>
    </row>
    <row r="34" spans="1:6">
      <c r="A34" s="470" t="s">
        <v>2579</v>
      </c>
      <c r="B34" s="470" t="s">
        <v>2580</v>
      </c>
      <c r="C34" s="470" t="s">
        <v>2581</v>
      </c>
      <c r="D34" s="470">
        <v>0</v>
      </c>
      <c r="E34" s="470">
        <v>0</v>
      </c>
      <c r="F34" s="470">
        <v>0</v>
      </c>
    </row>
    <row r="35" spans="1:6">
      <c r="A35" s="470" t="s">
        <v>986</v>
      </c>
      <c r="B35" s="470" t="s">
        <v>2526</v>
      </c>
      <c r="C35" s="470" t="s">
        <v>2582</v>
      </c>
      <c r="D35" s="470">
        <v>0</v>
      </c>
      <c r="E35" s="470">
        <v>0</v>
      </c>
      <c r="F35" s="470">
        <v>0</v>
      </c>
    </row>
    <row r="36" spans="1:6">
      <c r="A36" s="470" t="s">
        <v>782</v>
      </c>
      <c r="B36" s="470" t="s">
        <v>1191</v>
      </c>
      <c r="C36" s="470" t="s">
        <v>2583</v>
      </c>
      <c r="D36" s="470">
        <v>0</v>
      </c>
      <c r="E36" s="470">
        <v>0</v>
      </c>
      <c r="F36" s="470">
        <v>0</v>
      </c>
    </row>
    <row r="37" spans="1:6">
      <c r="A37" s="470" t="s">
        <v>783</v>
      </c>
      <c r="B37" s="470" t="s">
        <v>2584</v>
      </c>
      <c r="C37" s="470" t="s">
        <v>2534</v>
      </c>
      <c r="D37" s="470">
        <v>0</v>
      </c>
      <c r="E37" s="470">
        <v>0</v>
      </c>
      <c r="F37" s="470">
        <v>0</v>
      </c>
    </row>
    <row r="38" spans="1:6">
      <c r="A38" s="470" t="s">
        <v>2585</v>
      </c>
      <c r="B38" s="470" t="s">
        <v>2586</v>
      </c>
      <c r="C38" s="470" t="s">
        <v>2587</v>
      </c>
      <c r="D38" s="470">
        <v>0</v>
      </c>
      <c r="E38" s="470">
        <v>0</v>
      </c>
      <c r="F38" s="470">
        <v>0</v>
      </c>
    </row>
    <row r="39" spans="1:6">
      <c r="A39" s="470" t="s">
        <v>2588</v>
      </c>
      <c r="B39" s="470" t="s">
        <v>2589</v>
      </c>
      <c r="C39" s="470" t="s">
        <v>2590</v>
      </c>
      <c r="D39" s="470">
        <v>0</v>
      </c>
      <c r="E39" s="470">
        <v>0</v>
      </c>
      <c r="F39" s="470">
        <v>0</v>
      </c>
    </row>
    <row r="40" spans="1:6">
      <c r="A40" s="470" t="s">
        <v>2591</v>
      </c>
      <c r="B40" s="470" t="s">
        <v>2592</v>
      </c>
      <c r="C40" s="470" t="s">
        <v>2593</v>
      </c>
      <c r="D40" s="470">
        <v>0</v>
      </c>
      <c r="E40" s="470">
        <v>0</v>
      </c>
      <c r="F40" s="470">
        <v>0</v>
      </c>
    </row>
    <row r="41" spans="1:6">
      <c r="A41" s="470" t="s">
        <v>2594</v>
      </c>
      <c r="B41" s="470" t="s">
        <v>2595</v>
      </c>
      <c r="C41" s="470" t="s">
        <v>2596</v>
      </c>
      <c r="D41" s="470">
        <v>0</v>
      </c>
      <c r="E41" s="470">
        <v>0</v>
      </c>
      <c r="F41" s="470">
        <v>0</v>
      </c>
    </row>
    <row r="42" spans="1:6">
      <c r="A42" s="470" t="s">
        <v>2092</v>
      </c>
      <c r="B42" s="470" t="s">
        <v>2597</v>
      </c>
      <c r="C42" s="470" t="s">
        <v>2537</v>
      </c>
      <c r="D42" s="470">
        <v>0</v>
      </c>
      <c r="E42" s="470">
        <v>0</v>
      </c>
      <c r="F42" s="470">
        <v>0</v>
      </c>
    </row>
    <row r="43" spans="1:6">
      <c r="A43" s="470" t="s">
        <v>2598</v>
      </c>
      <c r="B43" s="470" t="s">
        <v>2599</v>
      </c>
      <c r="C43" s="470" t="s">
        <v>2600</v>
      </c>
      <c r="D43" s="470">
        <v>0</v>
      </c>
      <c r="E43" s="470">
        <v>0</v>
      </c>
      <c r="F43" s="470">
        <v>0</v>
      </c>
    </row>
    <row r="44" spans="1:6">
      <c r="A44" s="470" t="s">
        <v>2601</v>
      </c>
      <c r="B44" s="470" t="s">
        <v>2602</v>
      </c>
      <c r="C44" s="470" t="s">
        <v>2603</v>
      </c>
      <c r="D44" s="470">
        <v>0</v>
      </c>
      <c r="E44" s="470">
        <v>0</v>
      </c>
      <c r="F44" s="470">
        <v>0</v>
      </c>
    </row>
    <row r="45" spans="1:6">
      <c r="A45" s="470" t="s">
        <v>2604</v>
      </c>
      <c r="B45" s="470" t="s">
        <v>2605</v>
      </c>
      <c r="C45" s="470" t="s">
        <v>2606</v>
      </c>
      <c r="D45" s="470">
        <v>0</v>
      </c>
      <c r="E45" s="470">
        <v>0</v>
      </c>
      <c r="F45" s="470">
        <v>0</v>
      </c>
    </row>
    <row r="46" spans="1:6">
      <c r="A46" s="470" t="s">
        <v>2607</v>
      </c>
      <c r="B46" s="470" t="s">
        <v>2608</v>
      </c>
      <c r="C46" s="470" t="s">
        <v>2609</v>
      </c>
      <c r="D46" s="470">
        <v>0</v>
      </c>
      <c r="E46" s="470">
        <v>0</v>
      </c>
      <c r="F46" s="470">
        <v>0</v>
      </c>
    </row>
    <row r="47" spans="1:6">
      <c r="A47" s="470" t="s">
        <v>2610</v>
      </c>
      <c r="B47" s="470" t="s">
        <v>2611</v>
      </c>
      <c r="C47" s="470" t="s">
        <v>2612</v>
      </c>
      <c r="D47" s="470">
        <v>0</v>
      </c>
      <c r="E47" s="470">
        <v>0</v>
      </c>
      <c r="F47" s="470">
        <v>0</v>
      </c>
    </row>
    <row r="48" spans="1:6">
      <c r="A48" s="470" t="s">
        <v>2613</v>
      </c>
      <c r="B48" s="470" t="s">
        <v>2614</v>
      </c>
      <c r="C48" s="470" t="s">
        <v>2615</v>
      </c>
      <c r="D48" s="470">
        <v>0</v>
      </c>
      <c r="E48" s="470">
        <v>0</v>
      </c>
      <c r="F48" s="470">
        <v>0</v>
      </c>
    </row>
    <row r="49" spans="1:6">
      <c r="A49" s="470" t="s">
        <v>2616</v>
      </c>
      <c r="B49" s="470" t="s">
        <v>2617</v>
      </c>
      <c r="C49" s="470" t="s">
        <v>2618</v>
      </c>
      <c r="D49" s="470">
        <v>0</v>
      </c>
      <c r="E49" s="470">
        <v>0</v>
      </c>
      <c r="F49" s="470">
        <v>0</v>
      </c>
    </row>
    <row r="50" spans="1:6">
      <c r="A50" s="470" t="s">
        <v>2619</v>
      </c>
      <c r="B50" s="470" t="s">
        <v>2620</v>
      </c>
      <c r="C50" s="470" t="s">
        <v>2621</v>
      </c>
      <c r="D50" s="470">
        <v>0</v>
      </c>
      <c r="E50" s="470">
        <v>0</v>
      </c>
      <c r="F50" s="470">
        <v>0</v>
      </c>
    </row>
    <row r="51" spans="1:6">
      <c r="A51" s="470" t="s">
        <v>2622</v>
      </c>
      <c r="B51" s="470" t="s">
        <v>2623</v>
      </c>
      <c r="C51" s="470" t="s">
        <v>2624</v>
      </c>
      <c r="D51" s="470">
        <v>0</v>
      </c>
      <c r="E51" s="470">
        <v>0</v>
      </c>
      <c r="F51" s="470">
        <v>0</v>
      </c>
    </row>
    <row r="52" spans="1:6">
      <c r="A52" s="470" t="s">
        <v>2625</v>
      </c>
      <c r="B52" s="470" t="s">
        <v>2626</v>
      </c>
      <c r="C52" s="470" t="s">
        <v>2627</v>
      </c>
      <c r="D52" s="470">
        <v>0</v>
      </c>
      <c r="E52" s="470">
        <v>0</v>
      </c>
      <c r="F52" s="470">
        <v>0</v>
      </c>
    </row>
    <row r="53" spans="1:6">
      <c r="A53" s="470" t="s">
        <v>1452</v>
      </c>
      <c r="B53" s="470" t="s">
        <v>1192</v>
      </c>
      <c r="C53" s="470" t="s">
        <v>2628</v>
      </c>
      <c r="D53" s="470">
        <v>0</v>
      </c>
      <c r="E53" s="470">
        <v>0</v>
      </c>
      <c r="F53" s="470">
        <v>0</v>
      </c>
    </row>
    <row r="54" spans="1:6">
      <c r="A54" s="470" t="s">
        <v>1453</v>
      </c>
      <c r="B54" s="470" t="s">
        <v>1193</v>
      </c>
      <c r="C54" s="470" t="s">
        <v>2629</v>
      </c>
      <c r="D54" s="470">
        <v>0</v>
      </c>
      <c r="E54" s="470">
        <v>0</v>
      </c>
      <c r="F54" s="470">
        <v>0</v>
      </c>
    </row>
    <row r="55" spans="1:6">
      <c r="A55" s="470" t="s">
        <v>785</v>
      </c>
      <c r="B55" s="470" t="s">
        <v>2630</v>
      </c>
      <c r="C55" s="470" t="s">
        <v>2631</v>
      </c>
      <c r="D55" s="470">
        <v>0</v>
      </c>
      <c r="E55" s="470">
        <v>0</v>
      </c>
      <c r="F55" s="470">
        <v>0</v>
      </c>
    </row>
    <row r="56" spans="1:6">
      <c r="A56" s="470" t="s">
        <v>786</v>
      </c>
      <c r="B56" s="470" t="s">
        <v>1194</v>
      </c>
      <c r="C56" s="470" t="s">
        <v>2632</v>
      </c>
      <c r="D56" s="470">
        <v>0</v>
      </c>
      <c r="E56" s="470">
        <v>0</v>
      </c>
      <c r="F56" s="470">
        <v>0</v>
      </c>
    </row>
    <row r="57" spans="1:6">
      <c r="A57" s="470" t="s">
        <v>93</v>
      </c>
      <c r="B57" s="470" t="s">
        <v>1195</v>
      </c>
      <c r="C57" s="470" t="s">
        <v>2633</v>
      </c>
      <c r="D57" s="470">
        <v>0</v>
      </c>
      <c r="E57" s="470">
        <v>0</v>
      </c>
      <c r="F57" s="470">
        <v>0</v>
      </c>
    </row>
    <row r="58" spans="1:6">
      <c r="A58" s="470" t="s">
        <v>2634</v>
      </c>
      <c r="B58" s="470" t="s">
        <v>2635</v>
      </c>
      <c r="C58" s="470" t="s">
        <v>2636</v>
      </c>
      <c r="D58" s="470">
        <v>0</v>
      </c>
      <c r="E58" s="470">
        <v>0</v>
      </c>
      <c r="F58" s="470">
        <v>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4">
    <pageSetUpPr fitToPage="1"/>
  </sheetPr>
  <dimension ref="A1:AG402"/>
  <sheetViews>
    <sheetView view="pageBreakPreview" topLeftCell="A24" zoomScale="85" zoomScaleNormal="100" zoomScaleSheetLayoutView="85" workbookViewId="0">
      <selection activeCell="AK62" sqref="AK62"/>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27" hidden="1">
      <c r="H1" s="51"/>
      <c r="I1" s="51"/>
      <c r="L1" s="51"/>
      <c r="M1" s="51"/>
      <c r="N1" s="51"/>
      <c r="O1" s="51"/>
      <c r="P1" s="51"/>
      <c r="Q1" s="51"/>
      <c r="R1" s="51"/>
      <c r="S1" s="51"/>
      <c r="T1" s="51"/>
      <c r="U1" s="56"/>
      <c r="X1" s="58"/>
      <c r="Y1" s="58"/>
      <c r="Z1" s="58"/>
      <c r="AA1" s="58"/>
    </row>
    <row r="2" spans="1:27" hidden="1">
      <c r="H2" s="51"/>
      <c r="I2" s="51"/>
      <c r="L2" s="51"/>
      <c r="M2" s="51"/>
      <c r="N2" s="51"/>
      <c r="O2" s="51"/>
      <c r="P2" s="51"/>
      <c r="Q2" s="51"/>
      <c r="R2" s="51"/>
      <c r="S2" s="51"/>
      <c r="T2" s="51"/>
      <c r="U2" s="56"/>
      <c r="X2" s="58"/>
      <c r="Y2" s="58"/>
      <c r="Z2" s="58"/>
      <c r="AA2" s="58"/>
    </row>
    <row r="3" spans="1:27" s="42" customFormat="1" ht="38.25" customHeight="1">
      <c r="A3" s="41"/>
      <c r="B3" s="41"/>
      <c r="C3" s="41"/>
      <c r="D3" s="41"/>
      <c r="E3" s="41"/>
      <c r="G3" s="43"/>
      <c r="H3" s="41"/>
      <c r="I3" s="43"/>
      <c r="J3" s="43"/>
    </row>
    <row r="4" spans="1:27" s="46" customFormat="1" ht="10.5" customHeight="1">
      <c r="A4" s="44"/>
      <c r="B4" s="44"/>
      <c r="C4" s="44"/>
      <c r="D4" s="63"/>
      <c r="E4" s="44"/>
      <c r="F4" s="44"/>
      <c r="G4" s="44"/>
      <c r="H4" s="44"/>
      <c r="I4" s="44"/>
      <c r="J4" s="44"/>
      <c r="K4" s="44"/>
      <c r="L4" s="44"/>
      <c r="M4" s="44"/>
      <c r="N4" s="44"/>
      <c r="O4" s="44"/>
      <c r="P4" s="44"/>
      <c r="Q4" s="44"/>
      <c r="R4" s="44"/>
      <c r="S4" s="44"/>
      <c r="T4" s="44"/>
      <c r="U4" s="45"/>
      <c r="X4" s="47"/>
      <c r="Y4" s="47"/>
      <c r="Z4" s="47"/>
      <c r="AA4" s="47"/>
    </row>
    <row r="5" spans="1:27"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27"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27"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27"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27"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27"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27"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27"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27"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27"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27"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27"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33"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33"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33"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33"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33"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33"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33"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33"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33"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33"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33"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c r="AG43" s="54"/>
    </row>
    <row r="44" spans="1:33"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33"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33"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33"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33"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K61" s="59"/>
      <c r="L61" s="59"/>
      <c r="M61" s="59"/>
      <c r="N61" s="59"/>
      <c r="O61" s="59"/>
      <c r="P61" s="59"/>
      <c r="Q61" s="49"/>
      <c r="R61" s="44"/>
      <c r="S61" s="44"/>
      <c r="T61" s="44"/>
      <c r="U61" s="45"/>
      <c r="V61" s="46"/>
      <c r="W61" s="46"/>
      <c r="X61" s="47"/>
      <c r="Y61" s="47"/>
      <c r="Z61" s="53"/>
      <c r="AA61" s="53"/>
    </row>
    <row r="62" spans="1:27" s="54" customFormat="1" ht="12.75" customHeight="1">
      <c r="A62" s="44"/>
      <c r="B62" s="44"/>
      <c r="C62" s="44"/>
      <c r="D62" s="44"/>
      <c r="E62" s="59"/>
      <c r="F62" s="59"/>
      <c r="G62" s="59"/>
      <c r="H62" s="59"/>
      <c r="I62" s="59"/>
      <c r="J62" s="59"/>
      <c r="K62" s="59"/>
      <c r="L62" s="59"/>
      <c r="M62" s="59"/>
      <c r="N62" s="59"/>
      <c r="O62" s="59"/>
      <c r="P62" s="59"/>
      <c r="Q62" s="49"/>
      <c r="R62" s="44"/>
      <c r="S62" s="44"/>
      <c r="T62" s="44"/>
      <c r="U62" s="45"/>
      <c r="V62" s="46"/>
      <c r="W62" s="46"/>
      <c r="X62" s="47"/>
      <c r="Y62" s="47"/>
      <c r="Z62" s="53"/>
      <c r="AA62" s="53"/>
    </row>
    <row r="63" spans="1:27" s="46" customFormat="1" ht="9.75" customHeight="1">
      <c r="A63" s="44"/>
      <c r="B63" s="44"/>
      <c r="C63" s="44"/>
      <c r="D63" s="44"/>
      <c r="E63" s="44"/>
      <c r="G63" s="44"/>
      <c r="H63" s="50"/>
      <c r="J63" s="44"/>
      <c r="K63" s="44"/>
      <c r="L63" s="44"/>
      <c r="M63" s="44"/>
      <c r="N63" s="44"/>
      <c r="O63" s="44"/>
      <c r="P63" s="44"/>
      <c r="Q63" s="44"/>
      <c r="R63" s="44"/>
      <c r="S63" s="44"/>
      <c r="T63" s="44"/>
      <c r="U63" s="45"/>
      <c r="X63" s="47"/>
      <c r="Y63" s="47"/>
      <c r="Z63" s="47"/>
      <c r="AA63" s="47"/>
    </row>
    <row r="64" spans="1:27" s="46" customFormat="1" ht="12.75" customHeight="1">
      <c r="A64" s="44"/>
      <c r="B64" s="44"/>
      <c r="C64" s="44"/>
      <c r="D64" s="44"/>
      <c r="E64" s="736" t="str">
        <f>CHOOSE(jezyk,n!A35,n!B35,n!C35)</f>
        <v>ZAŁĄCZNIK 1 DO SPRAWOZDANIA FINANSOWEGO SPORZĄDZONEGO W FORMIE ELEKTRONICZNEJ - INFORMACJE DODATKOWE</v>
      </c>
      <c r="F64" s="736"/>
      <c r="G64" s="736"/>
      <c r="H64" s="736"/>
      <c r="I64" s="736"/>
      <c r="J64" s="736"/>
      <c r="K64" s="736"/>
      <c r="L64" s="736"/>
      <c r="M64" s="736"/>
      <c r="N64" s="736"/>
      <c r="O64" s="736"/>
      <c r="P64" s="736"/>
      <c r="Q64" s="736"/>
      <c r="R64" s="736"/>
      <c r="S64" s="736"/>
      <c r="T64" s="736"/>
      <c r="U64" s="736"/>
      <c r="V64" s="736"/>
      <c r="X64" s="47"/>
      <c r="Y64" s="47"/>
      <c r="Z64" s="47"/>
      <c r="AA64" s="47"/>
    </row>
    <row r="65" spans="1:27" s="46" customFormat="1" ht="12.75" customHeight="1">
      <c r="A65" s="44"/>
      <c r="B65" s="44"/>
      <c r="C65" s="44"/>
      <c r="D65" s="44"/>
      <c r="E65" s="736"/>
      <c r="F65" s="736"/>
      <c r="G65" s="736"/>
      <c r="H65" s="736"/>
      <c r="I65" s="736"/>
      <c r="J65" s="736"/>
      <c r="K65" s="736"/>
      <c r="L65" s="736"/>
      <c r="M65" s="736"/>
      <c r="N65" s="736"/>
      <c r="O65" s="736"/>
      <c r="P65" s="736"/>
      <c r="Q65" s="736"/>
      <c r="R65" s="736"/>
      <c r="S65" s="736"/>
      <c r="T65" s="736"/>
      <c r="U65" s="736"/>
      <c r="V65" s="736"/>
      <c r="X65" s="47"/>
      <c r="Y65" s="47"/>
      <c r="Z65" s="47"/>
      <c r="AA65" s="47"/>
    </row>
    <row r="66" spans="1:27" s="54" customFormat="1" ht="12.75" customHeight="1">
      <c r="A66" s="60"/>
      <c r="B66" s="60"/>
      <c r="C66" s="60"/>
      <c r="D66" s="60"/>
      <c r="E66" s="59"/>
      <c r="G66" s="60"/>
      <c r="H66" s="62"/>
      <c r="J66" s="60"/>
      <c r="K66" s="60"/>
      <c r="L66" s="60"/>
      <c r="M66" s="60"/>
      <c r="N66" s="60"/>
      <c r="O66" s="60"/>
      <c r="P66" s="60"/>
      <c r="Q66" s="60"/>
      <c r="R66" s="60"/>
      <c r="S66" s="60"/>
      <c r="T66" s="60"/>
      <c r="U66" s="61"/>
      <c r="X66" s="53"/>
      <c r="Y66" s="53"/>
      <c r="Z66" s="53"/>
      <c r="AA66" s="53"/>
    </row>
    <row r="67" spans="1:27" s="46" customFormat="1" ht="12.75" customHeight="1">
      <c r="A67" s="44"/>
      <c r="B67" s="44"/>
      <c r="C67" s="44"/>
      <c r="D67" s="44"/>
      <c r="E67" s="54"/>
      <c r="G67" s="44"/>
      <c r="H67" s="50"/>
      <c r="J67" s="44"/>
      <c r="K67" s="44"/>
      <c r="L67" s="44"/>
      <c r="M67" s="44"/>
      <c r="N67" s="44"/>
      <c r="O67" s="44"/>
      <c r="P67" s="44"/>
      <c r="Q67" s="44"/>
      <c r="R67" s="44"/>
      <c r="S67" s="44"/>
      <c r="T67" s="44"/>
      <c r="U67" s="45"/>
      <c r="X67" s="47"/>
      <c r="Y67" s="47"/>
      <c r="Z67" s="47"/>
      <c r="AA67" s="47"/>
    </row>
    <row r="68" spans="1:27" s="46" customFormat="1">
      <c r="A68" s="44"/>
      <c r="B68" s="44"/>
      <c r="C68" s="44"/>
      <c r="D68" s="44"/>
      <c r="E68" s="59"/>
      <c r="G68" s="44"/>
      <c r="H68" s="50"/>
      <c r="J68" s="44"/>
      <c r="K68" s="44"/>
      <c r="L68" s="44"/>
      <c r="M68" s="44"/>
      <c r="N68" s="44"/>
      <c r="O68" s="44"/>
      <c r="P68" s="44"/>
      <c r="Q68" s="44"/>
      <c r="R68" s="44"/>
      <c r="S68" s="44"/>
      <c r="T68" s="44"/>
      <c r="U68" s="45"/>
      <c r="X68" s="47"/>
      <c r="Y68" s="47"/>
      <c r="Z68" s="47"/>
      <c r="AA68" s="47"/>
    </row>
    <row r="69" spans="1:27" s="46" customFormat="1">
      <c r="A69" s="44"/>
      <c r="B69" s="44"/>
      <c r="C69" s="44"/>
      <c r="D69" s="44"/>
      <c r="E69" s="59"/>
      <c r="G69" s="44"/>
      <c r="H69" s="52"/>
      <c r="N69" s="44"/>
      <c r="O69" s="44"/>
      <c r="P69" s="44"/>
      <c r="Q69" s="44"/>
      <c r="R69" s="44"/>
      <c r="S69" s="44"/>
      <c r="T69" s="44"/>
      <c r="U69" s="45"/>
      <c r="X69" s="47"/>
      <c r="Y69" s="47"/>
      <c r="Z69" s="47"/>
      <c r="AA69" s="47"/>
    </row>
    <row r="70" spans="1:27" s="46" customFormat="1" ht="10.5" customHeight="1">
      <c r="A70" s="44"/>
      <c r="B70" s="44"/>
      <c r="C70" s="44"/>
      <c r="D70" s="44"/>
      <c r="E70" s="44"/>
      <c r="G70" s="44"/>
      <c r="N70" s="44"/>
      <c r="O70" s="44"/>
      <c r="P70" s="44"/>
      <c r="Q70" s="44"/>
      <c r="R70" s="44"/>
      <c r="S70" s="44"/>
      <c r="T70" s="44"/>
      <c r="U70" s="45"/>
      <c r="X70" s="47"/>
      <c r="Y70" s="47"/>
      <c r="Z70" s="47"/>
      <c r="AA70" s="47"/>
    </row>
    <row r="71" spans="1:27" s="46" customFormat="1" ht="10.5"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54" customFormat="1" ht="10.5" customHeight="1">
      <c r="A72" s="60"/>
      <c r="B72" s="60"/>
      <c r="C72" s="60"/>
      <c r="D72" s="60"/>
      <c r="E72" s="60"/>
      <c r="F72" s="60"/>
      <c r="G72" s="60"/>
      <c r="H72" s="60"/>
      <c r="I72" s="60"/>
      <c r="J72" s="60"/>
      <c r="K72" s="60"/>
      <c r="L72" s="60"/>
      <c r="M72" s="60"/>
      <c r="N72" s="60"/>
      <c r="O72" s="60"/>
      <c r="P72" s="60"/>
      <c r="Q72" s="60"/>
      <c r="R72" s="60"/>
      <c r="S72" s="60"/>
      <c r="T72" s="60"/>
      <c r="U72" s="61"/>
      <c r="X72" s="53"/>
      <c r="Y72" s="53"/>
      <c r="Z72" s="53"/>
      <c r="AA72" s="53"/>
    </row>
    <row r="73" spans="1:27" s="54" customFormat="1" ht="10.5" customHeight="1">
      <c r="A73" s="46"/>
      <c r="B73" s="46"/>
      <c r="C73" s="46"/>
      <c r="D73" s="46"/>
      <c r="E73" s="46"/>
      <c r="F73" s="46"/>
      <c r="G73" s="46"/>
      <c r="H73" s="46"/>
      <c r="I73" s="46"/>
      <c r="J73" s="46"/>
      <c r="K73" s="46"/>
      <c r="L73" s="46"/>
      <c r="M73" s="46"/>
      <c r="N73" s="46"/>
      <c r="O73" s="46"/>
      <c r="P73" s="44"/>
      <c r="Q73" s="44"/>
      <c r="R73" s="44"/>
      <c r="S73" s="46"/>
      <c r="T73" s="46"/>
      <c r="U73" s="46"/>
      <c r="V73" s="46"/>
      <c r="W73" s="46"/>
      <c r="X73" s="46"/>
      <c r="Y73" s="47"/>
      <c r="Z73" s="53"/>
      <c r="AA73" s="53"/>
    </row>
    <row r="74" spans="1:27" s="54" customFormat="1" ht="10.5" customHeight="1">
      <c r="A74" s="46"/>
      <c r="B74" s="46"/>
      <c r="C74" s="46"/>
      <c r="D74" s="46"/>
      <c r="E74" s="46"/>
      <c r="F74" s="46"/>
      <c r="G74" s="46"/>
      <c r="H74" s="46"/>
      <c r="I74" s="46"/>
      <c r="J74" s="46"/>
      <c r="K74" s="46"/>
      <c r="L74" s="46"/>
      <c r="M74" s="46"/>
      <c r="N74" s="46"/>
      <c r="O74" s="46"/>
      <c r="P74" s="44"/>
      <c r="Q74" s="44"/>
      <c r="R74" s="44"/>
      <c r="S74" s="47"/>
      <c r="T74" s="46"/>
      <c r="U74" s="47"/>
      <c r="V74" s="46"/>
      <c r="W74" s="47"/>
      <c r="X74" s="46"/>
      <c r="Y74" s="47"/>
      <c r="Z74" s="53"/>
      <c r="AA74" s="53"/>
    </row>
    <row r="75" spans="1:27" s="54" customFormat="1" ht="10.5" customHeight="1">
      <c r="A75" s="46"/>
      <c r="B75" s="46"/>
      <c r="C75" s="46"/>
      <c r="D75" s="46"/>
      <c r="E75" s="46"/>
      <c r="F75" s="46"/>
      <c r="G75" s="46"/>
      <c r="H75" s="46"/>
      <c r="I75" s="46"/>
      <c r="J75" s="46"/>
      <c r="K75" s="46"/>
      <c r="L75" s="46"/>
      <c r="M75" s="46"/>
      <c r="N75" s="46"/>
      <c r="O75" s="46"/>
      <c r="P75" s="44"/>
      <c r="Q75" s="44"/>
      <c r="R75" s="44"/>
      <c r="S75" s="46"/>
      <c r="T75" s="46"/>
      <c r="U75" s="44"/>
      <c r="V75" s="45"/>
      <c r="W75" s="46"/>
      <c r="X75" s="46"/>
      <c r="Y75" s="47"/>
      <c r="Z75" s="53"/>
      <c r="AA75" s="53"/>
    </row>
    <row r="76" spans="1:27" s="54" customFormat="1" ht="10.5" customHeight="1">
      <c r="A76" s="46"/>
      <c r="B76" s="46"/>
      <c r="C76" s="46"/>
      <c r="D76" s="46"/>
      <c r="E76" s="46"/>
      <c r="F76" s="46"/>
      <c r="G76" s="46"/>
      <c r="H76" s="46"/>
      <c r="I76" s="46"/>
      <c r="J76" s="46"/>
      <c r="K76" s="46"/>
      <c r="L76" s="46"/>
      <c r="M76" s="46"/>
      <c r="N76" s="46"/>
      <c r="O76" s="46"/>
      <c r="P76" s="44"/>
      <c r="Q76" s="44"/>
      <c r="R76" s="44"/>
      <c r="S76" s="46"/>
      <c r="T76" s="55"/>
      <c r="U76" s="44"/>
      <c r="V76" s="45"/>
      <c r="W76" s="46"/>
      <c r="X76" s="46"/>
      <c r="Y76" s="47"/>
      <c r="Z76" s="53"/>
      <c r="AA76" s="53"/>
    </row>
    <row r="77" spans="1:27" s="54" customFormat="1" ht="10.5" customHeight="1">
      <c r="A77" s="46"/>
      <c r="B77" s="46"/>
      <c r="C77" s="46"/>
      <c r="D77" s="46"/>
      <c r="E77" s="46"/>
      <c r="F77" s="46"/>
      <c r="G77" s="46"/>
      <c r="H77" s="46"/>
      <c r="I77" s="46"/>
      <c r="J77" s="46"/>
      <c r="K77" s="46"/>
      <c r="L77" s="46"/>
      <c r="M77" s="46"/>
      <c r="N77" s="46"/>
      <c r="O77" s="46"/>
      <c r="P77" s="44"/>
      <c r="Q77" s="44"/>
      <c r="R77" s="44"/>
      <c r="S77" s="46"/>
      <c r="T77" s="46"/>
      <c r="U77" s="44"/>
      <c r="V77" s="45"/>
      <c r="W77" s="46"/>
      <c r="X77" s="46"/>
      <c r="Y77" s="47"/>
      <c r="Z77" s="53"/>
      <c r="AA77" s="53"/>
    </row>
    <row r="78" spans="1:27" s="54" customFormat="1" ht="10.5" customHeight="1">
      <c r="A78" s="44"/>
      <c r="B78" s="44"/>
      <c r="C78" s="44"/>
      <c r="D78" s="44"/>
      <c r="E78" s="44"/>
      <c r="F78" s="44"/>
      <c r="G78" s="44"/>
      <c r="H78" s="44"/>
      <c r="I78" s="44"/>
      <c r="J78" s="44"/>
      <c r="K78" s="44"/>
      <c r="L78" s="44"/>
      <c r="M78" s="44"/>
      <c r="N78" s="44"/>
      <c r="O78" s="44"/>
      <c r="P78" s="44"/>
      <c r="Q78" s="44"/>
      <c r="R78" s="44"/>
      <c r="S78" s="46"/>
      <c r="T78" s="44"/>
      <c r="U78" s="45"/>
      <c r="V78" s="46"/>
      <c r="W78" s="46"/>
      <c r="X78" s="47"/>
      <c r="Y78" s="47"/>
      <c r="Z78" s="53"/>
      <c r="AA78" s="53"/>
    </row>
    <row r="79" spans="1:27" s="54" customFormat="1" ht="10.5" customHeight="1">
      <c r="A79" s="44"/>
      <c r="B79" s="44"/>
      <c r="C79" s="44"/>
      <c r="D79" s="44"/>
      <c r="E79" s="44"/>
      <c r="F79" s="44"/>
      <c r="G79" s="44"/>
      <c r="H79" s="44"/>
      <c r="I79" s="44"/>
      <c r="J79" s="44"/>
      <c r="K79" s="44"/>
      <c r="L79" s="44"/>
      <c r="M79" s="44"/>
      <c r="N79" s="44"/>
      <c r="O79" s="44"/>
      <c r="P79" s="44"/>
      <c r="Q79" s="44"/>
      <c r="R79" s="44"/>
      <c r="S79" s="46"/>
      <c r="T79" s="44"/>
      <c r="U79" s="45"/>
      <c r="V79" s="46"/>
      <c r="W79" s="46"/>
      <c r="X79" s="47"/>
      <c r="Y79" s="47"/>
      <c r="Z79" s="53"/>
      <c r="AA79" s="53"/>
    </row>
    <row r="80" spans="1:27" s="54" customFormat="1" ht="10.5" customHeight="1">
      <c r="A80" s="44"/>
      <c r="B80" s="44"/>
      <c r="C80" s="44"/>
      <c r="D80" s="44"/>
      <c r="E80" s="44"/>
      <c r="F80" s="44"/>
      <c r="G80" s="44"/>
      <c r="H80" s="44"/>
      <c r="I80" s="44"/>
      <c r="J80" s="44"/>
      <c r="K80" s="44"/>
      <c r="L80" s="44"/>
      <c r="M80" s="44"/>
      <c r="N80" s="44"/>
      <c r="O80" s="44"/>
      <c r="P80" s="44"/>
      <c r="Q80" s="44"/>
      <c r="R80" s="44"/>
      <c r="S80" s="44"/>
      <c r="T80" s="44"/>
      <c r="U80" s="45"/>
      <c r="V80" s="46"/>
      <c r="W80" s="46"/>
      <c r="X80" s="47"/>
      <c r="Y80" s="47"/>
      <c r="Z80" s="53"/>
      <c r="AA80" s="53"/>
    </row>
    <row r="81" spans="1:27" s="54" customFormat="1" ht="10.5" customHeight="1">
      <c r="A81" s="46"/>
      <c r="B81" s="46"/>
      <c r="C81" s="46"/>
      <c r="D81" s="46"/>
      <c r="E81" s="46"/>
      <c r="F81" s="46"/>
      <c r="G81" s="46"/>
      <c r="H81" s="46"/>
      <c r="I81" s="46"/>
      <c r="J81" s="46"/>
      <c r="K81" s="46"/>
      <c r="L81" s="46"/>
      <c r="M81" s="46"/>
      <c r="N81" s="46"/>
      <c r="O81" s="46"/>
      <c r="P81" s="44"/>
      <c r="Q81" s="44"/>
      <c r="R81" s="44"/>
      <c r="S81" s="46"/>
      <c r="T81" s="46"/>
      <c r="U81" s="44"/>
      <c r="V81" s="45"/>
      <c r="W81" s="46"/>
      <c r="X81" s="46"/>
      <c r="Y81" s="47"/>
      <c r="Z81" s="53"/>
      <c r="AA81" s="53"/>
    </row>
    <row r="82" spans="1:27" s="54" customFormat="1" ht="10.5" customHeight="1">
      <c r="A82" s="46"/>
      <c r="B82" s="46"/>
      <c r="C82" s="46"/>
      <c r="D82" s="46"/>
      <c r="E82" s="46"/>
      <c r="F82" s="46"/>
      <c r="G82" s="46"/>
      <c r="H82" s="46"/>
      <c r="I82" s="46"/>
      <c r="J82" s="46"/>
      <c r="K82" s="46"/>
      <c r="L82" s="46"/>
      <c r="M82" s="46"/>
      <c r="N82" s="46"/>
      <c r="O82" s="46"/>
      <c r="P82" s="44"/>
      <c r="Q82" s="44"/>
      <c r="R82" s="44"/>
      <c r="S82" s="46"/>
      <c r="T82" s="46"/>
      <c r="U82" s="44"/>
      <c r="V82" s="45"/>
      <c r="W82" s="46"/>
      <c r="X82" s="46"/>
      <c r="Y82" s="47"/>
      <c r="Z82" s="53"/>
      <c r="AA82" s="53"/>
    </row>
    <row r="83" spans="1:27" s="54" customFormat="1" ht="10.5" customHeight="1">
      <c r="A83" s="46"/>
      <c r="B83" s="46"/>
      <c r="C83" s="46"/>
      <c r="D83" s="46"/>
      <c r="E83" s="46"/>
      <c r="F83" s="46"/>
      <c r="G83" s="46"/>
      <c r="H83" s="46"/>
      <c r="I83" s="46"/>
      <c r="J83" s="46"/>
      <c r="K83" s="46"/>
      <c r="L83" s="46"/>
      <c r="M83" s="46"/>
      <c r="N83" s="46"/>
      <c r="O83" s="46"/>
      <c r="P83" s="44"/>
      <c r="Q83" s="44"/>
      <c r="R83" s="44"/>
      <c r="S83" s="46"/>
      <c r="T83" s="46"/>
      <c r="U83" s="44"/>
      <c r="V83" s="45"/>
      <c r="W83" s="46"/>
      <c r="X83" s="46"/>
      <c r="Y83" s="47"/>
      <c r="Z83" s="53"/>
      <c r="AA83" s="53"/>
    </row>
    <row r="84" spans="1:27" s="46" customFormat="1" ht="10.5" customHeight="1">
      <c r="P84" s="44"/>
      <c r="Q84" s="44"/>
      <c r="R84" s="44"/>
      <c r="U84" s="44"/>
      <c r="V84" s="45"/>
      <c r="Y84" s="47"/>
      <c r="Z84" s="47"/>
      <c r="AA84" s="47"/>
    </row>
    <row r="85" spans="1:27" s="46" customFormat="1" ht="10.5" customHeight="1">
      <c r="P85" s="44"/>
      <c r="Q85" s="44"/>
      <c r="R85" s="44"/>
      <c r="U85" s="44"/>
      <c r="V85" s="45"/>
      <c r="Y85" s="47"/>
      <c r="Z85" s="47"/>
      <c r="AA85" s="47"/>
    </row>
    <row r="86" spans="1:27" s="46" customFormat="1" ht="10.5" customHeight="1">
      <c r="P86" s="44"/>
      <c r="Q86" s="44"/>
      <c r="R86" s="44"/>
      <c r="U86" s="44"/>
      <c r="V86" s="45"/>
      <c r="Y86" s="47"/>
      <c r="Z86" s="47"/>
      <c r="AA86" s="47"/>
    </row>
    <row r="87" spans="1:27" s="46" customFormat="1" ht="10.5" customHeight="1">
      <c r="P87" s="44"/>
      <c r="Q87" s="44"/>
      <c r="R87" s="44"/>
      <c r="U87" s="44"/>
      <c r="V87" s="45"/>
      <c r="Y87" s="47"/>
      <c r="Z87" s="47"/>
      <c r="AA87" s="47"/>
    </row>
    <row r="88" spans="1:27" s="46" customFormat="1" ht="10.5" customHeight="1">
      <c r="P88" s="44"/>
      <c r="Q88" s="44"/>
      <c r="R88" s="44"/>
      <c r="U88" s="44"/>
      <c r="V88" s="45"/>
      <c r="Y88" s="47"/>
      <c r="Z88" s="47"/>
      <c r="AA88" s="47"/>
    </row>
    <row r="89" spans="1:27" s="46" customFormat="1" ht="10.5" customHeight="1">
      <c r="P89" s="44"/>
      <c r="Q89" s="44"/>
      <c r="R89" s="44"/>
      <c r="U89" s="44"/>
      <c r="V89" s="45"/>
      <c r="Y89" s="47"/>
      <c r="Z89" s="47"/>
      <c r="AA89" s="47"/>
    </row>
    <row r="90" spans="1:27" s="46" customFormat="1" ht="10.5" customHeight="1">
      <c r="P90" s="44"/>
      <c r="Q90" s="44"/>
      <c r="R90" s="44"/>
      <c r="U90" s="44"/>
      <c r="V90" s="45"/>
      <c r="Y90" s="47"/>
      <c r="Z90" s="47"/>
      <c r="AA90" s="47"/>
    </row>
    <row r="91" spans="1:27" s="46" customFormat="1" ht="10.5" customHeight="1">
      <c r="P91" s="44"/>
      <c r="Q91" s="44"/>
      <c r="R91" s="44"/>
      <c r="U91" s="44"/>
      <c r="V91" s="45"/>
      <c r="Y91" s="47"/>
      <c r="Z91" s="47"/>
      <c r="AA91" s="47"/>
    </row>
    <row r="92" spans="1:27" s="46" customFormat="1" ht="10.5" customHeight="1">
      <c r="P92" s="44"/>
      <c r="Q92" s="44"/>
      <c r="R92" s="44"/>
      <c r="U92" s="44"/>
      <c r="V92" s="45"/>
      <c r="Y92" s="47"/>
      <c r="Z92" s="47"/>
      <c r="AA92" s="47"/>
    </row>
    <row r="93" spans="1:27" s="46" customFormat="1" ht="10.5" customHeight="1">
      <c r="P93" s="44"/>
      <c r="Q93" s="44"/>
      <c r="R93" s="44"/>
      <c r="U93" s="44"/>
      <c r="V93" s="45"/>
      <c r="Y93" s="47"/>
      <c r="Z93" s="47"/>
      <c r="AA93" s="47"/>
    </row>
    <row r="94" spans="1:27" s="46" customFormat="1" ht="10.5" customHeight="1">
      <c r="P94" s="44"/>
      <c r="Q94" s="44"/>
      <c r="R94" s="44"/>
      <c r="U94" s="44"/>
      <c r="V94" s="45"/>
      <c r="Y94" s="47"/>
      <c r="Z94" s="47"/>
      <c r="AA94" s="47"/>
    </row>
    <row r="95" spans="1:27" s="46" customFormat="1" ht="10.5" customHeight="1">
      <c r="P95" s="44"/>
      <c r="Q95" s="44"/>
      <c r="R95" s="44"/>
      <c r="U95" s="44"/>
      <c r="V95" s="45"/>
      <c r="Y95" s="47"/>
      <c r="Z95" s="47"/>
      <c r="AA95" s="47"/>
    </row>
    <row r="96" spans="1:27" s="46" customFormat="1" ht="10.5" customHeight="1">
      <c r="P96" s="44"/>
      <c r="Q96" s="44"/>
      <c r="R96" s="44"/>
      <c r="U96" s="44"/>
      <c r="V96" s="45"/>
      <c r="Y96" s="47"/>
      <c r="Z96" s="47"/>
      <c r="AA96" s="47"/>
    </row>
    <row r="97" spans="16:27" s="46" customFormat="1" ht="10.5" customHeight="1">
      <c r="P97" s="44"/>
      <c r="Q97" s="44"/>
      <c r="R97" s="44"/>
      <c r="U97" s="44"/>
      <c r="V97" s="45"/>
      <c r="Y97" s="47"/>
      <c r="Z97" s="47"/>
      <c r="AA97" s="47"/>
    </row>
    <row r="98" spans="16:27" s="46" customFormat="1" ht="10.5" customHeight="1">
      <c r="P98" s="44"/>
      <c r="Q98" s="44"/>
      <c r="R98" s="44"/>
      <c r="U98" s="44"/>
      <c r="V98" s="45"/>
      <c r="Y98" s="47"/>
      <c r="Z98" s="47"/>
      <c r="AA98" s="47"/>
    </row>
    <row r="99" spans="16:27" s="46" customFormat="1" ht="10.5" customHeight="1">
      <c r="P99" s="44"/>
      <c r="Q99" s="44"/>
      <c r="R99" s="44"/>
      <c r="U99" s="44"/>
      <c r="V99" s="45"/>
      <c r="Y99" s="47"/>
      <c r="Z99" s="47"/>
      <c r="AA99" s="47"/>
    </row>
    <row r="100" spans="16:27" s="46" customFormat="1" ht="10.5" customHeight="1">
      <c r="P100" s="44"/>
      <c r="Q100" s="44"/>
      <c r="R100" s="44"/>
      <c r="U100" s="44"/>
      <c r="V100" s="45"/>
      <c r="Y100" s="47"/>
      <c r="Z100" s="47"/>
      <c r="AA100" s="47"/>
    </row>
    <row r="101" spans="16:27" s="46" customFormat="1" ht="10.5" customHeight="1">
      <c r="P101" s="44"/>
      <c r="Q101" s="44"/>
      <c r="R101" s="44"/>
      <c r="U101" s="44"/>
      <c r="V101" s="45"/>
      <c r="Y101" s="47"/>
      <c r="Z101" s="47"/>
      <c r="AA101" s="47"/>
    </row>
    <row r="102" spans="16:27" s="46" customFormat="1" ht="10.5" customHeight="1">
      <c r="P102" s="44"/>
      <c r="Q102" s="44"/>
      <c r="R102" s="44"/>
      <c r="U102" s="44"/>
      <c r="V102" s="45"/>
      <c r="Y102" s="47"/>
      <c r="Z102" s="47"/>
      <c r="AA102" s="47"/>
    </row>
    <row r="103" spans="16:27" s="46" customFormat="1" ht="10.5" customHeight="1">
      <c r="P103" s="44"/>
      <c r="Q103" s="44"/>
      <c r="R103" s="44"/>
      <c r="U103" s="44"/>
      <c r="V103" s="45"/>
      <c r="Y103" s="47"/>
      <c r="Z103" s="47"/>
      <c r="AA103" s="47"/>
    </row>
    <row r="104" spans="16:27" s="46" customFormat="1" ht="10.5" customHeight="1">
      <c r="P104" s="44"/>
      <c r="Q104" s="44"/>
      <c r="R104" s="44"/>
      <c r="U104" s="44"/>
      <c r="V104" s="45"/>
      <c r="Y104" s="47"/>
      <c r="Z104" s="47"/>
      <c r="AA104" s="47"/>
    </row>
    <row r="105" spans="16:27" s="46" customFormat="1" ht="10.5" customHeight="1">
      <c r="P105" s="44"/>
      <c r="Q105" s="44"/>
      <c r="R105" s="44"/>
      <c r="U105" s="44"/>
      <c r="V105" s="45"/>
      <c r="Y105" s="47"/>
      <c r="Z105" s="47"/>
      <c r="AA105" s="47"/>
    </row>
    <row r="106" spans="16:27" s="46" customFormat="1" ht="10.5" customHeight="1">
      <c r="P106" s="44"/>
      <c r="Q106" s="44"/>
      <c r="R106" s="44"/>
      <c r="U106" s="44"/>
      <c r="V106" s="45"/>
      <c r="Y106" s="47"/>
      <c r="Z106" s="47"/>
      <c r="AA106" s="47"/>
    </row>
    <row r="107" spans="16:27" s="46" customFormat="1" ht="10.5" customHeight="1">
      <c r="P107" s="44"/>
      <c r="Q107" s="44"/>
      <c r="R107" s="44"/>
      <c r="U107" s="44"/>
      <c r="V107" s="45"/>
      <c r="Y107" s="47"/>
      <c r="Z107" s="47"/>
      <c r="AA107" s="47"/>
    </row>
    <row r="108" spans="16:27" s="46" customFormat="1" ht="10.5" customHeight="1">
      <c r="P108" s="44"/>
      <c r="Q108" s="44"/>
      <c r="R108" s="44"/>
      <c r="U108" s="44"/>
      <c r="V108" s="45"/>
      <c r="Y108" s="47"/>
      <c r="Z108" s="47"/>
      <c r="AA108" s="47"/>
    </row>
    <row r="109" spans="16:27" s="46" customFormat="1" ht="10.5" customHeight="1">
      <c r="P109" s="44"/>
      <c r="Q109" s="44"/>
      <c r="R109" s="44"/>
      <c r="U109" s="44"/>
      <c r="V109" s="45"/>
      <c r="Y109" s="47"/>
      <c r="Z109" s="47"/>
      <c r="AA109" s="47"/>
    </row>
    <row r="110" spans="16:27" s="46" customFormat="1" ht="10.5" customHeight="1">
      <c r="P110" s="44"/>
      <c r="Q110" s="44"/>
      <c r="R110" s="44"/>
      <c r="U110" s="44"/>
      <c r="V110" s="45"/>
      <c r="Y110" s="47"/>
      <c r="Z110" s="47"/>
      <c r="AA110" s="47"/>
    </row>
    <row r="111" spans="16:27" s="46" customFormat="1" ht="10.5" customHeight="1">
      <c r="P111" s="44"/>
      <c r="Q111" s="44"/>
      <c r="R111" s="44"/>
      <c r="U111" s="44"/>
      <c r="V111" s="45"/>
      <c r="Y111" s="47"/>
      <c r="Z111" s="47"/>
      <c r="AA111" s="47"/>
    </row>
    <row r="112" spans="16:27" s="46" customFormat="1" ht="10.5" customHeight="1">
      <c r="P112" s="44"/>
      <c r="Q112" s="44"/>
      <c r="R112" s="44"/>
      <c r="U112" s="44"/>
      <c r="V112" s="45"/>
      <c r="Y112" s="47"/>
      <c r="Z112" s="47"/>
      <c r="AA112" s="47"/>
    </row>
    <row r="113" spans="15:27" s="46" customFormat="1" ht="10.5" customHeight="1">
      <c r="P113" s="44"/>
      <c r="Q113" s="44"/>
      <c r="R113" s="44"/>
      <c r="U113" s="44"/>
      <c r="V113" s="45"/>
      <c r="Y113" s="47"/>
      <c r="Z113" s="47"/>
      <c r="AA113" s="47"/>
    </row>
    <row r="114" spans="15:27" s="46" customFormat="1" ht="10.5" customHeight="1">
      <c r="P114" s="44"/>
      <c r="Q114" s="44"/>
      <c r="R114" s="44"/>
      <c r="U114" s="44"/>
      <c r="V114" s="45"/>
      <c r="Y114" s="47"/>
      <c r="Z114" s="47"/>
      <c r="AA114" s="47"/>
    </row>
    <row r="115" spans="15:27" s="46" customFormat="1" ht="10.5" customHeight="1">
      <c r="P115" s="44"/>
      <c r="Q115" s="44"/>
      <c r="R115" s="44"/>
      <c r="U115" s="44"/>
      <c r="V115" s="45"/>
      <c r="Y115" s="47"/>
      <c r="Z115" s="47"/>
      <c r="AA115" s="47"/>
    </row>
    <row r="116" spans="15:27" s="46" customFormat="1" ht="10.5" customHeight="1">
      <c r="P116" s="44"/>
      <c r="Q116" s="44"/>
      <c r="R116" s="44"/>
      <c r="U116" s="44"/>
      <c r="V116" s="45"/>
      <c r="Y116" s="47"/>
      <c r="Z116" s="47"/>
      <c r="AA116" s="47"/>
    </row>
    <row r="117" spans="15:27" s="46" customFormat="1" ht="10.5" customHeight="1">
      <c r="P117" s="44"/>
      <c r="Q117" s="44"/>
      <c r="R117" s="44"/>
      <c r="U117" s="44"/>
      <c r="V117" s="45"/>
      <c r="Y117" s="47"/>
      <c r="Z117" s="47"/>
      <c r="AA117" s="47"/>
    </row>
    <row r="118" spans="15:27" s="46" customFormat="1" ht="10.5" customHeight="1">
      <c r="P118" s="44"/>
      <c r="Q118" s="44"/>
      <c r="R118" s="44"/>
      <c r="U118" s="44"/>
      <c r="V118" s="45"/>
      <c r="Y118" s="47"/>
      <c r="Z118" s="47"/>
      <c r="AA118" s="47"/>
    </row>
    <row r="119" spans="15:27" s="46" customFormat="1" ht="10.5" customHeight="1">
      <c r="P119" s="44"/>
      <c r="Q119" s="44"/>
      <c r="R119" s="44"/>
      <c r="U119" s="44"/>
      <c r="V119" s="45"/>
      <c r="Y119" s="47"/>
      <c r="Z119" s="47"/>
      <c r="AA119" s="47"/>
    </row>
    <row r="120" spans="15:27" s="46" customFormat="1" ht="10.5" customHeight="1">
      <c r="P120" s="44"/>
      <c r="Q120" s="44"/>
      <c r="R120" s="44"/>
      <c r="U120" s="44"/>
      <c r="V120" s="45"/>
      <c r="Y120" s="47"/>
      <c r="Z120" s="47"/>
      <c r="AA120" s="47"/>
    </row>
    <row r="121" spans="15:27" s="46" customFormat="1" ht="10.5" customHeight="1">
      <c r="P121" s="44"/>
      <c r="Q121" s="44"/>
      <c r="R121" s="44"/>
      <c r="U121" s="44"/>
      <c r="V121" s="45"/>
      <c r="Y121" s="47"/>
      <c r="Z121" s="47"/>
      <c r="AA121" s="47"/>
    </row>
    <row r="122" spans="15:27" s="46" customFormat="1" ht="12" customHeight="1">
      <c r="P122" s="780" t="s">
        <v>2486</v>
      </c>
      <c r="Q122" s="780"/>
      <c r="R122" s="780"/>
      <c r="S122" s="780"/>
      <c r="T122" s="780"/>
      <c r="U122" s="780"/>
      <c r="V122" s="780"/>
      <c r="W122" s="780"/>
      <c r="Y122" s="47"/>
      <c r="Z122" s="47"/>
      <c r="AA122" s="47"/>
    </row>
    <row r="123" spans="15:27" s="46" customFormat="1" ht="10.5" customHeight="1">
      <c r="P123" s="44"/>
      <c r="Q123" s="44"/>
      <c r="R123" s="44"/>
      <c r="S123" s="52"/>
      <c r="U123" s="44"/>
      <c r="V123" s="45"/>
      <c r="Y123" s="47"/>
      <c r="Z123" s="47"/>
      <c r="AA123" s="47"/>
    </row>
    <row r="124" spans="15:27" s="46" customFormat="1" ht="10.5" customHeight="1">
      <c r="P124" s="44"/>
      <c r="Q124" s="44"/>
      <c r="R124" s="44"/>
      <c r="S124" s="50"/>
      <c r="U124" s="44"/>
      <c r="V124" s="45"/>
      <c r="Y124" s="47"/>
      <c r="Z124" s="47"/>
      <c r="AA124" s="47"/>
    </row>
    <row r="125" spans="15:27" s="46" customFormat="1" ht="12" customHeight="1">
      <c r="O125" s="779" t="e">
        <f>VLOOKUP(oddzial,GA!$L$26:$Q$31,2)</f>
        <v>#REF!</v>
      </c>
      <c r="P125" s="779"/>
      <c r="Q125" s="779"/>
      <c r="R125" s="779"/>
      <c r="S125" s="779"/>
      <c r="T125" s="779"/>
      <c r="U125" s="779"/>
      <c r="V125" s="779"/>
      <c r="W125" s="779"/>
      <c r="Y125" s="47"/>
      <c r="Z125" s="47"/>
      <c r="AA125" s="47"/>
    </row>
    <row r="126" spans="15:27" s="46" customFormat="1" ht="12" customHeight="1">
      <c r="O126" s="779" t="e">
        <f>VLOOKUP(oddzial,GA!$L$26:$Q$31,3)</f>
        <v>#REF!</v>
      </c>
      <c r="P126" s="779"/>
      <c r="Q126" s="779"/>
      <c r="R126" s="779"/>
      <c r="S126" s="779"/>
      <c r="T126" s="779"/>
      <c r="U126" s="779"/>
      <c r="V126" s="779"/>
      <c r="W126" s="779"/>
      <c r="Y126" s="47"/>
      <c r="Z126" s="47"/>
      <c r="AA126" s="47"/>
    </row>
    <row r="127" spans="15:27" s="46" customFormat="1" ht="12" customHeight="1">
      <c r="P127" s="44"/>
      <c r="Q127" s="779" t="e">
        <f>VLOOKUP(oddzial,GA!$L$26:$Q$31,4)</f>
        <v>#REF!</v>
      </c>
      <c r="R127" s="779"/>
      <c r="S127" s="779"/>
      <c r="T127" s="779"/>
      <c r="U127" s="779"/>
      <c r="V127" s="779"/>
      <c r="W127" s="779"/>
      <c r="Y127" s="47"/>
      <c r="Z127" s="47"/>
      <c r="AA127" s="47"/>
    </row>
    <row r="128" spans="15:27" s="46" customFormat="1" ht="12" customHeight="1">
      <c r="P128" s="44"/>
      <c r="Q128" s="779" t="e">
        <f>VLOOKUP(oddzial,GA!$L$26:$Q$31,5)</f>
        <v>#REF!</v>
      </c>
      <c r="R128" s="779"/>
      <c r="S128" s="779"/>
      <c r="T128" s="779"/>
      <c r="U128" s="779"/>
      <c r="V128" s="779"/>
      <c r="W128" s="779"/>
      <c r="Y128" s="47"/>
      <c r="Z128" s="47"/>
      <c r="AA128" s="47"/>
    </row>
    <row r="129" spans="2:27" s="54" customFormat="1" ht="12" customHeight="1">
      <c r="P129" s="60"/>
      <c r="Q129" s="781" t="s">
        <v>2484</v>
      </c>
      <c r="R129" s="781"/>
      <c r="S129" s="781"/>
      <c r="T129" s="781"/>
      <c r="U129" s="781"/>
      <c r="V129" s="781"/>
      <c r="W129" s="781"/>
      <c r="Y129" s="53"/>
      <c r="Z129" s="53"/>
      <c r="AA129" s="53"/>
    </row>
    <row r="130" spans="2:27" s="46" customFormat="1" ht="10.5" customHeight="1">
      <c r="P130" s="44"/>
      <c r="Q130" s="44"/>
      <c r="R130" s="44"/>
      <c r="S130" s="44"/>
      <c r="U130" s="44"/>
      <c r="V130" s="45"/>
      <c r="Y130" s="47"/>
      <c r="Z130" s="47">
        <v>1</v>
      </c>
      <c r="AA130" s="47"/>
    </row>
    <row r="131" spans="2:27" s="46" customFormat="1" ht="10.5" customHeight="1">
      <c r="P131" s="44"/>
      <c r="Q131" s="44"/>
      <c r="R131" s="44"/>
      <c r="S131" s="52"/>
      <c r="U131" s="44"/>
      <c r="V131" s="45"/>
      <c r="Y131" s="47"/>
      <c r="Z131" s="47">
        <v>2</v>
      </c>
      <c r="AA131" s="47"/>
    </row>
    <row r="132" spans="2:27" s="46" customFormat="1" ht="10.5" customHeight="1">
      <c r="P132" s="44"/>
      <c r="Q132" s="44"/>
      <c r="R132" s="44"/>
      <c r="U132" s="44"/>
      <c r="V132" s="45"/>
      <c r="Y132" s="47"/>
      <c r="Z132" s="47">
        <v>3</v>
      </c>
      <c r="AA132" s="47"/>
    </row>
    <row r="133" spans="2:27" s="46" customFormat="1" ht="10.5" customHeight="1">
      <c r="P133" s="44"/>
      <c r="Q133" s="44"/>
      <c r="R133" s="44"/>
      <c r="U133" s="44"/>
      <c r="V133" s="45"/>
      <c r="Y133" s="47"/>
      <c r="Z133" s="47">
        <v>4</v>
      </c>
      <c r="AA133" s="47"/>
    </row>
    <row r="134" spans="2:27" s="46" customFormat="1" ht="10.5" customHeight="1">
      <c r="P134" s="44"/>
      <c r="Q134" s="44"/>
      <c r="R134" s="44"/>
      <c r="U134" s="44"/>
      <c r="V134" s="45"/>
      <c r="Y134" s="47"/>
      <c r="Z134" s="47">
        <v>5</v>
      </c>
      <c r="AA134" s="47"/>
    </row>
    <row r="135" spans="2:27" s="46" customFormat="1" ht="10.5" customHeight="1">
      <c r="P135" s="44"/>
      <c r="Q135" s="44"/>
      <c r="R135" s="44"/>
      <c r="U135" s="44"/>
      <c r="V135" s="45"/>
      <c r="Y135" s="47"/>
      <c r="Z135" s="47">
        <v>6</v>
      </c>
      <c r="AA135" s="47"/>
    </row>
    <row r="136" spans="2:27" s="46" customFormat="1" ht="10.5" customHeight="1">
      <c r="P136" s="44"/>
      <c r="Q136" s="44"/>
      <c r="R136" s="44"/>
      <c r="U136" s="44"/>
      <c r="V136" s="45"/>
      <c r="Y136" s="47"/>
      <c r="Z136" s="47">
        <v>7</v>
      </c>
      <c r="AA136" s="47"/>
    </row>
    <row r="137" spans="2:27" s="46" customFormat="1" ht="3.75" customHeight="1">
      <c r="P137" s="44"/>
      <c r="Q137" s="44"/>
      <c r="R137" s="44"/>
      <c r="U137" s="44"/>
      <c r="V137" s="45"/>
      <c r="Y137" s="47"/>
      <c r="Z137" s="47">
        <v>8</v>
      </c>
      <c r="AA137" s="47"/>
    </row>
    <row r="138" spans="2:27" s="46" customFormat="1" ht="10.5" customHeight="1">
      <c r="P138" s="44"/>
      <c r="Q138" s="44"/>
      <c r="R138" s="44"/>
      <c r="U138" s="44"/>
      <c r="V138" s="45"/>
      <c r="Y138" s="47"/>
      <c r="Z138" s="47">
        <v>9</v>
      </c>
      <c r="AA138" s="47"/>
    </row>
    <row r="139" spans="2:27" s="46" customFormat="1" ht="10.5" customHeight="1">
      <c r="B139" s="782"/>
      <c r="C139" s="782"/>
      <c r="D139" s="782"/>
      <c r="E139" s="782"/>
      <c r="F139" s="782"/>
      <c r="G139" s="782"/>
      <c r="H139" s="782"/>
      <c r="I139" s="782"/>
      <c r="J139" s="782"/>
      <c r="K139" s="782"/>
      <c r="L139" s="782"/>
      <c r="M139" s="782"/>
      <c r="N139" s="782"/>
      <c r="O139" s="782"/>
      <c r="P139" s="782"/>
      <c r="Q139" s="782"/>
      <c r="R139" s="782"/>
      <c r="S139" s="782"/>
      <c r="T139" s="782"/>
      <c r="U139" s="782"/>
      <c r="V139" s="782"/>
      <c r="W139" s="782"/>
      <c r="Z139" s="47"/>
      <c r="AA139" s="47"/>
    </row>
    <row r="140" spans="2:27" s="46" customFormat="1" ht="10.5" customHeight="1">
      <c r="B140" s="782"/>
      <c r="C140" s="782"/>
      <c r="D140" s="782"/>
      <c r="E140" s="782"/>
      <c r="F140" s="782"/>
      <c r="G140" s="782"/>
      <c r="H140" s="782"/>
      <c r="I140" s="782"/>
      <c r="J140" s="782"/>
      <c r="K140" s="782"/>
      <c r="L140" s="782"/>
      <c r="M140" s="782"/>
      <c r="N140" s="782"/>
      <c r="O140" s="782"/>
      <c r="P140" s="782"/>
      <c r="Q140" s="782"/>
      <c r="R140" s="782"/>
      <c r="S140" s="782"/>
      <c r="T140" s="782"/>
      <c r="U140" s="782"/>
      <c r="V140" s="782"/>
      <c r="W140" s="782"/>
      <c r="Z140" s="47"/>
      <c r="AA140" s="47"/>
    </row>
    <row r="141" spans="2:27" s="46" customFormat="1" ht="10.5" customHeight="1">
      <c r="P141" s="44"/>
      <c r="Q141" s="44"/>
      <c r="R141" s="44"/>
      <c r="U141" s="44"/>
      <c r="V141" s="45"/>
      <c r="Y141" s="47"/>
      <c r="Z141" s="47"/>
      <c r="AA141" s="47"/>
    </row>
    <row r="142" spans="2:27" s="46" customFormat="1" ht="10.5" customHeight="1">
      <c r="P142" s="44"/>
      <c r="Q142" s="44"/>
      <c r="R142" s="44"/>
      <c r="U142" s="44"/>
      <c r="V142" s="45"/>
      <c r="Y142" s="47"/>
      <c r="Z142" s="47"/>
      <c r="AA142" s="47"/>
    </row>
    <row r="143" spans="2:27" s="46" customFormat="1" ht="10.5" customHeight="1">
      <c r="P143" s="44"/>
      <c r="Q143" s="44"/>
      <c r="R143" s="44"/>
      <c r="U143" s="44"/>
      <c r="V143" s="45"/>
      <c r="Y143" s="47"/>
      <c r="Z143" s="47"/>
      <c r="AA143" s="47"/>
    </row>
    <row r="144" spans="2:27" s="46" customFormat="1" ht="10.5" customHeight="1">
      <c r="P144" s="44"/>
      <c r="Q144" s="44"/>
      <c r="R144" s="44"/>
      <c r="U144" s="44"/>
      <c r="V144" s="45"/>
      <c r="Y144" s="47"/>
      <c r="Z144" s="47"/>
      <c r="AA144" s="47"/>
    </row>
    <row r="145" spans="16:27" s="46" customFormat="1" ht="10.5" customHeight="1">
      <c r="P145" s="44"/>
      <c r="Q145" s="44"/>
      <c r="R145" s="44"/>
      <c r="U145" s="44"/>
      <c r="V145" s="45"/>
      <c r="Y145" s="47"/>
      <c r="Z145" s="47"/>
      <c r="AA145" s="47"/>
    </row>
    <row r="146" spans="16:27" s="46" customFormat="1" ht="10.5" customHeight="1">
      <c r="P146" s="44"/>
      <c r="Q146" s="44"/>
      <c r="R146" s="44"/>
      <c r="U146" s="44"/>
      <c r="V146" s="45"/>
      <c r="Y146" s="47"/>
      <c r="Z146" s="47"/>
      <c r="AA146" s="47"/>
    </row>
    <row r="147" spans="16:27" s="46" customFormat="1" ht="10.5" customHeight="1">
      <c r="P147" s="44"/>
      <c r="Q147" s="44"/>
      <c r="R147" s="44"/>
      <c r="U147" s="44"/>
      <c r="V147" s="45"/>
      <c r="Y147" s="47"/>
      <c r="Z147" s="47"/>
      <c r="AA147" s="47"/>
    </row>
    <row r="148" spans="16:27" s="46" customFormat="1" ht="10.5" customHeight="1">
      <c r="P148" s="44"/>
      <c r="Q148" s="44"/>
      <c r="R148" s="44"/>
      <c r="U148" s="44"/>
      <c r="V148" s="45"/>
      <c r="Y148" s="47"/>
      <c r="Z148" s="47"/>
      <c r="AA148" s="47"/>
    </row>
    <row r="149" spans="16:27" s="46" customFormat="1" ht="10.5" customHeight="1">
      <c r="P149" s="44"/>
      <c r="Q149" s="44"/>
      <c r="R149" s="44"/>
      <c r="U149" s="44"/>
      <c r="V149" s="45"/>
      <c r="Y149" s="47"/>
      <c r="Z149" s="47"/>
      <c r="AA149" s="47"/>
    </row>
    <row r="150" spans="16:27" s="46" customFormat="1" ht="10.5" customHeight="1">
      <c r="P150" s="44"/>
      <c r="Q150" s="44"/>
      <c r="R150" s="44"/>
      <c r="U150" s="44"/>
      <c r="V150" s="45"/>
      <c r="Y150" s="47"/>
      <c r="Z150" s="47"/>
      <c r="AA150" s="47"/>
    </row>
    <row r="151" spans="16:27" s="46" customFormat="1" ht="10.5" customHeight="1">
      <c r="P151" s="44"/>
      <c r="Q151" s="44"/>
      <c r="R151" s="44"/>
      <c r="U151" s="44"/>
      <c r="V151" s="45"/>
      <c r="Y151" s="47"/>
      <c r="Z151" s="47"/>
      <c r="AA151" s="47"/>
    </row>
    <row r="152" spans="16:27" s="46" customFormat="1" ht="10.5" customHeight="1">
      <c r="P152" s="44"/>
      <c r="Q152" s="44"/>
      <c r="R152" s="44"/>
      <c r="U152" s="44"/>
      <c r="V152" s="45"/>
      <c r="Y152" s="47"/>
      <c r="Z152" s="47"/>
      <c r="AA152" s="47"/>
    </row>
    <row r="153" spans="16:27" s="46" customFormat="1" ht="10.5" customHeight="1">
      <c r="P153" s="44"/>
      <c r="Q153" s="44"/>
      <c r="R153" s="44"/>
      <c r="U153" s="44"/>
      <c r="V153" s="45"/>
      <c r="Y153" s="47"/>
      <c r="Z153" s="47"/>
      <c r="AA153" s="47"/>
    </row>
    <row r="154" spans="16:27" s="46" customFormat="1" ht="10.5" customHeight="1">
      <c r="P154" s="44"/>
      <c r="Q154" s="44"/>
      <c r="R154" s="44"/>
      <c r="U154" s="44"/>
      <c r="V154" s="45"/>
      <c r="Y154" s="47"/>
      <c r="Z154" s="47"/>
      <c r="AA154" s="47"/>
    </row>
    <row r="155" spans="16:27" s="46" customFormat="1" ht="10.5" customHeight="1">
      <c r="P155" s="44"/>
      <c r="Q155" s="44"/>
      <c r="R155" s="44"/>
      <c r="U155" s="44"/>
      <c r="V155" s="45"/>
      <c r="Y155" s="47"/>
      <c r="Z155" s="47"/>
      <c r="AA155" s="47"/>
    </row>
    <row r="156" spans="16:27" s="46" customFormat="1" ht="10.5" customHeight="1">
      <c r="P156" s="44"/>
      <c r="Q156" s="44"/>
      <c r="R156" s="44"/>
      <c r="U156" s="44"/>
      <c r="V156" s="45"/>
      <c r="Y156" s="47"/>
      <c r="Z156" s="47"/>
      <c r="AA156" s="47"/>
    </row>
    <row r="157" spans="16:27" s="46" customFormat="1" ht="10.5" customHeight="1">
      <c r="P157" s="44"/>
      <c r="Q157" s="44"/>
      <c r="R157" s="44"/>
      <c r="U157" s="44"/>
      <c r="V157" s="45"/>
      <c r="Y157" s="47"/>
      <c r="Z157" s="47"/>
      <c r="AA157" s="47"/>
    </row>
    <row r="158" spans="16:27" s="46" customFormat="1" ht="10.5" customHeight="1">
      <c r="P158" s="44"/>
      <c r="Q158" s="44"/>
      <c r="R158" s="44"/>
      <c r="U158" s="44"/>
      <c r="V158" s="45"/>
      <c r="Y158" s="47"/>
      <c r="Z158" s="47"/>
      <c r="AA158" s="47"/>
    </row>
    <row r="159" spans="16:27" s="46" customFormat="1" ht="10.5" customHeight="1">
      <c r="P159" s="44"/>
      <c r="Q159" s="44"/>
      <c r="R159" s="44"/>
      <c r="U159" s="44"/>
      <c r="V159" s="45"/>
      <c r="Y159" s="47"/>
      <c r="Z159" s="47"/>
      <c r="AA159" s="47"/>
    </row>
    <row r="160" spans="16:27" s="46" customFormat="1" ht="10.5" customHeight="1">
      <c r="P160" s="44"/>
      <c r="Q160" s="44"/>
      <c r="R160" s="44"/>
      <c r="U160" s="44"/>
      <c r="V160" s="45"/>
      <c r="Y160" s="47"/>
      <c r="Z160" s="47"/>
      <c r="AA160" s="47"/>
    </row>
    <row r="161" spans="16:27" s="46" customFormat="1" ht="10.5" customHeight="1">
      <c r="P161" s="44"/>
      <c r="Q161" s="44"/>
      <c r="R161" s="44"/>
      <c r="U161" s="44"/>
      <c r="V161" s="45"/>
      <c r="Y161" s="47"/>
      <c r="Z161" s="47"/>
      <c r="AA161" s="47"/>
    </row>
    <row r="162" spans="16:27" s="46" customFormat="1" ht="10.5" customHeight="1">
      <c r="P162" s="44"/>
      <c r="Q162" s="44"/>
      <c r="R162" s="44"/>
      <c r="U162" s="44"/>
      <c r="V162" s="45"/>
      <c r="Y162" s="47"/>
      <c r="Z162" s="47"/>
      <c r="AA162" s="47"/>
    </row>
    <row r="163" spans="16:27" s="46" customFormat="1" ht="10.5" customHeight="1">
      <c r="P163" s="44"/>
      <c r="Q163" s="44"/>
      <c r="R163" s="44"/>
      <c r="U163" s="44"/>
      <c r="V163" s="45"/>
      <c r="Y163" s="47"/>
      <c r="Z163" s="47"/>
      <c r="AA163" s="47"/>
    </row>
    <row r="164" spans="16:27" s="46" customFormat="1" ht="10.5" customHeight="1">
      <c r="P164" s="44"/>
      <c r="Q164" s="44"/>
      <c r="R164" s="44"/>
      <c r="U164" s="44"/>
      <c r="V164" s="45"/>
      <c r="Y164" s="47"/>
      <c r="Z164" s="47"/>
      <c r="AA164" s="47"/>
    </row>
    <row r="165" spans="16:27" s="46" customFormat="1" ht="10.5" customHeight="1">
      <c r="P165" s="44"/>
      <c r="Q165" s="44"/>
      <c r="R165" s="44"/>
      <c r="U165" s="44"/>
      <c r="V165" s="45"/>
      <c r="Y165" s="47"/>
      <c r="Z165" s="47"/>
      <c r="AA165" s="47"/>
    </row>
    <row r="166" spans="16:27" s="46" customFormat="1" ht="10.5" customHeight="1">
      <c r="P166" s="44"/>
      <c r="Q166" s="44"/>
      <c r="R166" s="44"/>
      <c r="U166" s="44"/>
      <c r="V166" s="45"/>
      <c r="Y166" s="47"/>
      <c r="Z166" s="47"/>
      <c r="AA166" s="47"/>
    </row>
    <row r="167" spans="16:27" s="46" customFormat="1" ht="10.5" customHeight="1">
      <c r="P167" s="44"/>
      <c r="Q167" s="44"/>
      <c r="R167" s="44"/>
      <c r="U167" s="44"/>
      <c r="V167" s="45"/>
      <c r="Y167" s="47"/>
      <c r="Z167" s="47"/>
      <c r="AA167" s="47"/>
    </row>
    <row r="168" spans="16:27" s="46" customFormat="1" ht="10.5" customHeight="1">
      <c r="P168" s="44"/>
      <c r="Q168" s="44"/>
      <c r="R168" s="44"/>
      <c r="U168" s="44"/>
      <c r="V168" s="45"/>
      <c r="Y168" s="47"/>
      <c r="Z168" s="47"/>
      <c r="AA168" s="47"/>
    </row>
    <row r="169" spans="16:27" s="46" customFormat="1" ht="10.5" customHeight="1">
      <c r="P169" s="44"/>
      <c r="Q169" s="44"/>
      <c r="R169" s="44"/>
      <c r="U169" s="44"/>
      <c r="V169" s="45"/>
      <c r="Y169" s="47"/>
      <c r="Z169" s="47"/>
      <c r="AA169" s="47"/>
    </row>
    <row r="170" spans="16:27" s="46" customFormat="1" ht="10.5" customHeight="1">
      <c r="P170" s="44"/>
      <c r="Q170" s="44"/>
      <c r="R170" s="44"/>
      <c r="U170" s="44"/>
      <c r="V170" s="45"/>
      <c r="Y170" s="47"/>
      <c r="Z170" s="47"/>
      <c r="AA170" s="47"/>
    </row>
    <row r="171" spans="16:27" s="46" customFormat="1" ht="10.5" customHeight="1">
      <c r="P171" s="44"/>
      <c r="Q171" s="44"/>
      <c r="R171" s="44"/>
      <c r="U171" s="44"/>
      <c r="V171" s="45"/>
      <c r="Y171" s="47"/>
      <c r="Z171" s="47"/>
      <c r="AA171" s="47"/>
    </row>
    <row r="172" spans="16:27" s="46" customFormat="1" ht="10.5" customHeight="1">
      <c r="P172" s="44"/>
      <c r="Q172" s="44"/>
      <c r="R172" s="44"/>
      <c r="U172" s="44"/>
      <c r="V172" s="45"/>
      <c r="Y172" s="47"/>
      <c r="Z172" s="47"/>
      <c r="AA172" s="47"/>
    </row>
    <row r="173" spans="16:27" s="46" customFormat="1" ht="10.5" customHeight="1">
      <c r="P173" s="44"/>
      <c r="Q173" s="44"/>
      <c r="R173" s="44"/>
      <c r="U173" s="44"/>
      <c r="V173" s="45"/>
      <c r="Y173" s="47"/>
      <c r="Z173" s="47"/>
      <c r="AA173" s="47"/>
    </row>
    <row r="174" spans="16:27" s="46" customFormat="1" ht="10.5" customHeight="1">
      <c r="P174" s="44"/>
      <c r="Q174" s="44"/>
      <c r="R174" s="44"/>
      <c r="U174" s="44"/>
      <c r="V174" s="45"/>
      <c r="Y174" s="47"/>
      <c r="Z174" s="47"/>
      <c r="AA174" s="47"/>
    </row>
    <row r="175" spans="16:27" s="46" customFormat="1" ht="10.5" customHeight="1">
      <c r="P175" s="44"/>
      <c r="Q175" s="44"/>
      <c r="R175" s="44"/>
      <c r="U175" s="44"/>
      <c r="V175" s="45"/>
      <c r="Y175" s="47"/>
      <c r="Z175" s="47"/>
      <c r="AA175" s="47"/>
    </row>
    <row r="176" spans="16:27" s="46" customFormat="1" ht="10.5" customHeight="1">
      <c r="P176" s="44"/>
      <c r="Q176" s="44"/>
      <c r="R176" s="44"/>
      <c r="U176" s="44"/>
      <c r="V176" s="45"/>
      <c r="Y176" s="47"/>
      <c r="Z176" s="47"/>
      <c r="AA176" s="47"/>
    </row>
    <row r="177" spans="16:27" s="46" customFormat="1" ht="10.5" customHeight="1">
      <c r="P177" s="44"/>
      <c r="Q177" s="44"/>
      <c r="R177" s="44"/>
      <c r="U177" s="44"/>
      <c r="V177" s="45"/>
      <c r="Y177" s="47"/>
      <c r="Z177" s="47"/>
      <c r="AA177" s="47"/>
    </row>
    <row r="178" spans="16:27" s="46" customFormat="1" ht="10.5" customHeight="1">
      <c r="P178" s="44"/>
      <c r="Q178" s="44"/>
      <c r="R178" s="44"/>
      <c r="U178" s="44"/>
      <c r="V178" s="45"/>
      <c r="Y178" s="47"/>
      <c r="Z178" s="47"/>
      <c r="AA178" s="47"/>
    </row>
    <row r="179" spans="16:27" s="46" customFormat="1" ht="10.5" customHeight="1">
      <c r="P179" s="44"/>
      <c r="Q179" s="44"/>
      <c r="R179" s="44"/>
      <c r="U179" s="44"/>
      <c r="V179" s="45"/>
      <c r="Y179" s="47"/>
      <c r="Z179" s="47"/>
      <c r="AA179" s="47"/>
    </row>
    <row r="180" spans="16:27" s="46" customFormat="1" ht="10.5" customHeight="1">
      <c r="P180" s="44"/>
      <c r="Q180" s="44"/>
      <c r="R180" s="44"/>
      <c r="U180" s="44"/>
      <c r="V180" s="45"/>
      <c r="Y180" s="47"/>
      <c r="Z180" s="47"/>
      <c r="AA180" s="47"/>
    </row>
    <row r="181" spans="16:27" s="46" customFormat="1" ht="10.5" customHeight="1">
      <c r="P181" s="44"/>
      <c r="Q181" s="44"/>
      <c r="R181" s="44"/>
      <c r="U181" s="44"/>
      <c r="V181" s="45"/>
      <c r="Y181" s="47"/>
      <c r="Z181" s="47"/>
      <c r="AA181" s="47"/>
    </row>
    <row r="182" spans="16:27" s="46" customFormat="1" ht="10.5" customHeight="1">
      <c r="P182" s="44"/>
      <c r="Q182" s="44"/>
      <c r="R182" s="44"/>
      <c r="U182" s="44"/>
      <c r="V182" s="45"/>
      <c r="Y182" s="47"/>
      <c r="Z182" s="47"/>
      <c r="AA182" s="47"/>
    </row>
    <row r="183" spans="16:27" s="46" customFormat="1" ht="10.5" customHeight="1">
      <c r="P183" s="44"/>
      <c r="Q183" s="44"/>
      <c r="R183" s="44"/>
      <c r="U183" s="44"/>
      <c r="V183" s="45"/>
      <c r="Y183" s="47"/>
      <c r="Z183" s="47"/>
      <c r="AA183" s="47"/>
    </row>
    <row r="184" spans="16:27" s="46" customFormat="1" ht="10.5" customHeight="1">
      <c r="P184" s="44"/>
      <c r="Q184" s="44"/>
      <c r="R184" s="44"/>
      <c r="U184" s="44"/>
      <c r="V184" s="45"/>
      <c r="Y184" s="47"/>
      <c r="Z184" s="47"/>
      <c r="AA184" s="47"/>
    </row>
    <row r="185" spans="16:27" s="46" customFormat="1" ht="10.5" customHeight="1">
      <c r="P185" s="44"/>
      <c r="Q185" s="44"/>
      <c r="R185" s="44"/>
      <c r="U185" s="44"/>
      <c r="V185" s="45"/>
      <c r="Y185" s="47"/>
      <c r="Z185" s="47"/>
      <c r="AA185" s="47"/>
    </row>
    <row r="186" spans="16:27" s="46" customFormat="1" ht="10.5" customHeight="1">
      <c r="P186" s="44"/>
      <c r="Q186" s="44"/>
      <c r="R186" s="44"/>
      <c r="U186" s="44"/>
      <c r="V186" s="45"/>
      <c r="Y186" s="47"/>
      <c r="Z186" s="47"/>
      <c r="AA186" s="47"/>
    </row>
    <row r="187" spans="16:27" s="46" customFormat="1" ht="10.5" customHeight="1">
      <c r="P187" s="44"/>
      <c r="Q187" s="44"/>
      <c r="R187" s="44"/>
      <c r="U187" s="44"/>
      <c r="V187" s="45"/>
      <c r="Y187" s="47"/>
      <c r="Z187" s="47"/>
      <c r="AA187" s="47"/>
    </row>
    <row r="188" spans="16:27" s="46" customFormat="1" ht="10.5" customHeight="1">
      <c r="P188" s="44"/>
      <c r="Q188" s="44"/>
      <c r="R188" s="44"/>
      <c r="U188" s="44"/>
      <c r="V188" s="45"/>
      <c r="Y188" s="47"/>
      <c r="Z188" s="47"/>
      <c r="AA188" s="47"/>
    </row>
    <row r="189" spans="16:27" s="46" customFormat="1" ht="10.5" customHeight="1">
      <c r="P189" s="44"/>
      <c r="Q189" s="44"/>
      <c r="R189" s="44"/>
      <c r="U189" s="44"/>
      <c r="V189" s="45"/>
      <c r="Y189" s="47"/>
      <c r="Z189" s="47"/>
      <c r="AA189" s="47"/>
    </row>
    <row r="190" spans="16:27" s="46" customFormat="1" ht="10.5" customHeight="1">
      <c r="P190" s="44"/>
      <c r="Q190" s="44"/>
      <c r="R190" s="44"/>
      <c r="U190" s="44"/>
      <c r="V190" s="45"/>
      <c r="Y190" s="47"/>
      <c r="Z190" s="47"/>
      <c r="AA190" s="47"/>
    </row>
    <row r="191" spans="16:27" s="46" customFormat="1" ht="10.5" customHeight="1">
      <c r="P191" s="44"/>
      <c r="Q191" s="44"/>
      <c r="R191" s="44"/>
      <c r="U191" s="44"/>
      <c r="V191" s="45"/>
      <c r="Y191" s="47"/>
      <c r="Z191" s="47"/>
      <c r="AA191" s="47"/>
    </row>
    <row r="192" spans="16:27" s="46" customFormat="1" ht="10.5" customHeight="1">
      <c r="P192" s="44"/>
      <c r="Q192" s="44"/>
      <c r="R192" s="44"/>
      <c r="U192" s="44"/>
      <c r="V192" s="45"/>
      <c r="Y192" s="47"/>
      <c r="Z192" s="47"/>
      <c r="AA192" s="47"/>
    </row>
    <row r="193" spans="16:27" s="46" customFormat="1" ht="10.5" customHeight="1">
      <c r="P193" s="44"/>
      <c r="Q193" s="44"/>
      <c r="R193" s="44"/>
      <c r="U193" s="44"/>
      <c r="V193" s="45"/>
      <c r="Y193" s="47"/>
      <c r="Z193" s="47"/>
      <c r="AA193" s="47"/>
    </row>
    <row r="194" spans="16:27" s="46" customFormat="1" ht="10.5" customHeight="1">
      <c r="P194" s="44"/>
      <c r="Q194" s="44"/>
      <c r="R194" s="44"/>
      <c r="U194" s="44"/>
      <c r="V194" s="45"/>
      <c r="Y194" s="47"/>
      <c r="Z194" s="47"/>
      <c r="AA194" s="47"/>
    </row>
    <row r="195" spans="16:27" s="46" customFormat="1" ht="10.5" customHeight="1">
      <c r="P195" s="44"/>
      <c r="Q195" s="44"/>
      <c r="R195" s="44"/>
      <c r="U195" s="44"/>
      <c r="V195" s="45"/>
      <c r="Y195" s="47"/>
      <c r="Z195" s="47"/>
      <c r="AA195" s="47"/>
    </row>
    <row r="196" spans="16:27" s="46" customFormat="1" ht="10.5" customHeight="1">
      <c r="P196" s="44"/>
      <c r="Q196" s="44"/>
      <c r="R196" s="44"/>
      <c r="U196" s="44"/>
      <c r="V196" s="45"/>
      <c r="Y196" s="47"/>
      <c r="Z196" s="47"/>
      <c r="AA196" s="47"/>
    </row>
    <row r="197" spans="16:27" s="46" customFormat="1" ht="10.5" customHeight="1">
      <c r="P197" s="44"/>
      <c r="Q197" s="44"/>
      <c r="R197" s="44"/>
      <c r="U197" s="44"/>
      <c r="V197" s="45"/>
      <c r="Y197" s="47"/>
      <c r="Z197" s="47"/>
      <c r="AA197" s="47"/>
    </row>
    <row r="198" spans="16:27" s="46" customFormat="1" ht="10.5" customHeight="1">
      <c r="P198" s="44"/>
      <c r="Q198" s="44"/>
      <c r="R198" s="44"/>
      <c r="U198" s="44"/>
      <c r="V198" s="45"/>
      <c r="Y198" s="47"/>
      <c r="Z198" s="47"/>
      <c r="AA198" s="47"/>
    </row>
    <row r="199" spans="16:27" s="46" customFormat="1" ht="10.5" customHeight="1">
      <c r="P199" s="44"/>
      <c r="Q199" s="44"/>
      <c r="R199" s="44"/>
      <c r="U199" s="44"/>
      <c r="V199" s="45"/>
      <c r="Y199" s="47"/>
      <c r="Z199" s="47"/>
      <c r="AA199" s="47"/>
    </row>
    <row r="200" spans="16:27" s="46" customFormat="1" ht="10.5" customHeight="1">
      <c r="P200" s="44"/>
      <c r="Q200" s="44"/>
      <c r="R200" s="44"/>
      <c r="U200" s="44"/>
      <c r="V200" s="45"/>
      <c r="Y200" s="47"/>
      <c r="Z200" s="47"/>
      <c r="AA200" s="47"/>
    </row>
    <row r="201" spans="16:27" s="46" customFormat="1" ht="10.5" customHeight="1">
      <c r="P201" s="44"/>
      <c r="Q201" s="44"/>
      <c r="R201" s="44"/>
      <c r="U201" s="44"/>
      <c r="V201" s="45"/>
      <c r="Y201" s="47"/>
      <c r="Z201" s="47"/>
      <c r="AA201" s="47"/>
    </row>
    <row r="202" spans="16:27" s="46" customFormat="1" ht="10.5" customHeight="1">
      <c r="P202" s="44"/>
      <c r="Q202" s="44"/>
      <c r="R202" s="44"/>
      <c r="U202" s="44"/>
      <c r="V202" s="45"/>
      <c r="Y202" s="47"/>
      <c r="Z202" s="47"/>
      <c r="AA202" s="47"/>
    </row>
    <row r="203" spans="16:27" s="46" customFormat="1" ht="10.5" customHeight="1">
      <c r="P203" s="44"/>
      <c r="Q203" s="44"/>
      <c r="R203" s="44"/>
      <c r="U203" s="44"/>
      <c r="V203" s="45"/>
      <c r="Y203" s="47"/>
      <c r="Z203" s="47"/>
      <c r="AA203" s="47"/>
    </row>
    <row r="204" spans="16:27" s="46" customFormat="1" ht="10.5" customHeight="1">
      <c r="P204" s="44"/>
      <c r="Q204" s="44"/>
      <c r="R204" s="44"/>
      <c r="U204" s="44"/>
      <c r="V204" s="45"/>
      <c r="Y204" s="47"/>
      <c r="Z204" s="47"/>
      <c r="AA204" s="47"/>
    </row>
    <row r="205" spans="16:27" s="46" customFormat="1" ht="10.5" customHeight="1">
      <c r="P205" s="44"/>
      <c r="Q205" s="44"/>
      <c r="R205" s="44"/>
      <c r="U205" s="44"/>
      <c r="V205" s="45"/>
      <c r="Y205" s="47"/>
      <c r="Z205" s="47"/>
      <c r="AA205" s="47"/>
    </row>
    <row r="206" spans="16:27" s="46" customFormat="1" ht="10.5" customHeight="1">
      <c r="P206" s="44"/>
      <c r="Q206" s="44"/>
      <c r="R206" s="44"/>
      <c r="U206" s="44"/>
      <c r="V206" s="45"/>
      <c r="Y206" s="47"/>
      <c r="Z206" s="47"/>
      <c r="AA206" s="47"/>
    </row>
    <row r="207" spans="16:27" s="46" customFormat="1" ht="10.5" customHeight="1">
      <c r="P207" s="44"/>
      <c r="Q207" s="44"/>
      <c r="R207" s="44"/>
      <c r="U207" s="44"/>
      <c r="V207" s="45"/>
      <c r="Y207" s="47"/>
      <c r="Z207" s="47"/>
      <c r="AA207" s="47"/>
    </row>
    <row r="208" spans="16:27" s="46" customFormat="1" ht="10.5" customHeight="1">
      <c r="P208" s="44"/>
      <c r="Q208" s="44"/>
      <c r="R208" s="44"/>
      <c r="U208" s="44"/>
      <c r="V208" s="45"/>
      <c r="Y208" s="47"/>
      <c r="Z208" s="47"/>
      <c r="AA208" s="47"/>
    </row>
    <row r="209" spans="16:27" s="46" customFormat="1" ht="10.5" customHeight="1">
      <c r="P209" s="44"/>
      <c r="Q209" s="44"/>
      <c r="R209" s="44"/>
      <c r="U209" s="44"/>
      <c r="V209" s="45"/>
      <c r="Y209" s="47"/>
      <c r="Z209" s="47"/>
      <c r="AA209" s="47"/>
    </row>
    <row r="210" spans="16:27" s="46" customFormat="1" ht="10.5" customHeight="1">
      <c r="P210" s="44"/>
      <c r="Q210" s="44"/>
      <c r="R210" s="44"/>
      <c r="U210" s="44"/>
      <c r="V210" s="45"/>
      <c r="Y210" s="47"/>
      <c r="Z210" s="47"/>
      <c r="AA210" s="47"/>
    </row>
    <row r="211" spans="16:27" s="46" customFormat="1" ht="10.5" customHeight="1">
      <c r="P211" s="44"/>
      <c r="Q211" s="44"/>
      <c r="R211" s="44"/>
      <c r="U211" s="44"/>
      <c r="V211" s="45"/>
      <c r="Y211" s="47"/>
      <c r="Z211" s="47"/>
      <c r="AA211" s="47"/>
    </row>
    <row r="212" spans="16:27" s="46" customFormat="1" ht="10.5" customHeight="1">
      <c r="P212" s="44"/>
      <c r="Q212" s="44"/>
      <c r="R212" s="44"/>
      <c r="U212" s="44"/>
      <c r="V212" s="45"/>
      <c r="Y212" s="47"/>
      <c r="Z212" s="47"/>
      <c r="AA212" s="47"/>
    </row>
    <row r="213" spans="16:27" s="46" customFormat="1" ht="10.5" customHeight="1">
      <c r="P213" s="44"/>
      <c r="Q213" s="44"/>
      <c r="R213" s="44"/>
      <c r="U213" s="44"/>
      <c r="V213" s="45"/>
      <c r="Y213" s="47"/>
      <c r="Z213" s="47"/>
      <c r="AA213" s="47"/>
    </row>
    <row r="214" spans="16:27" s="46" customFormat="1" ht="10.5" customHeight="1">
      <c r="P214" s="44"/>
      <c r="Q214" s="44"/>
      <c r="R214" s="44"/>
      <c r="U214" s="44"/>
      <c r="V214" s="45"/>
      <c r="Y214" s="47"/>
      <c r="Z214" s="47"/>
      <c r="AA214" s="47"/>
    </row>
    <row r="215" spans="16:27" s="46" customFormat="1" ht="10.5" customHeight="1">
      <c r="P215" s="44"/>
      <c r="Q215" s="44"/>
      <c r="R215" s="44"/>
      <c r="U215" s="44"/>
      <c r="V215" s="45"/>
      <c r="Y215" s="47"/>
      <c r="Z215" s="47"/>
      <c r="AA215" s="47"/>
    </row>
    <row r="216" spans="16:27" s="46" customFormat="1" ht="10.5" customHeight="1">
      <c r="P216" s="44"/>
      <c r="Q216" s="44"/>
      <c r="R216" s="44"/>
      <c r="U216" s="44"/>
      <c r="V216" s="45"/>
      <c r="Y216" s="47"/>
      <c r="Z216" s="47"/>
      <c r="AA216" s="47"/>
    </row>
    <row r="217" spans="16:27" s="46" customFormat="1" ht="10.5" customHeight="1">
      <c r="P217" s="44"/>
      <c r="Q217" s="44"/>
      <c r="R217" s="44"/>
      <c r="U217" s="44"/>
      <c r="V217" s="45"/>
      <c r="Y217" s="47"/>
      <c r="Z217" s="47"/>
      <c r="AA217" s="47"/>
    </row>
    <row r="218" spans="16:27" s="46" customFormat="1" ht="10.5" customHeight="1">
      <c r="P218" s="44"/>
      <c r="Q218" s="44"/>
      <c r="R218" s="44"/>
      <c r="U218" s="44"/>
      <c r="V218" s="45"/>
      <c r="Y218" s="47"/>
      <c r="Z218" s="47"/>
      <c r="AA218" s="47"/>
    </row>
    <row r="219" spans="16:27" s="46" customFormat="1" ht="10.5" customHeight="1">
      <c r="P219" s="44"/>
      <c r="Q219" s="44"/>
      <c r="R219" s="44"/>
      <c r="U219" s="44"/>
      <c r="V219" s="45"/>
      <c r="Y219" s="47"/>
      <c r="Z219" s="47"/>
      <c r="AA219" s="47"/>
    </row>
    <row r="220" spans="16:27" s="46" customFormat="1" ht="10.5" customHeight="1">
      <c r="P220" s="44"/>
      <c r="Q220" s="44"/>
      <c r="R220" s="44"/>
      <c r="U220" s="44"/>
      <c r="V220" s="45"/>
      <c r="Y220" s="47"/>
      <c r="Z220" s="47"/>
      <c r="AA220" s="47"/>
    </row>
    <row r="221" spans="16:27" s="46" customFormat="1" ht="10.5" customHeight="1">
      <c r="P221" s="44"/>
      <c r="Q221" s="44"/>
      <c r="R221" s="44"/>
      <c r="U221" s="44"/>
      <c r="V221" s="45"/>
      <c r="Y221" s="47"/>
      <c r="Z221" s="47"/>
      <c r="AA221" s="47"/>
    </row>
    <row r="222" spans="16:27" s="46" customFormat="1" ht="10.5" customHeight="1">
      <c r="P222" s="44"/>
      <c r="Q222" s="44"/>
      <c r="R222" s="44"/>
      <c r="U222" s="44"/>
      <c r="V222" s="45"/>
      <c r="Y222" s="47"/>
      <c r="Z222" s="47"/>
      <c r="AA222" s="47"/>
    </row>
    <row r="223" spans="16:27" s="46" customFormat="1" ht="10.5" customHeight="1">
      <c r="P223" s="44"/>
      <c r="Q223" s="44"/>
      <c r="R223" s="44"/>
      <c r="U223" s="44"/>
      <c r="V223" s="45"/>
      <c r="Y223" s="47"/>
      <c r="Z223" s="47"/>
      <c r="AA223" s="47"/>
    </row>
    <row r="224" spans="16:27" s="46" customFormat="1" ht="10.5" customHeight="1">
      <c r="P224" s="44"/>
      <c r="Q224" s="44"/>
      <c r="R224" s="44"/>
      <c r="U224" s="44"/>
      <c r="V224" s="45"/>
      <c r="Y224" s="47"/>
      <c r="Z224" s="47"/>
      <c r="AA224" s="47"/>
    </row>
    <row r="225" spans="16:27" s="46" customFormat="1" ht="10.5" customHeight="1">
      <c r="P225" s="44"/>
      <c r="Q225" s="44"/>
      <c r="R225" s="44"/>
      <c r="U225" s="44"/>
      <c r="V225" s="45"/>
      <c r="Y225" s="47"/>
      <c r="Z225" s="47"/>
      <c r="AA225" s="47"/>
    </row>
    <row r="226" spans="16:27" s="46" customFormat="1" ht="10.5" customHeight="1">
      <c r="P226" s="44"/>
      <c r="Q226" s="44"/>
      <c r="R226" s="44"/>
      <c r="U226" s="44"/>
      <c r="V226" s="45"/>
      <c r="Y226" s="47"/>
      <c r="Z226" s="47"/>
      <c r="AA226" s="47"/>
    </row>
    <row r="227" spans="16:27" s="46" customFormat="1" ht="10.5" customHeight="1">
      <c r="P227" s="44"/>
      <c r="Q227" s="44"/>
      <c r="R227" s="44"/>
      <c r="U227" s="44"/>
      <c r="V227" s="45"/>
      <c r="Y227" s="47"/>
      <c r="Z227" s="47"/>
      <c r="AA227" s="47"/>
    </row>
    <row r="228" spans="16:27" s="46" customFormat="1" ht="10.5" customHeight="1">
      <c r="P228" s="44"/>
      <c r="Q228" s="44"/>
      <c r="R228" s="44"/>
      <c r="U228" s="44"/>
      <c r="V228" s="45"/>
      <c r="Y228" s="47"/>
      <c r="Z228" s="47"/>
      <c r="AA228" s="47"/>
    </row>
    <row r="229" spans="16:27" s="46" customFormat="1" ht="10.5" customHeight="1">
      <c r="P229" s="44"/>
      <c r="Q229" s="44"/>
      <c r="R229" s="44"/>
      <c r="U229" s="44"/>
      <c r="V229" s="45"/>
      <c r="Y229" s="47"/>
      <c r="Z229" s="47"/>
      <c r="AA229" s="47"/>
    </row>
    <row r="230" spans="16:27" s="46" customFormat="1" ht="10.5" customHeight="1">
      <c r="P230" s="44"/>
      <c r="Q230" s="44"/>
      <c r="R230" s="44"/>
      <c r="U230" s="44"/>
      <c r="V230" s="45"/>
      <c r="Y230" s="47"/>
      <c r="Z230" s="47"/>
      <c r="AA230" s="47"/>
    </row>
    <row r="231" spans="16:27" s="46" customFormat="1" ht="10.5" customHeight="1">
      <c r="P231" s="44"/>
      <c r="Q231" s="44"/>
      <c r="R231" s="44"/>
      <c r="U231" s="44"/>
      <c r="V231" s="45"/>
      <c r="Y231" s="47"/>
      <c r="Z231" s="47"/>
      <c r="AA231" s="47"/>
    </row>
    <row r="232" spans="16:27" s="46" customFormat="1" ht="10.5" customHeight="1">
      <c r="P232" s="44"/>
      <c r="Q232" s="44"/>
      <c r="R232" s="44"/>
      <c r="U232" s="44"/>
      <c r="V232" s="45"/>
      <c r="Y232" s="47"/>
      <c r="Z232" s="47"/>
      <c r="AA232" s="47"/>
    </row>
    <row r="233" spans="16:27" s="46" customFormat="1" ht="10.5" customHeight="1">
      <c r="P233" s="44"/>
      <c r="Q233" s="44"/>
      <c r="R233" s="44"/>
      <c r="U233" s="44"/>
      <c r="V233" s="45"/>
      <c r="Y233" s="47"/>
      <c r="Z233" s="47"/>
      <c r="AA233" s="47"/>
    </row>
    <row r="234" spans="16:27" s="46" customFormat="1" ht="10.5" customHeight="1">
      <c r="P234" s="44"/>
      <c r="Q234" s="44"/>
      <c r="R234" s="44"/>
      <c r="U234" s="44"/>
      <c r="V234" s="45"/>
      <c r="Y234" s="47"/>
      <c r="Z234" s="47"/>
      <c r="AA234" s="47"/>
    </row>
    <row r="235" spans="16:27" s="46" customFormat="1" ht="10.5" customHeight="1">
      <c r="P235" s="44"/>
      <c r="Q235" s="44"/>
      <c r="R235" s="44"/>
      <c r="U235" s="44"/>
      <c r="V235" s="45"/>
      <c r="Y235" s="47"/>
      <c r="Z235" s="47"/>
      <c r="AA235" s="47"/>
    </row>
    <row r="236" spans="16:27" s="46" customFormat="1" ht="10.5" customHeight="1">
      <c r="P236" s="44"/>
      <c r="Q236" s="44"/>
      <c r="R236" s="44"/>
      <c r="U236" s="44"/>
      <c r="V236" s="45"/>
      <c r="Y236" s="47"/>
      <c r="Z236" s="47"/>
      <c r="AA236" s="47"/>
    </row>
    <row r="237" spans="16:27" s="46" customFormat="1" ht="10.5" customHeight="1">
      <c r="P237" s="44"/>
      <c r="Q237" s="44"/>
      <c r="R237" s="44"/>
      <c r="U237" s="44"/>
      <c r="V237" s="45"/>
      <c r="Y237" s="47"/>
      <c r="Z237" s="47"/>
      <c r="AA237" s="47"/>
    </row>
    <row r="238" spans="16:27" s="46" customFormat="1" ht="10.5" customHeight="1">
      <c r="P238" s="44"/>
      <c r="Q238" s="44"/>
      <c r="R238" s="44"/>
      <c r="U238" s="44"/>
      <c r="V238" s="45"/>
      <c r="Y238" s="47"/>
      <c r="Z238" s="47"/>
      <c r="AA238" s="47"/>
    </row>
    <row r="239" spans="16:27" s="46" customFormat="1" ht="10.5" customHeight="1">
      <c r="P239" s="44"/>
      <c r="Q239" s="44"/>
      <c r="R239" s="44"/>
      <c r="U239" s="44"/>
      <c r="V239" s="45"/>
      <c r="Y239" s="47"/>
      <c r="Z239" s="47"/>
      <c r="AA239" s="47"/>
    </row>
    <row r="240" spans="16:27" s="46" customFormat="1" ht="10.5" customHeight="1">
      <c r="P240" s="44"/>
      <c r="Q240" s="44"/>
      <c r="R240" s="44"/>
      <c r="U240" s="44"/>
      <c r="V240" s="45"/>
      <c r="Y240" s="47"/>
      <c r="Z240" s="47"/>
      <c r="AA240" s="47"/>
    </row>
    <row r="241" spans="16:27" s="46" customFormat="1" ht="10.5" customHeight="1">
      <c r="P241" s="44"/>
      <c r="Q241" s="44"/>
      <c r="R241" s="44"/>
      <c r="U241" s="44"/>
      <c r="V241" s="45"/>
      <c r="Y241" s="47"/>
      <c r="Z241" s="47"/>
      <c r="AA241" s="47"/>
    </row>
    <row r="242" spans="16:27" s="46" customFormat="1" ht="10.5" customHeight="1">
      <c r="P242" s="44"/>
      <c r="Q242" s="44"/>
      <c r="R242" s="44"/>
      <c r="U242" s="44"/>
      <c r="V242" s="45"/>
      <c r="Y242" s="47"/>
      <c r="Z242" s="47"/>
      <c r="AA242" s="47"/>
    </row>
    <row r="243" spans="16:27" s="46" customFormat="1" ht="10.5" customHeight="1">
      <c r="P243" s="44"/>
      <c r="Q243" s="44"/>
      <c r="R243" s="44"/>
      <c r="U243" s="44"/>
      <c r="V243" s="45"/>
      <c r="Y243" s="47"/>
      <c r="Z243" s="47"/>
      <c r="AA243" s="47"/>
    </row>
    <row r="244" spans="16:27" s="46" customFormat="1" ht="10.5" customHeight="1">
      <c r="P244" s="44"/>
      <c r="Q244" s="44"/>
      <c r="R244" s="44"/>
      <c r="U244" s="44"/>
      <c r="V244" s="45"/>
      <c r="Y244" s="47"/>
      <c r="Z244" s="47"/>
      <c r="AA244" s="47"/>
    </row>
    <row r="245" spans="16:27" s="46" customFormat="1" ht="10.5" customHeight="1">
      <c r="P245" s="44"/>
      <c r="Q245" s="44"/>
      <c r="R245" s="44"/>
      <c r="U245" s="44"/>
      <c r="V245" s="45"/>
      <c r="Y245" s="47"/>
      <c r="Z245" s="47"/>
      <c r="AA245" s="47"/>
    </row>
    <row r="246" spans="16:27" s="46" customFormat="1" ht="10.5" customHeight="1">
      <c r="P246" s="44"/>
      <c r="Q246" s="44"/>
      <c r="R246" s="44"/>
      <c r="U246" s="44"/>
      <c r="V246" s="45"/>
      <c r="Y246" s="47"/>
      <c r="Z246" s="47"/>
      <c r="AA246" s="47"/>
    </row>
    <row r="247" spans="16:27" s="46" customFormat="1" ht="10.5" customHeight="1">
      <c r="P247" s="44"/>
      <c r="Q247" s="44"/>
      <c r="R247" s="44"/>
      <c r="U247" s="44"/>
      <c r="V247" s="45"/>
      <c r="Y247" s="47"/>
      <c r="Z247" s="47"/>
      <c r="AA247" s="47"/>
    </row>
    <row r="248" spans="16:27" s="46" customFormat="1" ht="10.5" customHeight="1">
      <c r="P248" s="44"/>
      <c r="Q248" s="44"/>
      <c r="R248" s="44"/>
      <c r="U248" s="44"/>
      <c r="V248" s="45"/>
      <c r="Y248" s="47"/>
      <c r="Z248" s="47"/>
      <c r="AA248" s="47"/>
    </row>
    <row r="249" spans="16:27" s="46" customFormat="1" ht="10.5" customHeight="1">
      <c r="P249" s="44"/>
      <c r="Q249" s="44"/>
      <c r="R249" s="44"/>
      <c r="U249" s="44"/>
      <c r="V249" s="45"/>
      <c r="Y249" s="47"/>
      <c r="Z249" s="47"/>
      <c r="AA249" s="47"/>
    </row>
    <row r="250" spans="16:27" s="46" customFormat="1" ht="10.5" customHeight="1">
      <c r="P250" s="44"/>
      <c r="Q250" s="44"/>
      <c r="R250" s="44"/>
      <c r="U250" s="44"/>
      <c r="V250" s="45"/>
      <c r="Y250" s="47"/>
      <c r="Z250" s="47"/>
      <c r="AA250" s="47"/>
    </row>
    <row r="251" spans="16:27" s="46" customFormat="1" ht="10.5" customHeight="1">
      <c r="P251" s="44"/>
      <c r="Q251" s="44"/>
      <c r="R251" s="44"/>
      <c r="U251" s="44"/>
      <c r="V251" s="45"/>
      <c r="Y251" s="47"/>
      <c r="Z251" s="47"/>
      <c r="AA251" s="47"/>
    </row>
    <row r="252" spans="16:27" s="46" customFormat="1" ht="10.5" customHeight="1">
      <c r="P252" s="44"/>
      <c r="Q252" s="44"/>
      <c r="R252" s="44"/>
      <c r="U252" s="44"/>
      <c r="V252" s="45"/>
      <c r="Y252" s="47"/>
      <c r="Z252" s="47"/>
      <c r="AA252" s="47"/>
    </row>
    <row r="253" spans="16:27" s="46" customFormat="1" ht="10.5" customHeight="1">
      <c r="P253" s="44"/>
      <c r="Q253" s="44"/>
      <c r="R253" s="44"/>
      <c r="U253" s="44"/>
      <c r="V253" s="45"/>
      <c r="Y253" s="47"/>
      <c r="Z253" s="47"/>
      <c r="AA253" s="47"/>
    </row>
    <row r="254" spans="16:27" s="46" customFormat="1" ht="10.5" customHeight="1">
      <c r="P254" s="44"/>
      <c r="Q254" s="44"/>
      <c r="R254" s="44"/>
      <c r="U254" s="44"/>
      <c r="V254" s="45"/>
      <c r="Y254" s="47"/>
      <c r="Z254" s="47"/>
      <c r="AA254" s="47"/>
    </row>
    <row r="255" spans="16:27" s="46" customFormat="1" ht="10.5" customHeight="1">
      <c r="P255" s="44"/>
      <c r="Q255" s="44"/>
      <c r="R255" s="44"/>
      <c r="U255" s="44"/>
      <c r="V255" s="45"/>
      <c r="Y255" s="47"/>
      <c r="Z255" s="47"/>
      <c r="AA255" s="47"/>
    </row>
    <row r="256" spans="16:27" s="46" customFormat="1" ht="10.5" customHeight="1">
      <c r="P256" s="44"/>
      <c r="Q256" s="44"/>
      <c r="R256" s="44"/>
      <c r="U256" s="44"/>
      <c r="V256" s="45"/>
      <c r="Y256" s="47"/>
      <c r="Z256" s="47"/>
      <c r="AA256" s="47"/>
    </row>
    <row r="257" spans="16:27" s="46" customFormat="1" ht="10.5" customHeight="1">
      <c r="P257" s="44"/>
      <c r="Q257" s="44"/>
      <c r="R257" s="44"/>
      <c r="U257" s="44"/>
      <c r="V257" s="45"/>
      <c r="Y257" s="47"/>
      <c r="Z257" s="47"/>
      <c r="AA257" s="47"/>
    </row>
    <row r="258" spans="16:27" s="46" customFormat="1" ht="10.5" customHeight="1">
      <c r="P258" s="44"/>
      <c r="Q258" s="44"/>
      <c r="R258" s="44"/>
      <c r="U258" s="44"/>
      <c r="V258" s="45"/>
      <c r="Y258" s="47"/>
      <c r="Z258" s="47"/>
      <c r="AA258" s="47"/>
    </row>
    <row r="259" spans="16:27" s="46" customFormat="1" ht="10.5" customHeight="1">
      <c r="P259" s="44"/>
      <c r="Q259" s="44"/>
      <c r="R259" s="44"/>
      <c r="U259" s="44"/>
      <c r="V259" s="45"/>
      <c r="Y259" s="47"/>
      <c r="Z259" s="47"/>
      <c r="AA259" s="47"/>
    </row>
    <row r="260" spans="16:27" s="46" customFormat="1" ht="10.5" customHeight="1">
      <c r="P260" s="44"/>
      <c r="Q260" s="44"/>
      <c r="R260" s="44"/>
      <c r="U260" s="44"/>
      <c r="V260" s="45"/>
      <c r="Y260" s="47"/>
      <c r="Z260" s="47"/>
      <c r="AA260" s="47"/>
    </row>
    <row r="261" spans="16:27" s="46" customFormat="1" ht="10.5" customHeight="1">
      <c r="P261" s="44"/>
      <c r="Q261" s="44"/>
      <c r="R261" s="44"/>
      <c r="U261" s="44"/>
      <c r="V261" s="45"/>
      <c r="Y261" s="47"/>
      <c r="Z261" s="47"/>
      <c r="AA261" s="47"/>
    </row>
    <row r="262" spans="16:27" s="46" customFormat="1" ht="10.5" customHeight="1">
      <c r="P262" s="44"/>
      <c r="Q262" s="44"/>
      <c r="R262" s="44"/>
      <c r="U262" s="44"/>
      <c r="V262" s="45"/>
      <c r="Y262" s="47"/>
      <c r="Z262" s="47"/>
      <c r="AA262" s="47"/>
    </row>
    <row r="263" spans="16:27" s="46" customFormat="1" ht="10.5" customHeight="1">
      <c r="P263" s="44"/>
      <c r="Q263" s="44"/>
      <c r="R263" s="44"/>
      <c r="U263" s="44"/>
      <c r="V263" s="45"/>
      <c r="Y263" s="47"/>
      <c r="Z263" s="47"/>
      <c r="AA263" s="47"/>
    </row>
    <row r="264" spans="16:27" s="46" customFormat="1" ht="10.5" customHeight="1">
      <c r="P264" s="44"/>
      <c r="Q264" s="44"/>
      <c r="R264" s="44"/>
      <c r="U264" s="44"/>
      <c r="V264" s="45"/>
      <c r="Y264" s="47"/>
      <c r="Z264" s="47"/>
      <c r="AA264" s="47"/>
    </row>
    <row r="265" spans="16:27" s="46" customFormat="1" ht="10.5" customHeight="1">
      <c r="P265" s="44"/>
      <c r="Q265" s="44"/>
      <c r="R265" s="44"/>
      <c r="U265" s="44"/>
      <c r="V265" s="45"/>
      <c r="Y265" s="47"/>
      <c r="Z265" s="47"/>
      <c r="AA265" s="47"/>
    </row>
    <row r="266" spans="16:27" s="46" customFormat="1" ht="10.5" customHeight="1">
      <c r="P266" s="44"/>
      <c r="Q266" s="44"/>
      <c r="R266" s="44"/>
      <c r="U266" s="44"/>
      <c r="V266" s="45"/>
      <c r="Y266" s="47"/>
      <c r="Z266" s="47"/>
      <c r="AA266" s="47"/>
    </row>
    <row r="267" spans="16:27" s="46" customFormat="1" ht="10.5" customHeight="1">
      <c r="P267" s="44"/>
      <c r="Q267" s="44"/>
      <c r="R267" s="44"/>
      <c r="U267" s="44"/>
      <c r="V267" s="45"/>
      <c r="Y267" s="47"/>
      <c r="Z267" s="47"/>
      <c r="AA267" s="47"/>
    </row>
    <row r="268" spans="16:27" s="46" customFormat="1" ht="10.5" customHeight="1">
      <c r="P268" s="44"/>
      <c r="Q268" s="44"/>
      <c r="R268" s="44"/>
      <c r="U268" s="44"/>
      <c r="V268" s="45"/>
      <c r="Y268" s="47"/>
      <c r="Z268" s="47"/>
      <c r="AA268" s="47"/>
    </row>
    <row r="269" spans="16:27" s="46" customFormat="1" ht="10.5" customHeight="1">
      <c r="P269" s="44"/>
      <c r="Q269" s="44"/>
      <c r="R269" s="44"/>
      <c r="U269" s="44"/>
      <c r="V269" s="45"/>
      <c r="Y269" s="47"/>
      <c r="Z269" s="47"/>
      <c r="AA269" s="47"/>
    </row>
    <row r="270" spans="16:27" s="46" customFormat="1" ht="10.5" customHeight="1">
      <c r="P270" s="44"/>
      <c r="Q270" s="44"/>
      <c r="R270" s="44"/>
      <c r="U270" s="44"/>
      <c r="V270" s="45"/>
      <c r="Y270" s="47"/>
      <c r="Z270" s="47"/>
      <c r="AA270" s="47"/>
    </row>
    <row r="271" spans="16:27" s="46" customFormat="1" ht="10.5" customHeight="1">
      <c r="P271" s="44"/>
      <c r="Q271" s="44"/>
      <c r="R271" s="44"/>
      <c r="U271" s="44"/>
      <c r="V271" s="45"/>
      <c r="Y271" s="47"/>
      <c r="Z271" s="47"/>
      <c r="AA271" s="47"/>
    </row>
    <row r="272" spans="16:27" s="46" customFormat="1" ht="10.5" customHeight="1">
      <c r="P272" s="44"/>
      <c r="Q272" s="44"/>
      <c r="R272" s="44"/>
      <c r="U272" s="44"/>
      <c r="V272" s="45"/>
      <c r="Y272" s="47"/>
      <c r="Z272" s="47"/>
      <c r="AA272" s="47"/>
    </row>
    <row r="273" spans="16:27" s="46" customFormat="1" ht="10.5" customHeight="1">
      <c r="P273" s="44"/>
      <c r="Q273" s="44"/>
      <c r="R273" s="44"/>
      <c r="U273" s="44"/>
      <c r="V273" s="45"/>
      <c r="Y273" s="47"/>
      <c r="Z273" s="47"/>
      <c r="AA273" s="47"/>
    </row>
    <row r="274" spans="16:27" s="46" customFormat="1" ht="10.5" customHeight="1">
      <c r="P274" s="44"/>
      <c r="Q274" s="44"/>
      <c r="R274" s="44"/>
      <c r="U274" s="44"/>
      <c r="V274" s="45"/>
      <c r="Y274" s="47"/>
      <c r="Z274" s="47"/>
      <c r="AA274" s="47"/>
    </row>
    <row r="275" spans="16:27" s="46" customFormat="1" ht="10.5" customHeight="1">
      <c r="P275" s="44"/>
      <c r="Q275" s="44"/>
      <c r="R275" s="44"/>
      <c r="U275" s="44"/>
      <c r="V275" s="45"/>
      <c r="Y275" s="47"/>
      <c r="Z275" s="47"/>
      <c r="AA275" s="47"/>
    </row>
    <row r="276" spans="16:27" s="46" customFormat="1" ht="10.5" customHeight="1">
      <c r="P276" s="44"/>
      <c r="Q276" s="44"/>
      <c r="R276" s="44"/>
      <c r="U276" s="44"/>
      <c r="V276" s="45"/>
      <c r="Y276" s="47"/>
      <c r="Z276" s="47"/>
      <c r="AA276" s="47"/>
    </row>
    <row r="277" spans="16:27" s="46" customFormat="1" ht="10.5" customHeight="1">
      <c r="P277" s="44"/>
      <c r="Q277" s="44"/>
      <c r="R277" s="44"/>
      <c r="U277" s="44"/>
      <c r="V277" s="45"/>
      <c r="Y277" s="47"/>
      <c r="Z277" s="47"/>
      <c r="AA277" s="47"/>
    </row>
    <row r="278" spans="16:27" s="46" customFormat="1" ht="10.5" customHeight="1">
      <c r="P278" s="44"/>
      <c r="Q278" s="44"/>
      <c r="R278" s="44"/>
      <c r="U278" s="44"/>
      <c r="V278" s="45"/>
      <c r="Y278" s="47"/>
      <c r="Z278" s="47"/>
      <c r="AA278" s="47"/>
    </row>
    <row r="279" spans="16:27" s="46" customFormat="1" ht="10.5" customHeight="1">
      <c r="P279" s="44"/>
      <c r="Q279" s="44"/>
      <c r="R279" s="44"/>
      <c r="U279" s="44"/>
      <c r="V279" s="45"/>
      <c r="Y279" s="47"/>
      <c r="Z279" s="47"/>
      <c r="AA279" s="47"/>
    </row>
    <row r="280" spans="16:27" s="46" customFormat="1" ht="10.5" customHeight="1">
      <c r="P280" s="44"/>
      <c r="Q280" s="44"/>
      <c r="R280" s="44"/>
      <c r="U280" s="44"/>
      <c r="V280" s="45"/>
      <c r="Y280" s="47"/>
      <c r="Z280" s="47"/>
      <c r="AA280" s="47"/>
    </row>
    <row r="281" spans="16:27" s="46" customFormat="1" ht="10.5" customHeight="1">
      <c r="P281" s="44"/>
      <c r="Q281" s="44"/>
      <c r="R281" s="44"/>
      <c r="U281" s="44"/>
      <c r="V281" s="45"/>
      <c r="Y281" s="47"/>
      <c r="Z281" s="47"/>
      <c r="AA281" s="47"/>
    </row>
    <row r="282" spans="16:27" s="46" customFormat="1" ht="10.5" customHeight="1">
      <c r="P282" s="44"/>
      <c r="Q282" s="44"/>
      <c r="R282" s="44"/>
      <c r="U282" s="44"/>
      <c r="V282" s="45"/>
      <c r="Y282" s="47"/>
      <c r="Z282" s="47"/>
      <c r="AA282" s="47"/>
    </row>
    <row r="283" spans="16:27" s="46" customFormat="1" ht="10.5" customHeight="1">
      <c r="P283" s="44"/>
      <c r="Q283" s="44"/>
      <c r="R283" s="44"/>
      <c r="U283" s="44"/>
      <c r="V283" s="45"/>
      <c r="Y283" s="47"/>
      <c r="Z283" s="47"/>
      <c r="AA283" s="47"/>
    </row>
    <row r="284" spans="16:27" s="46" customFormat="1" ht="10.5" customHeight="1">
      <c r="P284" s="44"/>
      <c r="Q284" s="44"/>
      <c r="R284" s="44"/>
      <c r="U284" s="44"/>
      <c r="V284" s="45"/>
      <c r="Y284" s="47"/>
      <c r="Z284" s="47"/>
      <c r="AA284" s="47"/>
    </row>
    <row r="285" spans="16:27" s="46" customFormat="1" ht="10.5" customHeight="1">
      <c r="P285" s="44"/>
      <c r="Q285" s="44"/>
      <c r="R285" s="44"/>
      <c r="U285" s="44"/>
      <c r="V285" s="45"/>
      <c r="Y285" s="47"/>
      <c r="Z285" s="47"/>
      <c r="AA285" s="47"/>
    </row>
    <row r="286" spans="16:27" s="46" customFormat="1" ht="10.5" customHeight="1">
      <c r="P286" s="44"/>
      <c r="Q286" s="44"/>
      <c r="R286" s="44"/>
      <c r="U286" s="44"/>
      <c r="V286" s="45"/>
      <c r="Y286" s="47"/>
      <c r="Z286" s="47"/>
      <c r="AA286" s="47"/>
    </row>
    <row r="287" spans="16:27" s="46" customFormat="1" ht="10.5" customHeight="1">
      <c r="P287" s="44"/>
      <c r="Q287" s="44"/>
      <c r="R287" s="44"/>
      <c r="U287" s="44"/>
      <c r="V287" s="45"/>
      <c r="Y287" s="47"/>
      <c r="Z287" s="47"/>
      <c r="AA287" s="47"/>
    </row>
    <row r="288" spans="16:27" s="46" customFormat="1" ht="10.5" customHeight="1">
      <c r="P288" s="44"/>
      <c r="Q288" s="44"/>
      <c r="R288" s="44"/>
      <c r="U288" s="44"/>
      <c r="V288" s="45"/>
      <c r="Y288" s="47"/>
      <c r="Z288" s="47"/>
      <c r="AA288" s="47"/>
    </row>
    <row r="289" spans="16:27" s="46" customFormat="1" ht="10.5" customHeight="1">
      <c r="P289" s="44"/>
      <c r="Q289" s="44"/>
      <c r="R289" s="44"/>
      <c r="U289" s="44"/>
      <c r="V289" s="45"/>
      <c r="Y289" s="47"/>
      <c r="Z289" s="47"/>
      <c r="AA289" s="47"/>
    </row>
    <row r="290" spans="16:27" s="46" customFormat="1" ht="10.5" customHeight="1">
      <c r="P290" s="44"/>
      <c r="Q290" s="44"/>
      <c r="R290" s="44"/>
      <c r="U290" s="44"/>
      <c r="V290" s="45"/>
      <c r="Y290" s="47"/>
      <c r="Z290" s="47"/>
      <c r="AA290" s="47"/>
    </row>
    <row r="291" spans="16:27" s="46" customFormat="1" ht="10.5" customHeight="1">
      <c r="P291" s="44"/>
      <c r="Q291" s="44"/>
      <c r="R291" s="44"/>
      <c r="U291" s="44"/>
      <c r="V291" s="45"/>
      <c r="Y291" s="47"/>
      <c r="Z291" s="47"/>
      <c r="AA291" s="47"/>
    </row>
    <row r="292" spans="16:27" s="46" customFormat="1" ht="10.5" customHeight="1">
      <c r="P292" s="44"/>
      <c r="Q292" s="44"/>
      <c r="R292" s="44"/>
      <c r="U292" s="44"/>
      <c r="V292" s="45"/>
      <c r="Y292" s="47"/>
      <c r="Z292" s="47"/>
      <c r="AA292" s="47"/>
    </row>
    <row r="293" spans="16:27" s="46" customFormat="1" ht="10.5" customHeight="1">
      <c r="P293" s="44"/>
      <c r="Q293" s="44"/>
      <c r="R293" s="44"/>
      <c r="U293" s="44"/>
      <c r="V293" s="45"/>
      <c r="Y293" s="47"/>
      <c r="Z293" s="47"/>
      <c r="AA293" s="47"/>
    </row>
    <row r="294" spans="16:27" s="46" customFormat="1" ht="10.5" customHeight="1">
      <c r="P294" s="44"/>
      <c r="Q294" s="44"/>
      <c r="R294" s="44"/>
      <c r="U294" s="44"/>
      <c r="V294" s="45"/>
      <c r="Y294" s="47"/>
      <c r="Z294" s="47"/>
      <c r="AA294" s="47"/>
    </row>
    <row r="295" spans="16:27" s="46" customFormat="1" ht="10.5" customHeight="1">
      <c r="P295" s="44"/>
      <c r="Q295" s="44"/>
      <c r="R295" s="44"/>
      <c r="U295" s="44"/>
      <c r="V295" s="45"/>
      <c r="Y295" s="47"/>
      <c r="Z295" s="47"/>
      <c r="AA295" s="47"/>
    </row>
    <row r="296" spans="16:27" s="46" customFormat="1" ht="10.5" customHeight="1">
      <c r="P296" s="44"/>
      <c r="Q296" s="44"/>
      <c r="R296" s="44"/>
      <c r="U296" s="44"/>
      <c r="V296" s="45"/>
      <c r="Y296" s="47"/>
      <c r="Z296" s="47"/>
      <c r="AA296" s="47"/>
    </row>
    <row r="297" spans="16:27" s="46" customFormat="1" ht="10.5" customHeight="1">
      <c r="P297" s="44"/>
      <c r="Q297" s="44"/>
      <c r="R297" s="44"/>
      <c r="U297" s="44"/>
      <c r="V297" s="45"/>
      <c r="Y297" s="47"/>
      <c r="Z297" s="47"/>
      <c r="AA297" s="47"/>
    </row>
    <row r="298" spans="16:27" s="46" customFormat="1" ht="10.5" customHeight="1">
      <c r="P298" s="44"/>
      <c r="Q298" s="44"/>
      <c r="R298" s="44"/>
      <c r="U298" s="44"/>
      <c r="V298" s="45"/>
      <c r="Y298" s="47"/>
      <c r="Z298" s="47"/>
      <c r="AA298" s="47"/>
    </row>
    <row r="299" spans="16:27" s="46" customFormat="1" ht="10.5" customHeight="1">
      <c r="P299" s="44"/>
      <c r="Q299" s="44"/>
      <c r="R299" s="44"/>
      <c r="U299" s="44"/>
      <c r="V299" s="45"/>
      <c r="Y299" s="47"/>
      <c r="Z299" s="47"/>
      <c r="AA299" s="47"/>
    </row>
    <row r="300" spans="16:27" s="46" customFormat="1" ht="10.5" customHeight="1">
      <c r="P300" s="44"/>
      <c r="Q300" s="44"/>
      <c r="R300" s="44"/>
      <c r="U300" s="44"/>
      <c r="V300" s="45"/>
      <c r="Y300" s="47"/>
      <c r="Z300" s="47"/>
      <c r="AA300" s="47"/>
    </row>
    <row r="301" spans="16:27" s="46" customFormat="1" ht="10.5" customHeight="1">
      <c r="P301" s="44"/>
      <c r="Q301" s="44"/>
      <c r="R301" s="44"/>
      <c r="U301" s="44"/>
      <c r="V301" s="45"/>
      <c r="Y301" s="47"/>
      <c r="Z301" s="47"/>
      <c r="AA301" s="47"/>
    </row>
    <row r="302" spans="16:27" s="46" customFormat="1" ht="10.5" customHeight="1">
      <c r="P302" s="44"/>
      <c r="Q302" s="44"/>
      <c r="R302" s="44"/>
      <c r="U302" s="44"/>
      <c r="V302" s="45"/>
      <c r="Y302" s="47"/>
      <c r="Z302" s="47"/>
      <c r="AA302" s="47"/>
    </row>
    <row r="303" spans="16:27" s="46" customFormat="1" ht="10.5" customHeight="1">
      <c r="P303" s="44"/>
      <c r="Q303" s="44"/>
      <c r="R303" s="44"/>
      <c r="U303" s="44"/>
      <c r="V303" s="45"/>
      <c r="Y303" s="47"/>
      <c r="Z303" s="47"/>
      <c r="AA303" s="47"/>
    </row>
    <row r="304" spans="16:27" s="46" customFormat="1" ht="10.5" customHeight="1">
      <c r="P304" s="44"/>
      <c r="Q304" s="44"/>
      <c r="R304" s="44"/>
      <c r="U304" s="44"/>
      <c r="V304" s="45"/>
      <c r="Y304" s="47"/>
      <c r="Z304" s="47"/>
      <c r="AA304" s="47"/>
    </row>
    <row r="305" spans="16:27" s="46" customFormat="1" ht="10.5" customHeight="1">
      <c r="P305" s="44"/>
      <c r="Q305" s="44"/>
      <c r="R305" s="44"/>
      <c r="U305" s="44"/>
      <c r="V305" s="45"/>
      <c r="Y305" s="47"/>
      <c r="Z305" s="47"/>
      <c r="AA305" s="47"/>
    </row>
    <row r="306" spans="16:27" s="46" customFormat="1" ht="10.5" customHeight="1">
      <c r="P306" s="44"/>
      <c r="Q306" s="44"/>
      <c r="R306" s="44"/>
      <c r="U306" s="44"/>
      <c r="V306" s="45"/>
      <c r="Y306" s="47"/>
      <c r="Z306" s="47"/>
      <c r="AA306" s="47"/>
    </row>
    <row r="307" spans="16:27" s="46" customFormat="1" ht="10.5" customHeight="1">
      <c r="P307" s="44"/>
      <c r="Q307" s="44"/>
      <c r="R307" s="44"/>
      <c r="U307" s="44"/>
      <c r="V307" s="45"/>
      <c r="Y307" s="47"/>
      <c r="Z307" s="47"/>
      <c r="AA307" s="47"/>
    </row>
    <row r="308" spans="16:27" s="46" customFormat="1" ht="10.5" customHeight="1">
      <c r="P308" s="44"/>
      <c r="Q308" s="44"/>
      <c r="R308" s="44"/>
      <c r="U308" s="44"/>
      <c r="V308" s="45"/>
      <c r="Y308" s="47"/>
      <c r="Z308" s="47"/>
      <c r="AA308" s="47"/>
    </row>
    <row r="309" spans="16:27" s="46" customFormat="1" ht="10.5" customHeight="1">
      <c r="P309" s="44"/>
      <c r="Q309" s="44"/>
      <c r="R309" s="44"/>
      <c r="U309" s="44"/>
      <c r="V309" s="45"/>
      <c r="Y309" s="47"/>
      <c r="Z309" s="47"/>
      <c r="AA309" s="47"/>
    </row>
    <row r="310" spans="16:27" s="46" customFormat="1" ht="10.5" customHeight="1">
      <c r="P310" s="44"/>
      <c r="Q310" s="44"/>
      <c r="R310" s="44"/>
      <c r="U310" s="44"/>
      <c r="V310" s="45"/>
      <c r="Y310" s="47"/>
      <c r="Z310" s="47"/>
      <c r="AA310" s="47"/>
    </row>
    <row r="311" spans="16:27" s="46" customFormat="1" ht="10.5" customHeight="1">
      <c r="P311" s="44"/>
      <c r="Q311" s="44"/>
      <c r="R311" s="44"/>
      <c r="U311" s="44"/>
      <c r="V311" s="45"/>
      <c r="Y311" s="47"/>
      <c r="Z311" s="47"/>
      <c r="AA311" s="47"/>
    </row>
    <row r="312" spans="16:27" s="46" customFormat="1" ht="10.5" customHeight="1">
      <c r="P312" s="44"/>
      <c r="Q312" s="44"/>
      <c r="R312" s="44"/>
      <c r="U312" s="44"/>
      <c r="V312" s="45"/>
      <c r="Y312" s="47"/>
      <c r="Z312" s="47"/>
      <c r="AA312" s="47"/>
    </row>
    <row r="313" spans="16:27" s="46" customFormat="1" ht="10.5" customHeight="1">
      <c r="P313" s="44"/>
      <c r="Q313" s="44"/>
      <c r="R313" s="44"/>
      <c r="U313" s="44"/>
      <c r="V313" s="45"/>
      <c r="Y313" s="47"/>
      <c r="Z313" s="47"/>
      <c r="AA313" s="47"/>
    </row>
    <row r="314" spans="16:27" s="46" customFormat="1" ht="10.5" customHeight="1">
      <c r="P314" s="44"/>
      <c r="Q314" s="44"/>
      <c r="R314" s="44"/>
      <c r="U314" s="44"/>
      <c r="V314" s="45"/>
      <c r="Y314" s="47"/>
      <c r="Z314" s="47"/>
      <c r="AA314" s="47"/>
    </row>
    <row r="315" spans="16:27" s="46" customFormat="1" ht="10.5" customHeight="1">
      <c r="P315" s="44"/>
      <c r="Q315" s="44"/>
      <c r="R315" s="44"/>
      <c r="U315" s="44"/>
      <c r="V315" s="45"/>
      <c r="Y315" s="47"/>
      <c r="Z315" s="47"/>
      <c r="AA315" s="47"/>
    </row>
    <row r="316" spans="16:27" s="46" customFormat="1" ht="10.5" customHeight="1">
      <c r="P316" s="44"/>
      <c r="Q316" s="44"/>
      <c r="R316" s="44"/>
      <c r="U316" s="44"/>
      <c r="V316" s="45"/>
      <c r="Y316" s="47"/>
      <c r="Z316" s="47"/>
      <c r="AA316" s="47"/>
    </row>
    <row r="317" spans="16:27" s="46" customFormat="1" ht="10.5" customHeight="1">
      <c r="P317" s="44"/>
      <c r="Q317" s="44"/>
      <c r="R317" s="44"/>
      <c r="U317" s="44"/>
      <c r="V317" s="45"/>
      <c r="Y317" s="47"/>
      <c r="Z317" s="47"/>
      <c r="AA317" s="47"/>
    </row>
    <row r="318" spans="16:27" s="46" customFormat="1" ht="10.5" customHeight="1">
      <c r="P318" s="44"/>
      <c r="Q318" s="44"/>
      <c r="R318" s="44"/>
      <c r="U318" s="44"/>
      <c r="V318" s="45"/>
      <c r="Y318" s="47"/>
      <c r="Z318" s="47"/>
      <c r="AA318" s="47"/>
    </row>
    <row r="319" spans="16:27" s="46" customFormat="1" ht="10.5" customHeight="1">
      <c r="P319" s="44"/>
      <c r="Q319" s="44"/>
      <c r="R319" s="44"/>
      <c r="U319" s="44"/>
      <c r="V319" s="45"/>
      <c r="Y319" s="47"/>
      <c r="Z319" s="47"/>
      <c r="AA319" s="47"/>
    </row>
    <row r="320" spans="16:27" s="46" customFormat="1" ht="10.5" customHeight="1">
      <c r="P320" s="44"/>
      <c r="Q320" s="44"/>
      <c r="R320" s="44"/>
      <c r="U320" s="44"/>
      <c r="V320" s="45"/>
      <c r="Y320" s="47"/>
      <c r="Z320" s="47"/>
      <c r="AA320" s="47"/>
    </row>
    <row r="321" spans="16:27" s="46" customFormat="1" ht="10.5" customHeight="1">
      <c r="P321" s="44"/>
      <c r="Q321" s="44"/>
      <c r="R321" s="44"/>
      <c r="U321" s="44"/>
      <c r="V321" s="45"/>
      <c r="Y321" s="47"/>
      <c r="Z321" s="47"/>
      <c r="AA321" s="47"/>
    </row>
    <row r="322" spans="16:27" s="46" customFormat="1" ht="10.5" customHeight="1">
      <c r="P322" s="44"/>
      <c r="Q322" s="44"/>
      <c r="R322" s="44"/>
      <c r="U322" s="44"/>
      <c r="V322" s="45"/>
      <c r="Y322" s="47"/>
      <c r="Z322" s="47"/>
      <c r="AA322" s="47"/>
    </row>
    <row r="323" spans="16:27" s="46" customFormat="1" ht="10.5" customHeight="1">
      <c r="P323" s="44"/>
      <c r="Q323" s="44"/>
      <c r="R323" s="44"/>
      <c r="U323" s="44"/>
      <c r="V323" s="45"/>
      <c r="Y323" s="47"/>
      <c r="Z323" s="47"/>
      <c r="AA323" s="47"/>
    </row>
    <row r="324" spans="16:27" s="46" customFormat="1" ht="10.5" customHeight="1">
      <c r="P324" s="44"/>
      <c r="Q324" s="44"/>
      <c r="R324" s="44"/>
      <c r="U324" s="44"/>
      <c r="V324" s="45"/>
      <c r="Y324" s="47"/>
      <c r="Z324" s="47"/>
      <c r="AA324" s="47"/>
    </row>
    <row r="325" spans="16:27" s="46" customFormat="1" ht="10.5" customHeight="1">
      <c r="P325" s="44"/>
      <c r="Q325" s="44"/>
      <c r="R325" s="44"/>
      <c r="U325" s="44"/>
      <c r="V325" s="45"/>
      <c r="Y325" s="47"/>
      <c r="Z325" s="47"/>
      <c r="AA325" s="47"/>
    </row>
    <row r="326" spans="16:27" s="46" customFormat="1" ht="10.5" customHeight="1">
      <c r="P326" s="44"/>
      <c r="Q326" s="44"/>
      <c r="R326" s="44"/>
      <c r="U326" s="44"/>
      <c r="V326" s="45"/>
      <c r="Y326" s="47"/>
      <c r="Z326" s="47"/>
      <c r="AA326" s="47"/>
    </row>
    <row r="327" spans="16:27" s="46" customFormat="1" ht="10.5" customHeight="1">
      <c r="P327" s="44"/>
      <c r="Q327" s="44"/>
      <c r="R327" s="44"/>
      <c r="U327" s="44"/>
      <c r="V327" s="45"/>
      <c r="Y327" s="47"/>
      <c r="Z327" s="47"/>
      <c r="AA327" s="47"/>
    </row>
    <row r="328" spans="16:27" s="46" customFormat="1" ht="10.5" customHeight="1">
      <c r="P328" s="44"/>
      <c r="Q328" s="44"/>
      <c r="R328" s="44"/>
      <c r="U328" s="44"/>
      <c r="V328" s="45"/>
      <c r="Y328" s="47"/>
      <c r="Z328" s="47"/>
      <c r="AA328" s="47"/>
    </row>
    <row r="329" spans="16:27" s="46" customFormat="1" ht="10.5" customHeight="1">
      <c r="P329" s="44"/>
      <c r="Q329" s="44"/>
      <c r="R329" s="44"/>
      <c r="U329" s="44"/>
      <c r="V329" s="45"/>
      <c r="Y329" s="47"/>
      <c r="Z329" s="47"/>
      <c r="AA329" s="47"/>
    </row>
    <row r="330" spans="16:27" s="46" customFormat="1" ht="10.5" customHeight="1">
      <c r="P330" s="44"/>
      <c r="Q330" s="44"/>
      <c r="R330" s="44"/>
      <c r="U330" s="44"/>
      <c r="V330" s="45"/>
      <c r="Y330" s="47"/>
      <c r="Z330" s="47"/>
      <c r="AA330" s="47"/>
    </row>
    <row r="331" spans="16:27" s="46" customFormat="1" ht="10.5" customHeight="1">
      <c r="P331" s="44"/>
      <c r="Q331" s="44"/>
      <c r="R331" s="44"/>
      <c r="U331" s="44"/>
      <c r="V331" s="45"/>
      <c r="Y331" s="47"/>
      <c r="Z331" s="47"/>
      <c r="AA331" s="47"/>
    </row>
    <row r="332" spans="16:27" s="46" customFormat="1" ht="10.5" customHeight="1">
      <c r="P332" s="44"/>
      <c r="Q332" s="44"/>
      <c r="R332" s="44"/>
      <c r="U332" s="44"/>
      <c r="V332" s="45"/>
      <c r="Y332" s="47"/>
      <c r="Z332" s="47"/>
      <c r="AA332" s="47"/>
    </row>
    <row r="333" spans="16:27" s="46" customFormat="1" ht="10.5" customHeight="1">
      <c r="P333" s="44"/>
      <c r="Q333" s="44"/>
      <c r="R333" s="44"/>
      <c r="U333" s="44"/>
      <c r="V333" s="45"/>
      <c r="Y333" s="47"/>
      <c r="Z333" s="47"/>
      <c r="AA333" s="47"/>
    </row>
    <row r="334" spans="16:27" s="46" customFormat="1" ht="10.5" customHeight="1">
      <c r="P334" s="44"/>
      <c r="Q334" s="44"/>
      <c r="R334" s="44"/>
      <c r="U334" s="44"/>
      <c r="V334" s="45"/>
      <c r="Y334" s="47"/>
      <c r="Z334" s="47"/>
      <c r="AA334" s="47"/>
    </row>
    <row r="335" spans="16:27" s="46" customFormat="1" ht="10.5" customHeight="1">
      <c r="P335" s="44"/>
      <c r="Q335" s="44"/>
      <c r="R335" s="44"/>
      <c r="U335" s="44"/>
      <c r="V335" s="45"/>
      <c r="Y335" s="47"/>
      <c r="Z335" s="47"/>
      <c r="AA335" s="47"/>
    </row>
    <row r="336" spans="16:27" s="46" customFormat="1" ht="10.5" customHeight="1">
      <c r="P336" s="44"/>
      <c r="Q336" s="44"/>
      <c r="R336" s="44"/>
      <c r="U336" s="44"/>
      <c r="V336" s="45"/>
      <c r="Y336" s="47"/>
      <c r="Z336" s="47"/>
      <c r="AA336" s="47"/>
    </row>
    <row r="337" spans="16:27" s="46" customFormat="1" ht="10.5" customHeight="1">
      <c r="P337" s="44"/>
      <c r="Q337" s="44"/>
      <c r="R337" s="44"/>
      <c r="U337" s="44"/>
      <c r="V337" s="45"/>
      <c r="Y337" s="47"/>
      <c r="Z337" s="47"/>
      <c r="AA337" s="47"/>
    </row>
    <row r="338" spans="16:27" ht="10.5" customHeight="1"/>
    <row r="339" spans="16:27" ht="10.5" customHeight="1"/>
    <row r="340" spans="16:27" ht="10.5" customHeight="1"/>
    <row r="341" spans="16:27" ht="10.5" customHeight="1"/>
    <row r="342" spans="16:27" ht="10.5" customHeight="1"/>
    <row r="343" spans="16:27" ht="10.5" customHeight="1"/>
    <row r="344" spans="16:27" ht="10.5" customHeight="1"/>
    <row r="345" spans="16:27" ht="10.5" customHeight="1"/>
    <row r="346" spans="16:27" ht="10.5" customHeight="1"/>
    <row r="347" spans="16:27" ht="10.5" customHeight="1"/>
    <row r="348" spans="16:27" ht="10.5" customHeight="1"/>
    <row r="349" spans="16:27" ht="10.5" customHeight="1"/>
    <row r="350" spans="16:27" ht="10.5" customHeight="1"/>
    <row r="351" spans="16:27" ht="10.5" customHeight="1"/>
    <row r="352" spans="16:27"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sheetData>
  <sheetProtection formatCells="0" formatRows="0" insertRows="0" deleteRows="0"/>
  <mergeCells count="12">
    <mergeCell ref="Q127:W127"/>
    <mergeCell ref="Q128:W128"/>
    <mergeCell ref="Q129:W129"/>
    <mergeCell ref="B139:W139"/>
    <mergeCell ref="B140:W140"/>
    <mergeCell ref="E54:W58"/>
    <mergeCell ref="O126:W126"/>
    <mergeCell ref="E59:P60"/>
    <mergeCell ref="E64:V65"/>
    <mergeCell ref="P122:W122"/>
    <mergeCell ref="O125:W125"/>
    <mergeCell ref="E61:F61"/>
  </mergeCells>
  <hyperlinks>
    <hyperlink ref="Q129" r:id="rId1" display="www.roedl.com" xr:uid="{00000000-0004-0000-2300-000000000000}"/>
  </hyperlinks>
  <pageMargins left="1.1417322834645669" right="0.23622047244094491" top="0.35433070866141736" bottom="0.19685039370078741" header="0.27559055118110237" footer="7.874015748031496E-2"/>
  <pageSetup fitToHeight="0" orientation="portrait" blackAndWhite="1" r:id="rId2"/>
  <rowBreaks count="1" manualBreakCount="1">
    <brk id="72" max="24" man="1"/>
  </rowBreaks>
  <colBreaks count="1" manualBreakCount="1">
    <brk id="26" max="71"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13">
    <pageSetUpPr fitToPage="1"/>
  </sheetPr>
  <dimension ref="A1:O253"/>
  <sheetViews>
    <sheetView showGridLines="0" view="pageBreakPreview" topLeftCell="A83" zoomScaleNormal="100" zoomScaleSheetLayoutView="100" workbookViewId="0">
      <selection activeCell="E36" sqref="E36:F36"/>
    </sheetView>
  </sheetViews>
  <sheetFormatPr defaultColWidth="9.140625" defaultRowHeight="12.75"/>
  <cols>
    <col min="1" max="1" width="18.28515625" style="164" bestFit="1" customWidth="1"/>
    <col min="2" max="2" width="21.28515625" style="164" customWidth="1"/>
    <col min="3" max="3" width="16" style="164" customWidth="1"/>
    <col min="4" max="4" width="15.140625" style="164" customWidth="1"/>
    <col min="5" max="5" width="16" style="164" customWidth="1"/>
    <col min="6" max="6" width="14.28515625" style="164" customWidth="1"/>
    <col min="7" max="7" width="14.28515625" style="164" bestFit="1" customWidth="1"/>
    <col min="8" max="8" width="17.85546875" style="164" customWidth="1"/>
    <col min="9" max="9" width="14.28515625" style="164" bestFit="1" customWidth="1"/>
    <col min="10" max="10" width="12.7109375" style="164" customWidth="1"/>
    <col min="11" max="11" width="13.7109375" style="164" customWidth="1"/>
    <col min="12" max="12" width="38.140625" style="164" customWidth="1"/>
    <col min="13" max="13" width="18.140625" style="164" customWidth="1"/>
    <col min="14" max="14" width="14.28515625" style="164" bestFit="1" customWidth="1"/>
    <col min="15" max="15" width="13.42578125" style="164" customWidth="1"/>
    <col min="16" max="16384" width="9.140625" style="164"/>
  </cols>
  <sheetData>
    <row r="1" spans="1:15">
      <c r="B1" s="773" t="s">
        <v>1257</v>
      </c>
      <c r="C1" s="773"/>
      <c r="D1" s="773"/>
      <c r="E1" s="773"/>
      <c r="F1" s="773"/>
      <c r="G1" s="773"/>
      <c r="H1" s="773"/>
      <c r="I1" s="773"/>
      <c r="J1" s="773"/>
      <c r="K1" s="773"/>
    </row>
    <row r="2" spans="1:15">
      <c r="B2" s="471" t="str">
        <f>nazwa_spolki</f>
        <v>Rhenus Digital Workforce Sp. z o.o.</v>
      </c>
      <c r="C2" s="397"/>
      <c r="D2" s="397"/>
      <c r="E2" s="397"/>
      <c r="F2" s="397"/>
      <c r="G2" s="397"/>
      <c r="H2" s="397"/>
      <c r="I2" s="397"/>
      <c r="J2" s="472"/>
      <c r="K2" s="472"/>
    </row>
    <row r="3" spans="1:15" ht="40.5" customHeight="1">
      <c r="B3" s="130" t="str">
        <f>tytul</f>
        <v>Sprawozdanie finansowe sporządzone za rok obrotowy 2024</v>
      </c>
      <c r="C3" s="130"/>
      <c r="D3" s="130"/>
      <c r="E3" s="130"/>
      <c r="F3" s="130"/>
      <c r="G3" s="130"/>
      <c r="H3" s="130"/>
      <c r="I3" s="130"/>
      <c r="J3" s="473"/>
      <c r="K3" s="473"/>
      <c r="L3" s="465"/>
    </row>
    <row r="4" spans="1:15" s="159" customFormat="1" ht="20.25">
      <c r="B4" s="800" t="str">
        <f>"1.1.-1.2. "&amp;CHOOSE(jezyk,n!A613,n!B613,n!C613,n!D611)</f>
        <v>1.1.-1.2. DODATKOWE INFORMACJE I OBJAŚNIENIA</v>
      </c>
      <c r="C4" s="800"/>
      <c r="D4" s="800"/>
      <c r="E4" s="800"/>
      <c r="F4" s="800"/>
      <c r="G4" s="800"/>
      <c r="H4" s="160"/>
      <c r="I4" s="160"/>
      <c r="J4" s="160"/>
      <c r="K4" s="160"/>
      <c r="L4" s="164"/>
      <c r="M4" s="66"/>
      <c r="N4" s="160"/>
      <c r="O4" s="160"/>
    </row>
    <row r="5" spans="1:15" s="159" customFormat="1" ht="14.25" customHeight="1">
      <c r="B5" s="368"/>
      <c r="C5" s="368"/>
      <c r="D5" s="368"/>
      <c r="E5" s="368"/>
      <c r="F5" s="368"/>
      <c r="G5" s="368"/>
      <c r="H5" s="368"/>
      <c r="I5" s="368"/>
      <c r="L5" s="164"/>
      <c r="M5" s="66"/>
    </row>
    <row r="6" spans="1:15" s="159" customFormat="1" ht="20.25" customHeight="1">
      <c r="B6" s="797" t="str">
        <f>"1.1a. "&amp;CHOOSE(jezyk,n!A615,n!B615,n!C615,n!D613)</f>
        <v>1.1a. Zestawienie wartości niematerialnych i prawnych</v>
      </c>
      <c r="C6" s="797"/>
      <c r="D6" s="797"/>
      <c r="E6" s="797"/>
      <c r="F6" s="797"/>
      <c r="G6" s="797"/>
      <c r="H6" s="377"/>
      <c r="I6" s="377"/>
      <c r="J6" s="377"/>
      <c r="K6" s="377"/>
      <c r="L6" s="164"/>
      <c r="M6" s="66"/>
      <c r="N6" s="377"/>
      <c r="O6" s="377"/>
    </row>
    <row r="7" spans="1:15" s="159" customFormat="1" ht="12" customHeight="1">
      <c r="B7" s="373"/>
      <c r="C7" s="373"/>
      <c r="D7" s="373"/>
      <c r="E7" s="373"/>
      <c r="F7" s="373"/>
      <c r="G7" s="373"/>
      <c r="H7" s="373"/>
      <c r="I7" s="373"/>
      <c r="J7" s="373"/>
      <c r="K7" s="373"/>
      <c r="N7" s="373"/>
      <c r="O7" s="373"/>
    </row>
    <row r="8" spans="1:15" ht="16.5" hidden="1" customHeight="1">
      <c r="B8" s="745" t="str">
        <f>CHOOSE(jezyk,n!A643,n!B643,n!C643,n!D641)</f>
        <v>Pozycja nie wystąpiła zarówno w roku obrotowym 2024, jak i w roku poprzednim.</v>
      </c>
      <c r="C8" s="745"/>
      <c r="D8" s="745"/>
      <c r="E8" s="745"/>
      <c r="F8" s="745"/>
      <c r="G8" s="745"/>
      <c r="H8" s="131" t="s">
        <v>2186</v>
      </c>
      <c r="I8" s="377"/>
      <c r="J8" s="377"/>
      <c r="K8" s="377"/>
      <c r="M8" s="66"/>
    </row>
    <row r="9" spans="1:15" ht="8.1" hidden="1" customHeight="1">
      <c r="M9" s="66"/>
    </row>
    <row r="10" spans="1:15" s="370" customFormat="1" ht="15" customHeight="1">
      <c r="B10" s="798" t="str">
        <f>CHOOSE(jezyk,n!A616,n!B616,n!C616,n!D614)</f>
        <v>Rok obrotowy 2024</v>
      </c>
      <c r="C10" s="799"/>
    </row>
    <row r="12" spans="1:15" s="169" customFormat="1">
      <c r="A12" s="277"/>
      <c r="B12" s="786" t="str">
        <f>CHOOSE(jezyk,n!A618,n!B618,n!C618,n!D616)</f>
        <v>Opis</v>
      </c>
      <c r="C12" s="793" t="str">
        <f>CHOOSE(jezyk,n!A624,n!B624,n!C624,n!D622)</f>
        <v>Wartość brutto</v>
      </c>
      <c r="D12" s="793"/>
      <c r="E12" s="793"/>
      <c r="F12" s="793"/>
      <c r="G12" s="793"/>
    </row>
    <row r="13" spans="1:15" s="474" customFormat="1" ht="15" customHeight="1">
      <c r="B13" s="788"/>
      <c r="C13" s="792" t="str">
        <f>CHOOSE(jezyk,n!A626,n!B626,n!C626,n!D623)</f>
        <v>Stan na 
19.10.2023</v>
      </c>
      <c r="D13" s="802" t="str">
        <f>CHOOSE(jezyk,n!A628,n!B628,n!C628,n!D624)</f>
        <v>Zwiększenia, z tytułu nabycia</v>
      </c>
      <c r="E13" s="792" t="str">
        <f>CHOOSE(jezyk,n!A632,n!B632,n!C632,n!D630)</f>
        <v>Przemieszczenia 
wewnętrzne (+/-)</v>
      </c>
      <c r="F13" s="802" t="str">
        <f>CHOOSE(jezyk,n!A633,n!B633,n!C633,n!D631)</f>
        <v>Zmniejszenia z tytułu rozchodu</v>
      </c>
      <c r="G13" s="792" t="str">
        <f>CHOOSE(jezyk,n!A639,n!B639,n!C639,n!D635)</f>
        <v>Stan na 
31.12.2024</v>
      </c>
    </row>
    <row r="14" spans="1:15" s="474" customFormat="1" ht="22.5" customHeight="1">
      <c r="B14" s="787"/>
      <c r="C14" s="792"/>
      <c r="D14" s="803"/>
      <c r="E14" s="792"/>
      <c r="F14" s="803"/>
      <c r="G14" s="792"/>
    </row>
    <row r="15" spans="1:15" s="172" customFormat="1" ht="28.5" customHeight="1">
      <c r="A15" s="370"/>
      <c r="B15" s="475" t="str">
        <f>CHOOSE(jezyk,n!A619,n!B619,n!C619,n!D617)</f>
        <v>Koszty zakończonych prac rozwojowych</v>
      </c>
      <c r="C15" s="289">
        <f>G46</f>
        <v>0</v>
      </c>
      <c r="D15" s="290">
        <v>0</v>
      </c>
      <c r="E15" s="290">
        <v>0</v>
      </c>
      <c r="F15" s="290">
        <v>0</v>
      </c>
      <c r="G15" s="289">
        <f>C15+D15++E15-F15</f>
        <v>0</v>
      </c>
    </row>
    <row r="16" spans="1:15" s="172" customFormat="1" ht="26.25" customHeight="1">
      <c r="A16" s="370"/>
      <c r="B16" s="288" t="str">
        <f>CHOOSE(jezyk,n!A620,n!B620,n!C620,n!D618)</f>
        <v>Wartość firmy</v>
      </c>
      <c r="C16" s="289">
        <f>G47</f>
        <v>0</v>
      </c>
      <c r="D16" s="290">
        <v>32694.19</v>
      </c>
      <c r="E16" s="290">
        <v>0</v>
      </c>
      <c r="F16" s="290">
        <v>0</v>
      </c>
      <c r="G16" s="289">
        <f>C16+D16++E16-F16</f>
        <v>32694.19</v>
      </c>
    </row>
    <row r="17" spans="1:15" s="172" customFormat="1" ht="26.25" customHeight="1">
      <c r="A17" s="370"/>
      <c r="B17" s="288" t="str">
        <f>CHOOSE(jezyk,n!A621,n!B621,n!C621,n!D619)</f>
        <v>Inne wartości niematerialne i prawne</v>
      </c>
      <c r="C17" s="289">
        <f>G48</f>
        <v>0</v>
      </c>
      <c r="D17" s="290">
        <v>57369</v>
      </c>
      <c r="E17" s="290">
        <v>0</v>
      </c>
      <c r="F17" s="290">
        <v>0</v>
      </c>
      <c r="G17" s="289">
        <f>C17+D17++E17-F17</f>
        <v>57369</v>
      </c>
    </row>
    <row r="18" spans="1:15" s="172" customFormat="1" ht="29.25" customHeight="1">
      <c r="A18" s="370"/>
      <c r="B18" s="475" t="str">
        <f>CHOOSE(jezyk,n!A622,n!B622,n!C622,n!D620)</f>
        <v>Zaliczki na wartości niematerialne i prawne</v>
      </c>
      <c r="C18" s="289">
        <f>G49</f>
        <v>0</v>
      </c>
      <c r="D18" s="290">
        <v>0</v>
      </c>
      <c r="E18" s="290">
        <v>0</v>
      </c>
      <c r="F18" s="290">
        <v>0</v>
      </c>
      <c r="G18" s="289">
        <f>C18+D18++E18-F18</f>
        <v>0</v>
      </c>
    </row>
    <row r="19" spans="1:15" s="172" customFormat="1" ht="24" customHeight="1">
      <c r="A19" s="370"/>
      <c r="B19" s="288" t="str">
        <f>CHOOSE(jezyk,n!A623,n!B623,n!C623,n!D621)</f>
        <v>Ogółem</v>
      </c>
      <c r="C19" s="289">
        <f>SUM(C15:C18)</f>
        <v>0</v>
      </c>
      <c r="D19" s="289">
        <f>SUM(D15:D18)</f>
        <v>90063.19</v>
      </c>
      <c r="E19" s="289">
        <f>SUM(E15:E18)</f>
        <v>0</v>
      </c>
      <c r="F19" s="289">
        <f>SUM(F15:F18)</f>
        <v>0</v>
      </c>
      <c r="G19" s="289">
        <f>C19+D19++E19-F19</f>
        <v>90063.19</v>
      </c>
    </row>
    <row r="20" spans="1:15">
      <c r="H20" s="801"/>
      <c r="I20" s="801"/>
      <c r="J20" s="801"/>
      <c r="K20" s="801"/>
      <c r="L20" s="801"/>
      <c r="M20" s="801"/>
      <c r="N20" s="801"/>
      <c r="O20" s="801"/>
    </row>
    <row r="21" spans="1:15">
      <c r="B21" s="786" t="str">
        <f>B12</f>
        <v>Opis</v>
      </c>
      <c r="C21" s="789" t="str">
        <f>CHOOSE(jezyk,n!A640,n!B640,n!C640,n!D636)</f>
        <v>Umorzenie</v>
      </c>
      <c r="D21" s="790"/>
      <c r="E21" s="790"/>
      <c r="F21" s="790"/>
      <c r="G21" s="791"/>
    </row>
    <row r="22" spans="1:15">
      <c r="B22" s="788"/>
      <c r="C22" s="792" t="str">
        <f>CHOOSE(jezyk,n!A626,n!B626,n!C626,n!D623)</f>
        <v>Stan na 
19.10.2023</v>
      </c>
      <c r="D22" s="784" t="str">
        <f>CHOOSE(jezyk,n!A634,n!B634,n!C634,n!D632)</f>
        <v>Zwiększenia z tytułu umorzenia</v>
      </c>
      <c r="E22" s="792" t="str">
        <f>CHOOSE(jezyk,n!A632,n!B632,n!C632,n!D630)</f>
        <v>Przemieszczenia 
wewnętrzne (+/-)</v>
      </c>
      <c r="F22" s="784" t="str">
        <f>CHOOSE(jezyk,n!A636,n!B636,n!C636,n!D634)</f>
        <v>Zmniejszenia z tytułu rozchodu</v>
      </c>
      <c r="G22" s="792" t="str">
        <f>CHOOSE(jezyk,n!A639,n!B639,n!C639,n!D635)</f>
        <v>Stan na 
31.12.2024</v>
      </c>
    </row>
    <row r="23" spans="1:15" ht="38.25" customHeight="1">
      <c r="B23" s="787"/>
      <c r="C23" s="792"/>
      <c r="D23" s="785"/>
      <c r="E23" s="792"/>
      <c r="F23" s="785"/>
      <c r="G23" s="792"/>
    </row>
    <row r="24" spans="1:15" ht="32.25" customHeight="1">
      <c r="B24" s="475" t="str">
        <f>B15</f>
        <v>Koszty zakończonych prac rozwojowych</v>
      </c>
      <c r="C24" s="289">
        <f>G55</f>
        <v>0</v>
      </c>
      <c r="D24" s="290">
        <v>0</v>
      </c>
      <c r="E24" s="290">
        <v>0</v>
      </c>
      <c r="F24" s="290">
        <v>0</v>
      </c>
      <c r="G24" s="289">
        <f>C24+D24++E24-F24</f>
        <v>0</v>
      </c>
    </row>
    <row r="25" spans="1:15" ht="26.25" customHeight="1">
      <c r="B25" s="475" t="str">
        <f>B16</f>
        <v>Wartość firmy</v>
      </c>
      <c r="C25" s="289">
        <f>G56</f>
        <v>0</v>
      </c>
      <c r="D25" s="290">
        <v>4360.1899999999996</v>
      </c>
      <c r="E25" s="290">
        <v>0</v>
      </c>
      <c r="F25" s="290">
        <v>0</v>
      </c>
      <c r="G25" s="710">
        <f>C25+D25++E25-F25</f>
        <v>4360.1899999999996</v>
      </c>
    </row>
    <row r="26" spans="1:15" ht="25.5" customHeight="1">
      <c r="A26" s="370"/>
      <c r="B26" s="475" t="str">
        <f>B17</f>
        <v>Inne wartości niematerialne i prawne</v>
      </c>
      <c r="C26" s="289">
        <f>G57</f>
        <v>0</v>
      </c>
      <c r="D26" s="290">
        <v>6164</v>
      </c>
      <c r="E26" s="290">
        <v>0</v>
      </c>
      <c r="F26" s="290">
        <v>0</v>
      </c>
      <c r="G26" s="289">
        <f>C26+D26++E26-F26</f>
        <v>6164</v>
      </c>
    </row>
    <row r="27" spans="1:15" ht="30.75" customHeight="1">
      <c r="A27" s="370"/>
      <c r="B27" s="475" t="str">
        <f>B18</f>
        <v>Zaliczki na wartości niematerialne i prawne</v>
      </c>
      <c r="C27" s="289">
        <f>G58</f>
        <v>0</v>
      </c>
      <c r="D27" s="290">
        <v>0</v>
      </c>
      <c r="E27" s="290">
        <v>0</v>
      </c>
      <c r="F27" s="290">
        <v>0</v>
      </c>
      <c r="G27" s="289">
        <f>C27+D27++E27-F27</f>
        <v>0</v>
      </c>
    </row>
    <row r="28" spans="1:15" ht="24" customHeight="1">
      <c r="B28" s="288" t="str">
        <f>B19</f>
        <v>Ogółem</v>
      </c>
      <c r="C28" s="289">
        <f>SUM(C24:C27)</f>
        <v>0</v>
      </c>
      <c r="D28" s="289">
        <f>SUM(D24:D27)</f>
        <v>10524.189999999999</v>
      </c>
      <c r="E28" s="289">
        <f>SUM(E24:E27)</f>
        <v>0</v>
      </c>
      <c r="F28" s="289">
        <f>SUM(F24:F27)</f>
        <v>0</v>
      </c>
      <c r="G28" s="289">
        <f>C28+D28++E28-F28</f>
        <v>10524.189999999999</v>
      </c>
    </row>
    <row r="30" spans="1:15">
      <c r="B30" s="783" t="str">
        <f>B21</f>
        <v>Opis</v>
      </c>
      <c r="C30" s="793" t="str">
        <f>CHOOSE(jezyk,n!A642,n!B642,n!C642,n!D640)</f>
        <v>Wartość netto</v>
      </c>
      <c r="D30" s="793"/>
      <c r="E30" s="793"/>
      <c r="F30" s="793"/>
    </row>
    <row r="31" spans="1:15" ht="12.75" customHeight="1">
      <c r="B31" s="783"/>
      <c r="C31" s="792" t="str">
        <f>CHOOSE(jezyk,n!A626,n!B626,n!C626,n!D623)</f>
        <v>Stan na 
19.10.2023</v>
      </c>
      <c r="D31" s="792"/>
      <c r="E31" s="783" t="str">
        <f>CHOOSE(jezyk,n!A639,n!B639,n!C639,n!D635)</f>
        <v>Stan na 
31.12.2024</v>
      </c>
      <c r="F31" s="783"/>
      <c r="I31" s="474"/>
    </row>
    <row r="32" spans="1:15" ht="17.25" customHeight="1">
      <c r="B32" s="783"/>
      <c r="C32" s="792"/>
      <c r="D32" s="792"/>
      <c r="E32" s="783"/>
      <c r="F32" s="783"/>
      <c r="H32" s="476" t="str">
        <f>dzb</f>
        <v>31.12.2024</v>
      </c>
      <c r="I32" s="339" t="str">
        <f>pdz</f>
        <v>31.12.2023</v>
      </c>
    </row>
    <row r="33" spans="1:9" ht="30" customHeight="1">
      <c r="B33" s="288" t="str">
        <f>B24</f>
        <v>Koszty zakończonych prac rozwojowych</v>
      </c>
      <c r="C33" s="795">
        <f>C15-C24</f>
        <v>0</v>
      </c>
      <c r="D33" s="795"/>
      <c r="E33" s="795">
        <f>G15-G24</f>
        <v>0</v>
      </c>
      <c r="F33" s="795"/>
      <c r="H33" s="477">
        <f>ROUND(E33-Bilans!J14,2)</f>
        <v>-28334</v>
      </c>
      <c r="I33" s="477">
        <f>ROUND(C33-Bilans!K14,2)</f>
        <v>0</v>
      </c>
    </row>
    <row r="34" spans="1:9" ht="21" customHeight="1">
      <c r="B34" s="288" t="str">
        <f>B25</f>
        <v>Wartość firmy</v>
      </c>
      <c r="C34" s="795">
        <f>C16-C25</f>
        <v>0</v>
      </c>
      <c r="D34" s="795"/>
      <c r="E34" s="795">
        <f>G16-G25</f>
        <v>28334</v>
      </c>
      <c r="F34" s="795"/>
      <c r="H34" s="477">
        <f>ROUND(E34-Bilans!J15,2)</f>
        <v>-22871</v>
      </c>
      <c r="I34" s="477">
        <f>ROUND(C34-Bilans!K15,2)</f>
        <v>0</v>
      </c>
    </row>
    <row r="35" spans="1:9" ht="24.75" customHeight="1">
      <c r="A35" s="370"/>
      <c r="B35" s="288" t="str">
        <f>B26</f>
        <v>Inne wartości niematerialne i prawne</v>
      </c>
      <c r="C35" s="795">
        <f>C17-C26</f>
        <v>0</v>
      </c>
      <c r="D35" s="795"/>
      <c r="E35" s="795">
        <f>G17-G26</f>
        <v>51205</v>
      </c>
      <c r="F35" s="795"/>
      <c r="H35" s="477">
        <f>ROUND(E35-Bilans!J16,2)</f>
        <v>51205</v>
      </c>
      <c r="I35" s="477">
        <f>ROUND(C35-Bilans!K16,2)</f>
        <v>0</v>
      </c>
    </row>
    <row r="36" spans="1:9" ht="26.25" customHeight="1">
      <c r="A36" s="370"/>
      <c r="B36" s="288" t="str">
        <f>B27</f>
        <v>Zaliczki na wartości niematerialne i prawne</v>
      </c>
      <c r="C36" s="795">
        <f>C18-C27</f>
        <v>0</v>
      </c>
      <c r="D36" s="795"/>
      <c r="E36" s="795">
        <f>G18-G27</f>
        <v>0</v>
      </c>
      <c r="F36" s="795"/>
      <c r="H36" s="477">
        <f>ROUND(E36-Bilans!J17,2)</f>
        <v>0</v>
      </c>
      <c r="I36" s="477">
        <f>ROUND(C36-Bilans!K17,2)</f>
        <v>0</v>
      </c>
    </row>
    <row r="37" spans="1:9" ht="22.5" customHeight="1">
      <c r="B37" s="288" t="str">
        <f>B28</f>
        <v>Ogółem</v>
      </c>
      <c r="C37" s="795">
        <f>SUM(C33:C36)</f>
        <v>0</v>
      </c>
      <c r="D37" s="795"/>
      <c r="E37" s="795">
        <f>SUM(E33:E36)</f>
        <v>79539</v>
      </c>
      <c r="F37" s="795"/>
      <c r="H37" s="477">
        <f>ROUND(E37-Bilans!J12,2)</f>
        <v>79539</v>
      </c>
      <c r="I37" s="477">
        <f>ROUND(C37-Bilans!K12,2)</f>
        <v>0</v>
      </c>
    </row>
    <row r="38" spans="1:9" ht="21.75" customHeight="1">
      <c r="B38" s="172"/>
      <c r="C38" s="136"/>
      <c r="D38" s="136"/>
      <c r="H38" s="478">
        <f>SUM(H33:H37)</f>
        <v>79539</v>
      </c>
      <c r="I38" s="478">
        <f>SUM(I33:I37)</f>
        <v>0</v>
      </c>
    </row>
    <row r="39" spans="1:9" ht="16.5" hidden="1">
      <c r="B39" s="797" t="str">
        <f>B6</f>
        <v>1.1a. Zestawienie wartości niematerialnych i prawnych</v>
      </c>
      <c r="C39" s="797"/>
      <c r="D39" s="797"/>
      <c r="E39" s="797"/>
      <c r="F39" s="797"/>
      <c r="G39" s="797"/>
    </row>
    <row r="40" spans="1:9" ht="14.25" hidden="1" customHeight="1">
      <c r="B40" s="373"/>
      <c r="C40" s="373"/>
      <c r="D40" s="373"/>
      <c r="E40" s="373"/>
      <c r="F40" s="373"/>
      <c r="G40" s="373"/>
    </row>
    <row r="41" spans="1:9" s="370" customFormat="1" ht="15" hidden="1" customHeight="1">
      <c r="B41" s="798" t="str">
        <f>CHOOSE(jezyk,n!A617,n!B617,n!C617,n!D615)</f>
        <v>Rok obrotowy 2023</v>
      </c>
      <c r="C41" s="799"/>
    </row>
    <row r="42" spans="1:9" hidden="1"/>
    <row r="43" spans="1:9" hidden="1">
      <c r="B43" s="786" t="str">
        <f>B12</f>
        <v>Opis</v>
      </c>
      <c r="C43" s="793" t="str">
        <f>C12</f>
        <v>Wartość brutto</v>
      </c>
      <c r="D43" s="793"/>
      <c r="E43" s="793"/>
      <c r="F43" s="793"/>
      <c r="G43" s="793"/>
    </row>
    <row r="44" spans="1:9" ht="12.75" hidden="1" customHeight="1">
      <c r="B44" s="788"/>
      <c r="C44" s="792" t="str">
        <f>CHOOSE(jezyk,n!A627,n!B627,n!C627,n!D627)</f>
        <v>Stan na 
19.10.2022</v>
      </c>
      <c r="D44" s="792" t="str">
        <f>D13</f>
        <v>Zwiększenia, z tytułu nabycia</v>
      </c>
      <c r="E44" s="792" t="str">
        <f>E13</f>
        <v>Przemieszczenia 
wewnętrzne (+/-)</v>
      </c>
      <c r="F44" s="792" t="str">
        <f>F13</f>
        <v>Zmniejszenia z tytułu rozchodu</v>
      </c>
      <c r="G44" s="792" t="str">
        <f>CHOOSE(jezyk,n!A638,n!B638,n!C638,n!D638)</f>
        <v>Stan na 
31.12.2023</v>
      </c>
    </row>
    <row r="45" spans="1:9" ht="24" hidden="1" customHeight="1">
      <c r="B45" s="787"/>
      <c r="C45" s="792"/>
      <c r="D45" s="792"/>
      <c r="E45" s="792"/>
      <c r="F45" s="792"/>
      <c r="G45" s="792"/>
    </row>
    <row r="46" spans="1:9" ht="31.5" hidden="1" customHeight="1">
      <c r="B46" s="475" t="str">
        <f>B15</f>
        <v>Koszty zakończonych prac rozwojowych</v>
      </c>
      <c r="C46" s="290">
        <v>0</v>
      </c>
      <c r="D46" s="290">
        <v>0</v>
      </c>
      <c r="E46" s="290">
        <v>0</v>
      </c>
      <c r="F46" s="290">
        <v>0</v>
      </c>
      <c r="G46" s="289">
        <f>C46+D46++E46-F46</f>
        <v>0</v>
      </c>
    </row>
    <row r="47" spans="1:9" ht="30" hidden="1" customHeight="1">
      <c r="B47" s="475" t="str">
        <f>B16</f>
        <v>Wartość firmy</v>
      </c>
      <c r="C47" s="290">
        <v>0</v>
      </c>
      <c r="D47" s="290">
        <v>0</v>
      </c>
      <c r="E47" s="290">
        <v>0</v>
      </c>
      <c r="F47" s="290">
        <v>0</v>
      </c>
      <c r="G47" s="289">
        <f>C47+D47++E47-F47</f>
        <v>0</v>
      </c>
    </row>
    <row r="48" spans="1:9" ht="30" hidden="1" customHeight="1">
      <c r="A48" s="370"/>
      <c r="B48" s="475" t="str">
        <f>B17</f>
        <v>Inne wartości niematerialne i prawne</v>
      </c>
      <c r="C48" s="290">
        <v>0</v>
      </c>
      <c r="D48" s="290">
        <v>0</v>
      </c>
      <c r="E48" s="290">
        <v>0</v>
      </c>
      <c r="F48" s="290">
        <v>0</v>
      </c>
      <c r="G48" s="289">
        <f>C48+D48++E48-F48</f>
        <v>0</v>
      </c>
    </row>
    <row r="49" spans="1:8" ht="30.75" hidden="1" customHeight="1">
      <c r="A49" s="370"/>
      <c r="B49" s="475" t="str">
        <f>B18</f>
        <v>Zaliczki na wartości niematerialne i prawne</v>
      </c>
      <c r="C49" s="290">
        <v>0</v>
      </c>
      <c r="D49" s="290">
        <v>0</v>
      </c>
      <c r="E49" s="290">
        <v>0</v>
      </c>
      <c r="F49" s="290">
        <v>0</v>
      </c>
      <c r="G49" s="289">
        <f>C49+D49++E49-F49</f>
        <v>0</v>
      </c>
    </row>
    <row r="50" spans="1:8" ht="30" hidden="1" customHeight="1">
      <c r="B50" s="288" t="str">
        <f>B19</f>
        <v>Ogółem</v>
      </c>
      <c r="C50" s="289">
        <f>SUM(C46:C49)</f>
        <v>0</v>
      </c>
      <c r="D50" s="289">
        <f>SUM(D46:D49)</f>
        <v>0</v>
      </c>
      <c r="E50" s="289">
        <f>SUM(E46:E49)</f>
        <v>0</v>
      </c>
      <c r="F50" s="289">
        <f>SUM(F46:F49)</f>
        <v>0</v>
      </c>
      <c r="G50" s="289">
        <f>C50+D50++E50-F50</f>
        <v>0</v>
      </c>
    </row>
    <row r="51" spans="1:8" hidden="1"/>
    <row r="52" spans="1:8" hidden="1">
      <c r="B52" s="783" t="str">
        <f>B21</f>
        <v>Opis</v>
      </c>
      <c r="C52" s="789" t="str">
        <f>C21</f>
        <v>Umorzenie</v>
      </c>
      <c r="D52" s="790"/>
      <c r="E52" s="790"/>
      <c r="F52" s="790"/>
      <c r="G52" s="791"/>
    </row>
    <row r="53" spans="1:8" ht="12.75" hidden="1" customHeight="1">
      <c r="B53" s="783"/>
      <c r="C53" s="792" t="str">
        <f>C44</f>
        <v>Stan na 
19.10.2022</v>
      </c>
      <c r="D53" s="792" t="str">
        <f>D22</f>
        <v>Zwiększenia z tytułu umorzenia</v>
      </c>
      <c r="E53" s="792" t="str">
        <f>E22</f>
        <v>Przemieszczenia 
wewnętrzne (+/-)</v>
      </c>
      <c r="F53" s="792" t="str">
        <f>F22</f>
        <v>Zmniejszenia z tytułu rozchodu</v>
      </c>
      <c r="G53" s="792" t="str">
        <f>G44</f>
        <v>Stan na 
31.12.2023</v>
      </c>
    </row>
    <row r="54" spans="1:8" ht="36" hidden="1" customHeight="1">
      <c r="B54" s="783"/>
      <c r="C54" s="792"/>
      <c r="D54" s="792"/>
      <c r="E54" s="792"/>
      <c r="F54" s="792"/>
      <c r="G54" s="792"/>
    </row>
    <row r="55" spans="1:8" ht="30.75" hidden="1" customHeight="1">
      <c r="B55" s="475" t="str">
        <f>B24</f>
        <v>Koszty zakończonych prac rozwojowych</v>
      </c>
      <c r="C55" s="290">
        <v>0</v>
      </c>
      <c r="D55" s="290">
        <v>0</v>
      </c>
      <c r="E55" s="290">
        <v>0</v>
      </c>
      <c r="F55" s="290">
        <v>0</v>
      </c>
      <c r="G55" s="289">
        <f>C55+D55++E55-F55</f>
        <v>0</v>
      </c>
    </row>
    <row r="56" spans="1:8" ht="30" hidden="1" customHeight="1">
      <c r="B56" s="475" t="str">
        <f>B25</f>
        <v>Wartość firmy</v>
      </c>
      <c r="C56" s="290">
        <v>0</v>
      </c>
      <c r="D56" s="290">
        <v>0</v>
      </c>
      <c r="E56" s="290">
        <v>0</v>
      </c>
      <c r="F56" s="290">
        <v>0</v>
      </c>
      <c r="G56" s="289">
        <f>C56+D56++E56-F56</f>
        <v>0</v>
      </c>
    </row>
    <row r="57" spans="1:8" ht="30" hidden="1" customHeight="1">
      <c r="A57" s="370"/>
      <c r="B57" s="475" t="str">
        <f>B26</f>
        <v>Inne wartości niematerialne i prawne</v>
      </c>
      <c r="C57" s="290">
        <v>0</v>
      </c>
      <c r="D57" s="290">
        <v>0</v>
      </c>
      <c r="E57" s="290">
        <v>0</v>
      </c>
      <c r="F57" s="290">
        <v>0</v>
      </c>
      <c r="G57" s="289">
        <f>C57+D57++E57-F57</f>
        <v>0</v>
      </c>
    </row>
    <row r="58" spans="1:8" ht="32.25" hidden="1" customHeight="1">
      <c r="A58" s="370"/>
      <c r="B58" s="475" t="str">
        <f>B27</f>
        <v>Zaliczki na wartości niematerialne i prawne</v>
      </c>
      <c r="C58" s="290">
        <v>0</v>
      </c>
      <c r="D58" s="290">
        <v>0</v>
      </c>
      <c r="E58" s="290">
        <v>0</v>
      </c>
      <c r="F58" s="290">
        <v>0</v>
      </c>
      <c r="G58" s="289">
        <f>C58+D58++E58-F58</f>
        <v>0</v>
      </c>
    </row>
    <row r="59" spans="1:8" ht="30" hidden="1" customHeight="1">
      <c r="B59" s="288" t="str">
        <f>B28</f>
        <v>Ogółem</v>
      </c>
      <c r="C59" s="289">
        <f>SUM(C55:C58)</f>
        <v>0</v>
      </c>
      <c r="D59" s="289">
        <f>SUM(D55:D58)</f>
        <v>0</v>
      </c>
      <c r="E59" s="289">
        <f>SUM(E55:E58)</f>
        <v>0</v>
      </c>
      <c r="F59" s="289">
        <f>SUM(F55:F58)</f>
        <v>0</v>
      </c>
      <c r="G59" s="289">
        <f>C59+D59++E59-F59</f>
        <v>0</v>
      </c>
    </row>
    <row r="60" spans="1:8" hidden="1">
      <c r="B60" s="479"/>
      <c r="C60" s="479"/>
      <c r="D60" s="479"/>
    </row>
    <row r="61" spans="1:8" hidden="1">
      <c r="B61" s="783" t="str">
        <f>B52</f>
        <v>Opis</v>
      </c>
      <c r="C61" s="793" t="str">
        <f>C30</f>
        <v>Wartość netto</v>
      </c>
      <c r="D61" s="793"/>
      <c r="E61" s="793"/>
      <c r="F61" s="793"/>
    </row>
    <row r="62" spans="1:8" ht="12.75" hidden="1" customHeight="1">
      <c r="B62" s="783"/>
      <c r="C62" s="792" t="str">
        <f>C44</f>
        <v>Stan na 
19.10.2022</v>
      </c>
      <c r="D62" s="792"/>
      <c r="E62" s="792" t="str">
        <f>G44</f>
        <v>Stan na 
31.12.2023</v>
      </c>
      <c r="F62" s="792"/>
    </row>
    <row r="63" spans="1:8" ht="16.5" hidden="1" customHeight="1">
      <c r="B63" s="783"/>
      <c r="C63" s="792"/>
      <c r="D63" s="792"/>
      <c r="E63" s="792"/>
      <c r="F63" s="792"/>
      <c r="H63" s="339" t="str">
        <f>pdz</f>
        <v>31.12.2023</v>
      </c>
    </row>
    <row r="64" spans="1:8" ht="30" hidden="1" customHeight="1">
      <c r="B64" s="288" t="str">
        <f>B55</f>
        <v>Koszty zakończonych prac rozwojowych</v>
      </c>
      <c r="C64" s="795">
        <f>C46-C55</f>
        <v>0</v>
      </c>
      <c r="D64" s="795"/>
      <c r="E64" s="795">
        <f>G46-G55</f>
        <v>0</v>
      </c>
      <c r="F64" s="795"/>
      <c r="H64" s="480">
        <f>E64-C33</f>
        <v>0</v>
      </c>
    </row>
    <row r="65" spans="1:8" ht="22.5" hidden="1" customHeight="1">
      <c r="B65" s="288" t="str">
        <f>B56</f>
        <v>Wartość firmy</v>
      </c>
      <c r="C65" s="795">
        <f>C47-C56</f>
        <v>0</v>
      </c>
      <c r="D65" s="795"/>
      <c r="E65" s="795">
        <f>G47-G56</f>
        <v>0</v>
      </c>
      <c r="F65" s="795"/>
      <c r="H65" s="480">
        <f>E65-C34</f>
        <v>0</v>
      </c>
    </row>
    <row r="66" spans="1:8" ht="24" hidden="1" customHeight="1">
      <c r="A66" s="370"/>
      <c r="B66" s="288" t="str">
        <f>B57</f>
        <v>Inne wartości niematerialne i prawne</v>
      </c>
      <c r="C66" s="795">
        <f>C48-C57</f>
        <v>0</v>
      </c>
      <c r="D66" s="795"/>
      <c r="E66" s="795">
        <f>G48-G57</f>
        <v>0</v>
      </c>
      <c r="F66" s="795"/>
      <c r="H66" s="480">
        <f>E66-C35</f>
        <v>0</v>
      </c>
    </row>
    <row r="67" spans="1:8" ht="27.75" hidden="1" customHeight="1">
      <c r="A67" s="370"/>
      <c r="B67" s="475" t="str">
        <f>B58</f>
        <v>Zaliczki na wartości niematerialne i prawne</v>
      </c>
      <c r="C67" s="795">
        <f>C49-C58</f>
        <v>0</v>
      </c>
      <c r="D67" s="795"/>
      <c r="E67" s="795">
        <f>G49-G58</f>
        <v>0</v>
      </c>
      <c r="F67" s="795"/>
      <c r="H67" s="480">
        <f>E67-C36</f>
        <v>0</v>
      </c>
    </row>
    <row r="68" spans="1:8" ht="25.5" hidden="1" customHeight="1">
      <c r="B68" s="288" t="str">
        <f>B59</f>
        <v>Ogółem</v>
      </c>
      <c r="C68" s="795">
        <f>SUM(C64:C67)</f>
        <v>0</v>
      </c>
      <c r="D68" s="795"/>
      <c r="E68" s="795">
        <f>SUM(E64:E67)</f>
        <v>0</v>
      </c>
      <c r="F68" s="795"/>
      <c r="H68" s="480">
        <f>E68-C37</f>
        <v>0</v>
      </c>
    </row>
    <row r="70" spans="1:8" ht="16.5">
      <c r="B70" s="797" t="str">
        <f>"1.1b. "&amp;CHOOSE(jezyk,n!A646,n!B646,n!C646,n!D643)</f>
        <v>1.1b. Zestawienie rzeczowych aktywów trwałych</v>
      </c>
      <c r="C70" s="797"/>
      <c r="D70" s="797"/>
      <c r="E70" s="797"/>
      <c r="F70" s="797"/>
      <c r="G70" s="797"/>
    </row>
    <row r="71" spans="1:8" ht="13.5" customHeight="1">
      <c r="B71" s="373"/>
      <c r="C71" s="373"/>
      <c r="D71" s="373"/>
      <c r="E71" s="373"/>
      <c r="F71" s="373"/>
      <c r="G71" s="373"/>
    </row>
    <row r="72" spans="1:8" ht="13.5" hidden="1" customHeight="1">
      <c r="B72" s="745" t="str">
        <f>CHOOSE(jezyk,n!A643,n!B643,n!C643,n!D641)</f>
        <v>Pozycja nie wystąpiła zarówno w roku obrotowym 2024, jak i w roku poprzednim.</v>
      </c>
      <c r="C72" s="745"/>
      <c r="D72" s="745"/>
      <c r="E72" s="745"/>
      <c r="F72" s="745"/>
      <c r="G72" s="745"/>
      <c r="H72" s="131" t="s">
        <v>2186</v>
      </c>
    </row>
    <row r="73" spans="1:8" ht="13.5" hidden="1" customHeight="1">
      <c r="B73" s="373"/>
      <c r="C73" s="373"/>
      <c r="D73" s="373"/>
      <c r="E73" s="373"/>
      <c r="F73" s="373"/>
      <c r="G73" s="373"/>
    </row>
    <row r="74" spans="1:8" s="370" customFormat="1" ht="15" customHeight="1">
      <c r="B74" s="798" t="str">
        <f>CHOOSE(jezyk,n!A616,n!B616,n!C616,n!D614)</f>
        <v>Rok obrotowy 2024</v>
      </c>
      <c r="C74" s="799"/>
      <c r="D74" s="373"/>
      <c r="E74" s="373"/>
      <c r="F74" s="373"/>
      <c r="G74" s="373"/>
    </row>
    <row r="76" spans="1:8">
      <c r="B76" s="786" t="str">
        <f>CHOOSE(jezyk,n!A618,n!B618,n!C618,n!D616)</f>
        <v>Opis</v>
      </c>
      <c r="C76" s="793" t="str">
        <f>CHOOSE(jezyk,n!A624,n!B624,n!C624,n!D622)</f>
        <v>Wartość brutto</v>
      </c>
      <c r="D76" s="793"/>
      <c r="E76" s="793"/>
      <c r="F76" s="793"/>
      <c r="G76" s="793"/>
    </row>
    <row r="77" spans="1:8">
      <c r="B77" s="788"/>
      <c r="C77" s="792" t="str">
        <f>CHOOSE(jezyk,n!A626,n!B626,n!C626,n!D623)</f>
        <v>Stan na 
19.10.2023</v>
      </c>
      <c r="D77" s="784" t="str">
        <f>CHOOSE(jezyk,n!A628,n!B628,n!C628,n!D624)</f>
        <v>Zwiększenia, z tytułu nabycia</v>
      </c>
      <c r="E77" s="792" t="str">
        <f>CHOOSE(jezyk,n!A632,n!B632,n!C632,n!D630)</f>
        <v>Przemieszczenia 
wewnętrzne (+/-)</v>
      </c>
      <c r="F77" s="784" t="str">
        <f>CHOOSE(jezyk,n!A636,n!B636,n!C636,n!D634)</f>
        <v>Zmniejszenia z tytułu rozchodu</v>
      </c>
      <c r="G77" s="792" t="str">
        <f>CHOOSE(jezyk,n!A639,n!B639,n!C639,n!D635)</f>
        <v>Stan na 
31.12.2024</v>
      </c>
    </row>
    <row r="78" spans="1:8" ht="26.25" customHeight="1">
      <c r="B78" s="787"/>
      <c r="C78" s="792"/>
      <c r="D78" s="785"/>
      <c r="E78" s="792"/>
      <c r="F78" s="785"/>
      <c r="G78" s="792"/>
    </row>
    <row r="79" spans="1:8" ht="37.15" customHeight="1">
      <c r="B79" s="288" t="str">
        <f>CHOOSE(jezyk,n!A647,n!B647,n!C647,n!D645)</f>
        <v>Grunty (w tym prawo użytkowania wieczystego gruntu)</v>
      </c>
      <c r="C79" s="289">
        <f>G123</f>
        <v>0</v>
      </c>
      <c r="D79" s="290">
        <v>0</v>
      </c>
      <c r="E79" s="290">
        <v>0</v>
      </c>
      <c r="F79" s="290">
        <v>0</v>
      </c>
      <c r="G79" s="289">
        <f>C79+D79+E79-F79</f>
        <v>0</v>
      </c>
    </row>
    <row r="80" spans="1:8" ht="39" customHeight="1">
      <c r="A80" s="370"/>
      <c r="B80" s="288" t="str">
        <f>CHOOSE(jezyk,n!A648,n!B648,n!C648,n!D646)</f>
        <v>Budynki, lokale, prawa do lokali i obiekty inżynierii lądowej i wodnej</v>
      </c>
      <c r="C80" s="289">
        <f t="shared" ref="C80:C85" si="0">G124</f>
        <v>0</v>
      </c>
      <c r="D80" s="290">
        <v>0</v>
      </c>
      <c r="E80" s="290">
        <v>0</v>
      </c>
      <c r="F80" s="290">
        <v>0</v>
      </c>
      <c r="G80" s="289">
        <f t="shared" ref="G80:G85" si="1">C80+D80+E80-F80</f>
        <v>0</v>
      </c>
    </row>
    <row r="81" spans="2:7" ht="24">
      <c r="B81" s="288" t="str">
        <f>CHOOSE(jezyk,n!A649,n!B649,n!C649,n!D647)</f>
        <v>Urządzenia techniczne i maszyny</v>
      </c>
      <c r="C81" s="289">
        <f t="shared" si="0"/>
        <v>0</v>
      </c>
      <c r="D81" s="290">
        <v>323680</v>
      </c>
      <c r="E81" s="290">
        <v>0</v>
      </c>
      <c r="F81" s="290">
        <v>0</v>
      </c>
      <c r="G81" s="289">
        <f t="shared" si="1"/>
        <v>323680</v>
      </c>
    </row>
    <row r="82" spans="2:7" ht="27.95" customHeight="1">
      <c r="B82" s="288" t="str">
        <f>CHOOSE(jezyk,n!A650,n!B650,n!C650,n!D648)</f>
        <v>Środki transportu</v>
      </c>
      <c r="C82" s="289">
        <f t="shared" si="0"/>
        <v>0</v>
      </c>
      <c r="D82" s="290">
        <v>0</v>
      </c>
      <c r="E82" s="290">
        <v>0</v>
      </c>
      <c r="F82" s="290">
        <v>0</v>
      </c>
      <c r="G82" s="289">
        <f t="shared" si="1"/>
        <v>0</v>
      </c>
    </row>
    <row r="83" spans="2:7" ht="27.95" customHeight="1">
      <c r="B83" s="288" t="str">
        <f>CHOOSE(jezyk,n!A651,n!B651,n!C651,n!D649)</f>
        <v>Inne środki trwałe</v>
      </c>
      <c r="C83" s="289">
        <f t="shared" si="0"/>
        <v>0</v>
      </c>
      <c r="D83" s="290">
        <v>0</v>
      </c>
      <c r="E83" s="290">
        <v>0</v>
      </c>
      <c r="F83" s="290">
        <v>0</v>
      </c>
      <c r="G83" s="289">
        <f t="shared" si="1"/>
        <v>0</v>
      </c>
    </row>
    <row r="84" spans="2:7" ht="27.95" customHeight="1">
      <c r="B84" s="288" t="str">
        <f>CHOOSE(jezyk,n!A652,n!B652,n!C652,n!D650)</f>
        <v>Środki trwałe w budowie</v>
      </c>
      <c r="C84" s="289">
        <f t="shared" si="0"/>
        <v>0</v>
      </c>
      <c r="D84" s="290">
        <v>0</v>
      </c>
      <c r="E84" s="290">
        <v>0</v>
      </c>
      <c r="F84" s="290">
        <v>0</v>
      </c>
      <c r="G84" s="289">
        <f t="shared" si="1"/>
        <v>0</v>
      </c>
    </row>
    <row r="85" spans="2:7" ht="28.5" customHeight="1">
      <c r="B85" s="475" t="str">
        <f>CHOOSE(jezyk,n!A653,n!B653,n!C653,n!D651)</f>
        <v>Zaliczki na środki trwałe w budowie</v>
      </c>
      <c r="C85" s="289">
        <f t="shared" si="0"/>
        <v>0</v>
      </c>
      <c r="D85" s="290">
        <v>0</v>
      </c>
      <c r="E85" s="290">
        <v>0</v>
      </c>
      <c r="F85" s="290">
        <v>0</v>
      </c>
      <c r="G85" s="289">
        <f t="shared" si="1"/>
        <v>0</v>
      </c>
    </row>
    <row r="86" spans="2:7" ht="27.95" hidden="1" customHeight="1">
      <c r="B86" s="288" t="str">
        <f>CHOOSE(jezyk,n!A623,n!B623,n!C623,n!D621)</f>
        <v>Ogółem</v>
      </c>
      <c r="C86" s="289">
        <f>SUM(C79:C85)</f>
        <v>0</v>
      </c>
      <c r="D86" s="289">
        <f>SUM(D79:D85)</f>
        <v>323680</v>
      </c>
      <c r="E86" s="289">
        <f>SUM(E79:E85)</f>
        <v>0</v>
      </c>
      <c r="F86" s="289">
        <f>SUM(F79:F85)</f>
        <v>0</v>
      </c>
      <c r="G86" s="289">
        <f>C86+D86+E86-F86</f>
        <v>323680</v>
      </c>
    </row>
    <row r="88" spans="2:7">
      <c r="B88" s="783" t="str">
        <f>CHOOSE(jezyk,n!A618,n!B618,n!C618,n!D616)</f>
        <v>Opis</v>
      </c>
      <c r="C88" s="789" t="str">
        <f>CHOOSE(jezyk,n!A640,n!B640,n!C640,n!D636)</f>
        <v>Umorzenie</v>
      </c>
      <c r="D88" s="790"/>
      <c r="E88" s="790"/>
      <c r="F88" s="790"/>
      <c r="G88" s="791"/>
    </row>
    <row r="89" spans="2:7">
      <c r="B89" s="783"/>
      <c r="C89" s="792" t="str">
        <f>CHOOSE(jezyk,n!A626,n!B626,n!C626,n!D623)</f>
        <v>Stan na 
19.10.2023</v>
      </c>
      <c r="D89" s="784" t="str">
        <f>CHOOSE(jezyk,n!A634,n!B634,n!C634,n!D632)</f>
        <v>Zwiększenia z tytułu umorzenia</v>
      </c>
      <c r="E89" s="792" t="str">
        <f>CHOOSE(jezyk,n!A632,n!B632,n!C632,n!D630)</f>
        <v>Przemieszczenia 
wewnętrzne (+/-)</v>
      </c>
      <c r="F89" s="784" t="str">
        <f>'nota 1.1.-1.2'!F77</f>
        <v>Zmniejszenia z tytułu rozchodu</v>
      </c>
      <c r="G89" s="792" t="str">
        <f>CHOOSE(jezyk,n!A639,n!B639,n!C639,n!D635)</f>
        <v>Stan na 
31.12.2024</v>
      </c>
    </row>
    <row r="90" spans="2:7" ht="38.25" customHeight="1">
      <c r="B90" s="783"/>
      <c r="C90" s="792"/>
      <c r="D90" s="785"/>
      <c r="E90" s="792"/>
      <c r="F90" s="785"/>
      <c r="G90" s="792"/>
    </row>
    <row r="91" spans="2:7" ht="36.6" customHeight="1">
      <c r="B91" s="481" t="str">
        <f>'nota 1.1.-1.2'!B79</f>
        <v>Grunty (w tym prawo użytkowania wieczystego gruntu)</v>
      </c>
      <c r="C91" s="289">
        <f>G139</f>
        <v>0</v>
      </c>
      <c r="D91" s="290">
        <v>0</v>
      </c>
      <c r="E91" s="290">
        <v>0</v>
      </c>
      <c r="F91" s="290">
        <v>0</v>
      </c>
      <c r="G91" s="289">
        <f t="shared" ref="G91:G96" si="2">C91+D91+E91-F91</f>
        <v>0</v>
      </c>
    </row>
    <row r="92" spans="2:7" ht="39" customHeight="1">
      <c r="B92" s="481" t="str">
        <f>'nota 1.1.-1.2'!B80</f>
        <v>Budynki, lokale, prawa do lokali i obiekty inżynierii lądowej i wodnej</v>
      </c>
      <c r="C92" s="289">
        <f>G140</f>
        <v>0</v>
      </c>
      <c r="D92" s="290">
        <v>0</v>
      </c>
      <c r="E92" s="290">
        <v>0</v>
      </c>
      <c r="F92" s="290">
        <v>0</v>
      </c>
      <c r="G92" s="289">
        <f t="shared" si="2"/>
        <v>0</v>
      </c>
    </row>
    <row r="93" spans="2:7" ht="30" customHeight="1">
      <c r="B93" s="481" t="str">
        <f>'nota 1.1.-1.2'!B81</f>
        <v>Urządzenia techniczne i maszyny</v>
      </c>
      <c r="C93" s="289">
        <f>G141</f>
        <v>0</v>
      </c>
      <c r="D93" s="290">
        <v>96908</v>
      </c>
      <c r="E93" s="290">
        <v>0</v>
      </c>
      <c r="F93" s="290">
        <v>0</v>
      </c>
      <c r="G93" s="289">
        <f t="shared" si="2"/>
        <v>96908</v>
      </c>
    </row>
    <row r="94" spans="2:7" ht="27.95" customHeight="1">
      <c r="B94" s="481" t="str">
        <f>'nota 1.1.-1.2'!B82</f>
        <v>Środki transportu</v>
      </c>
      <c r="C94" s="289">
        <f>G142</f>
        <v>0</v>
      </c>
      <c r="D94" s="290">
        <v>0</v>
      </c>
      <c r="E94" s="290">
        <v>0</v>
      </c>
      <c r="F94" s="290">
        <v>0</v>
      </c>
      <c r="G94" s="289">
        <f t="shared" si="2"/>
        <v>0</v>
      </c>
    </row>
    <row r="95" spans="2:7" ht="27.95" customHeight="1">
      <c r="B95" s="481" t="str">
        <f>'nota 1.1.-1.2'!B83</f>
        <v>Inne środki trwałe</v>
      </c>
      <c r="C95" s="289">
        <f>G143</f>
        <v>0</v>
      </c>
      <c r="D95" s="290">
        <v>0</v>
      </c>
      <c r="E95" s="290">
        <v>0</v>
      </c>
      <c r="F95" s="290">
        <v>0</v>
      </c>
      <c r="G95" s="289">
        <f t="shared" si="2"/>
        <v>0</v>
      </c>
    </row>
    <row r="96" spans="2:7" ht="27.95" customHeight="1">
      <c r="B96" s="481" t="str">
        <f>'nota 1.1.-1.2'!B86</f>
        <v>Ogółem</v>
      </c>
      <c r="C96" s="289">
        <f>SUM(C91:C95)</f>
        <v>0</v>
      </c>
      <c r="D96" s="289">
        <f>SUM(D91:D95)</f>
        <v>96908</v>
      </c>
      <c r="E96" s="289">
        <f>SUM(E91:E95)</f>
        <v>0</v>
      </c>
      <c r="F96" s="289">
        <f>SUM(F91:F95)</f>
        <v>0</v>
      </c>
      <c r="G96" s="289">
        <f t="shared" si="2"/>
        <v>96908</v>
      </c>
    </row>
    <row r="98" spans="2:9" hidden="1"/>
    <row r="99" spans="2:9" ht="16.5" hidden="1">
      <c r="B99" s="797" t="str">
        <f>B70</f>
        <v>1.1b. Zestawienie rzeczowych aktywów trwałych</v>
      </c>
      <c r="C99" s="797"/>
      <c r="D99" s="797"/>
      <c r="E99" s="797"/>
      <c r="F99" s="797"/>
      <c r="G99" s="797"/>
    </row>
    <row r="100" spans="2:9" ht="10.5" hidden="1" customHeight="1">
      <c r="B100" s="373"/>
      <c r="C100" s="373"/>
      <c r="D100" s="373"/>
      <c r="E100" s="373"/>
      <c r="F100" s="373"/>
      <c r="G100" s="373"/>
    </row>
    <row r="101" spans="2:9" s="370" customFormat="1" ht="15" hidden="1" customHeight="1">
      <c r="B101" s="798" t="str">
        <f>CHOOSE(jezyk,n!A616,n!B616,n!C616,n!D614)</f>
        <v>Rok obrotowy 2024</v>
      </c>
      <c r="C101" s="799"/>
      <c r="D101" s="373"/>
      <c r="E101" s="373"/>
      <c r="F101" s="373"/>
      <c r="G101" s="373"/>
    </row>
    <row r="102" spans="2:9" hidden="1"/>
    <row r="103" spans="2:9" hidden="1">
      <c r="B103" s="783" t="str">
        <f>B88</f>
        <v>Opis</v>
      </c>
      <c r="C103" s="783"/>
      <c r="D103" s="783"/>
      <c r="E103" s="783" t="str">
        <f>CHOOSE(jezyk,n!A642,n!B642,n!C642,n!D640)</f>
        <v>Wartość netto</v>
      </c>
      <c r="F103" s="783"/>
    </row>
    <row r="104" spans="2:9" hidden="1">
      <c r="B104" s="783"/>
      <c r="C104" s="783"/>
      <c r="D104" s="783"/>
      <c r="E104" s="792" t="str">
        <f>CHOOSE(jezyk,n!A626,n!B626,n!C626,n!D623)</f>
        <v>Stan na 
19.10.2023</v>
      </c>
      <c r="F104" s="792" t="str">
        <f>CHOOSE(jezyk,n!A639,n!B639,n!C639,n!D635)</f>
        <v>Stan na 
31.12.2024</v>
      </c>
      <c r="H104" s="474"/>
      <c r="I104" s="474"/>
    </row>
    <row r="105" spans="2:9" ht="29.25" hidden="1" customHeight="1">
      <c r="B105" s="783"/>
      <c r="C105" s="783"/>
      <c r="D105" s="783"/>
      <c r="E105" s="792"/>
      <c r="F105" s="792"/>
      <c r="H105" s="476" t="str">
        <f>dzb</f>
        <v>31.12.2024</v>
      </c>
      <c r="I105" s="339" t="str">
        <f>pdz</f>
        <v>31.12.2023</v>
      </c>
    </row>
    <row r="106" spans="2:9" ht="24.95" hidden="1" customHeight="1">
      <c r="B106" s="796" t="str">
        <f>B91</f>
        <v>Grunty (w tym prawo użytkowania wieczystego gruntu)</v>
      </c>
      <c r="C106" s="796"/>
      <c r="D106" s="796"/>
      <c r="E106" s="289">
        <f>'nota 1.1.-1.2'!C79-'nota 1.1.-1.2'!C91</f>
        <v>0</v>
      </c>
      <c r="F106" s="289">
        <f>'nota 1.1.-1.2'!G79-'nota 1.1.-1.2'!G91</f>
        <v>0</v>
      </c>
      <c r="H106" s="477">
        <f>ROUND(F106-Bilans!J22,2)</f>
        <v>0</v>
      </c>
      <c r="I106" s="477">
        <f>ROUND(E106-Bilans!K22,2)</f>
        <v>0</v>
      </c>
    </row>
    <row r="107" spans="2:9" ht="24.95" hidden="1" customHeight="1">
      <c r="B107" s="796" t="str">
        <f>B92</f>
        <v>Budynki, lokale, prawa do lokali i obiekty inżynierii lądowej i wodnej</v>
      </c>
      <c r="C107" s="796"/>
      <c r="D107" s="796"/>
      <c r="E107" s="289">
        <f>'nota 1.1.-1.2'!C80-'nota 1.1.-1.2'!C92</f>
        <v>0</v>
      </c>
      <c r="F107" s="289">
        <f>'nota 1.1.-1.2'!G80-'nota 1.1.-1.2'!G92</f>
        <v>0</v>
      </c>
      <c r="H107" s="477">
        <f>ROUND(F107-Bilans!J23,2)</f>
        <v>-226772</v>
      </c>
      <c r="I107" s="477">
        <f>ROUND(E107-Bilans!K23,2)</f>
        <v>0</v>
      </c>
    </row>
    <row r="108" spans="2:9" ht="24.95" hidden="1" customHeight="1">
      <c r="B108" s="796" t="str">
        <f>B93</f>
        <v>Urządzenia techniczne i maszyny</v>
      </c>
      <c r="C108" s="796"/>
      <c r="D108" s="796"/>
      <c r="E108" s="289">
        <f>'nota 1.1.-1.2'!C81-'nota 1.1.-1.2'!C93</f>
        <v>0</v>
      </c>
      <c r="F108" s="289">
        <f>'nota 1.1.-1.2'!G81-'nota 1.1.-1.2'!G93</f>
        <v>226772</v>
      </c>
      <c r="H108" s="477">
        <f>ROUND(F108-Bilans!J24,2)</f>
        <v>226772</v>
      </c>
      <c r="I108" s="477">
        <f>ROUND(E108-Bilans!K24,2)</f>
        <v>0</v>
      </c>
    </row>
    <row r="109" spans="2:9" ht="24.95" hidden="1" customHeight="1">
      <c r="B109" s="796" t="str">
        <f>B94</f>
        <v>Środki transportu</v>
      </c>
      <c r="C109" s="796"/>
      <c r="D109" s="796"/>
      <c r="E109" s="289">
        <f>'nota 1.1.-1.2'!C82-'nota 1.1.-1.2'!C94</f>
        <v>0</v>
      </c>
      <c r="F109" s="289">
        <f>'nota 1.1.-1.2'!G82-'nota 1.1.-1.2'!G94</f>
        <v>0</v>
      </c>
      <c r="H109" s="477">
        <f>ROUND(F109-Bilans!J25,2)</f>
        <v>0</v>
      </c>
      <c r="I109" s="477">
        <f>ROUND(E109-Bilans!K25,2)</f>
        <v>0</v>
      </c>
    </row>
    <row r="110" spans="2:9" ht="24.95" hidden="1" customHeight="1">
      <c r="B110" s="796" t="str">
        <f>B95</f>
        <v>Inne środki trwałe</v>
      </c>
      <c r="C110" s="796"/>
      <c r="D110" s="796"/>
      <c r="E110" s="289">
        <f>'nota 1.1.-1.2'!C83-'nota 1.1.-1.2'!C95</f>
        <v>0</v>
      </c>
      <c r="F110" s="289">
        <f>'nota 1.1.-1.2'!G83-'nota 1.1.-1.2'!G95</f>
        <v>0</v>
      </c>
      <c r="H110" s="477">
        <f>ROUND(F110-Bilans!J26,2)</f>
        <v>-226772</v>
      </c>
      <c r="I110" s="477">
        <f>ROUND(E110-Bilans!K26,2)</f>
        <v>0</v>
      </c>
    </row>
    <row r="111" spans="2:9" ht="24.95" hidden="1" customHeight="1">
      <c r="B111" s="796" t="str">
        <f>B84</f>
        <v>Środki trwałe w budowie</v>
      </c>
      <c r="C111" s="796"/>
      <c r="D111" s="796"/>
      <c r="E111" s="289">
        <f>C84</f>
        <v>0</v>
      </c>
      <c r="F111" s="289">
        <f>G84</f>
        <v>0</v>
      </c>
      <c r="H111" s="477">
        <f>ROUND(F111-Bilans!J29,2)</f>
        <v>0</v>
      </c>
      <c r="I111" s="477">
        <f>ROUND(E111-Bilans!K29,2)</f>
        <v>0</v>
      </c>
    </row>
    <row r="112" spans="2:9" ht="24.95" hidden="1" customHeight="1">
      <c r="B112" s="796" t="str">
        <f>B85</f>
        <v>Zaliczki na środki trwałe w budowie</v>
      </c>
      <c r="C112" s="796"/>
      <c r="D112" s="796"/>
      <c r="E112" s="289">
        <f>C85</f>
        <v>0</v>
      </c>
      <c r="F112" s="289">
        <f>G85</f>
        <v>0</v>
      </c>
      <c r="H112" s="477">
        <f>ROUND(F112-Bilans!J30,2)</f>
        <v>0</v>
      </c>
      <c r="I112" s="477">
        <f>ROUND(E112-Bilans!K30,2)</f>
        <v>0</v>
      </c>
    </row>
    <row r="113" spans="2:9" ht="24.95" hidden="1" customHeight="1">
      <c r="B113" s="796" t="str">
        <f>B86</f>
        <v>Ogółem</v>
      </c>
      <c r="C113" s="796"/>
      <c r="D113" s="796"/>
      <c r="E113" s="289">
        <f>SUM(E106:E112)</f>
        <v>0</v>
      </c>
      <c r="F113" s="289">
        <f>SUM(F106:F112)</f>
        <v>226772</v>
      </c>
      <c r="H113" s="477">
        <f>ROUND(F113-Bilans!J19,2)</f>
        <v>226772</v>
      </c>
      <c r="I113" s="477">
        <f>ROUND(E113-Bilans!K19,2)</f>
        <v>0</v>
      </c>
    </row>
    <row r="114" spans="2:9" ht="9.75" hidden="1" customHeight="1">
      <c r="H114" s="482">
        <f>SUM(H106:H113)</f>
        <v>0</v>
      </c>
      <c r="I114" s="482">
        <f>SUM(I106:I113)</f>
        <v>0</v>
      </c>
    </row>
    <row r="115" spans="2:9" ht="3.75" hidden="1" customHeight="1"/>
    <row r="116" spans="2:9" ht="16.5" hidden="1">
      <c r="B116" s="797" t="str">
        <f>B99</f>
        <v>1.1b. Zestawienie rzeczowych aktywów trwałych</v>
      </c>
      <c r="C116" s="797"/>
      <c r="D116" s="797"/>
      <c r="E116" s="797"/>
      <c r="F116" s="797"/>
      <c r="G116" s="797"/>
    </row>
    <row r="117" spans="2:9" ht="11.25" hidden="1" customHeight="1"/>
    <row r="118" spans="2:9" s="370" customFormat="1" ht="15" hidden="1" customHeight="1">
      <c r="B118" s="798" t="str">
        <f>CHOOSE(jezyk,n!A617,n!B617,n!C617,n!D615)</f>
        <v>Rok obrotowy 2023</v>
      </c>
      <c r="C118" s="799"/>
    </row>
    <row r="119" spans="2:9" hidden="1"/>
    <row r="120" spans="2:9" hidden="1">
      <c r="B120" s="786" t="str">
        <f>B76</f>
        <v>Opis</v>
      </c>
      <c r="C120" s="793" t="str">
        <f>C76</f>
        <v>Wartość brutto</v>
      </c>
      <c r="D120" s="793"/>
      <c r="E120" s="793"/>
      <c r="F120" s="793"/>
      <c r="G120" s="793"/>
    </row>
    <row r="121" spans="2:9" ht="12.75" hidden="1" customHeight="1">
      <c r="B121" s="788"/>
      <c r="C121" s="792" t="str">
        <f>CHOOSE(jezyk,n!A627,n!B627,n!C627,n!D627)</f>
        <v>Stan na 
19.10.2022</v>
      </c>
      <c r="D121" s="792" t="str">
        <f>D77</f>
        <v>Zwiększenia, z tytułu nabycia</v>
      </c>
      <c r="E121" s="792" t="str">
        <f>E77</f>
        <v>Przemieszczenia 
wewnętrzne (+/-)</v>
      </c>
      <c r="F121" s="792" t="str">
        <f>F77</f>
        <v>Zmniejszenia z tytułu rozchodu</v>
      </c>
      <c r="G121" s="792" t="str">
        <f>CHOOSE(jezyk,n!A638,n!B638,n!C638,n!D638)</f>
        <v>Stan na 
31.12.2023</v>
      </c>
    </row>
    <row r="122" spans="2:9" ht="31.5" hidden="1" customHeight="1">
      <c r="B122" s="787"/>
      <c r="C122" s="792"/>
      <c r="D122" s="792"/>
      <c r="E122" s="792"/>
      <c r="F122" s="792"/>
      <c r="G122" s="792"/>
    </row>
    <row r="123" spans="2:9" ht="37.15" hidden="1" customHeight="1">
      <c r="B123" s="288" t="str">
        <f>B79</f>
        <v>Grunty (w tym prawo użytkowania wieczystego gruntu)</v>
      </c>
      <c r="C123" s="290">
        <v>0</v>
      </c>
      <c r="D123" s="290">
        <v>0</v>
      </c>
      <c r="E123" s="290">
        <v>0</v>
      </c>
      <c r="F123" s="290">
        <v>0</v>
      </c>
      <c r="G123" s="289">
        <f>C123+D123+E123-F123</f>
        <v>0</v>
      </c>
    </row>
    <row r="124" spans="2:9" ht="42.75" hidden="1" customHeight="1">
      <c r="B124" s="288" t="str">
        <f t="shared" ref="B124:B130" si="3">B80</f>
        <v>Budynki, lokale, prawa do lokali i obiekty inżynierii lądowej i wodnej</v>
      </c>
      <c r="C124" s="290">
        <v>0</v>
      </c>
      <c r="D124" s="290">
        <v>0</v>
      </c>
      <c r="E124" s="290">
        <v>0</v>
      </c>
      <c r="F124" s="290">
        <v>0</v>
      </c>
      <c r="G124" s="289">
        <f t="shared" ref="G124:G129" si="4">C124+D124+E124-F124</f>
        <v>0</v>
      </c>
    </row>
    <row r="125" spans="2:9" ht="30" hidden="1" customHeight="1">
      <c r="B125" s="288" t="str">
        <f t="shared" si="3"/>
        <v>Urządzenia techniczne i maszyny</v>
      </c>
      <c r="C125" s="290">
        <v>0</v>
      </c>
      <c r="D125" s="290">
        <v>0</v>
      </c>
      <c r="E125" s="290">
        <v>0</v>
      </c>
      <c r="F125" s="290">
        <v>0</v>
      </c>
      <c r="G125" s="289">
        <f>C125+D125+E125-F125</f>
        <v>0</v>
      </c>
    </row>
    <row r="126" spans="2:9" ht="24.95" hidden="1" customHeight="1">
      <c r="B126" s="288" t="str">
        <f t="shared" si="3"/>
        <v>Środki transportu</v>
      </c>
      <c r="C126" s="290">
        <v>0</v>
      </c>
      <c r="D126" s="290">
        <v>0</v>
      </c>
      <c r="E126" s="290">
        <v>0</v>
      </c>
      <c r="F126" s="290">
        <v>0</v>
      </c>
      <c r="G126" s="289">
        <f t="shared" si="4"/>
        <v>0</v>
      </c>
    </row>
    <row r="127" spans="2:9" ht="24.95" hidden="1" customHeight="1">
      <c r="B127" s="288" t="str">
        <f t="shared" si="3"/>
        <v>Inne środki trwałe</v>
      </c>
      <c r="C127" s="290">
        <v>0</v>
      </c>
      <c r="D127" s="290">
        <v>0</v>
      </c>
      <c r="E127" s="290">
        <v>0</v>
      </c>
      <c r="F127" s="290">
        <v>0</v>
      </c>
      <c r="G127" s="289">
        <f t="shared" si="4"/>
        <v>0</v>
      </c>
    </row>
    <row r="128" spans="2:9" ht="24.95" hidden="1" customHeight="1">
      <c r="B128" s="288" t="str">
        <f t="shared" si="3"/>
        <v>Środki trwałe w budowie</v>
      </c>
      <c r="C128" s="290">
        <v>0</v>
      </c>
      <c r="D128" s="290">
        <v>0</v>
      </c>
      <c r="E128" s="290">
        <v>0</v>
      </c>
      <c r="F128" s="290">
        <v>0</v>
      </c>
      <c r="G128" s="289">
        <f t="shared" si="4"/>
        <v>0</v>
      </c>
    </row>
    <row r="129" spans="2:7" ht="33" hidden="1" customHeight="1">
      <c r="B129" s="475" t="str">
        <f t="shared" si="3"/>
        <v>Zaliczki na środki trwałe w budowie</v>
      </c>
      <c r="C129" s="290">
        <v>0</v>
      </c>
      <c r="D129" s="290">
        <v>0</v>
      </c>
      <c r="E129" s="290">
        <v>0</v>
      </c>
      <c r="F129" s="290">
        <v>0</v>
      </c>
      <c r="G129" s="289">
        <f t="shared" si="4"/>
        <v>0</v>
      </c>
    </row>
    <row r="130" spans="2:7" ht="24.95" hidden="1" customHeight="1">
      <c r="B130" s="288" t="str">
        <f t="shared" si="3"/>
        <v>Ogółem</v>
      </c>
      <c r="C130" s="289">
        <f>SUM(C123:C129)</f>
        <v>0</v>
      </c>
      <c r="D130" s="289">
        <f>SUM(D123:D129)</f>
        <v>0</v>
      </c>
      <c r="E130" s="289">
        <f>SUM(E123:E129)</f>
        <v>0</v>
      </c>
      <c r="F130" s="289">
        <f>SUM(F123:F129)</f>
        <v>0</v>
      </c>
      <c r="G130" s="289">
        <f>C130+D130+E130-F130</f>
        <v>0</v>
      </c>
    </row>
    <row r="131" spans="2:7" ht="20.25" hidden="1" customHeight="1"/>
    <row r="132" spans="2:7" ht="16.5" hidden="1">
      <c r="B132" s="797" t="str">
        <f>B116</f>
        <v>1.1b. Zestawienie rzeczowych aktywów trwałych</v>
      </c>
      <c r="C132" s="797"/>
      <c r="D132" s="797"/>
      <c r="E132" s="797"/>
      <c r="F132" s="797"/>
      <c r="G132" s="797"/>
    </row>
    <row r="133" spans="2:7" hidden="1"/>
    <row r="134" spans="2:7" s="370" customFormat="1" ht="15" hidden="1" customHeight="1">
      <c r="B134" s="798" t="str">
        <f>CHOOSE(jezyk,n!A617,n!B617,n!C617,n!D615)</f>
        <v>Rok obrotowy 2023</v>
      </c>
      <c r="C134" s="799"/>
    </row>
    <row r="135" spans="2:7" hidden="1">
      <c r="B135" s="712"/>
    </row>
    <row r="136" spans="2:7" hidden="1">
      <c r="B136" s="783" t="str">
        <f>B88</f>
        <v>Opis</v>
      </c>
      <c r="C136" s="793" t="str">
        <f>C88</f>
        <v>Umorzenie</v>
      </c>
      <c r="D136" s="793"/>
      <c r="E136" s="793"/>
      <c r="F136" s="793"/>
      <c r="G136" s="793"/>
    </row>
    <row r="137" spans="2:7" ht="12.75" hidden="1" customHeight="1">
      <c r="B137" s="783"/>
      <c r="C137" s="784" t="str">
        <f>CHOOSE(jezyk,n!A627,n!B627,n!C627,n!D627)</f>
        <v>Stan na 
19.10.2022</v>
      </c>
      <c r="D137" s="784" t="str">
        <f>D89</f>
        <v>Zwiększenia z tytułu umorzenia</v>
      </c>
      <c r="E137" s="784" t="str">
        <f>E89</f>
        <v>Przemieszczenia 
wewnętrzne (+/-)</v>
      </c>
      <c r="F137" s="784" t="str">
        <f>F89</f>
        <v>Zmniejszenia z tytułu rozchodu</v>
      </c>
      <c r="G137" s="784" t="str">
        <f>CHOOSE(jezyk,n!A638,n!B638,n!C638,n!D638)</f>
        <v>Stan na 
31.12.2023</v>
      </c>
    </row>
    <row r="138" spans="2:7" ht="38.25" hidden="1" customHeight="1">
      <c r="B138" s="783"/>
      <c r="C138" s="785"/>
      <c r="D138" s="785"/>
      <c r="E138" s="785"/>
      <c r="F138" s="785"/>
      <c r="G138" s="785"/>
    </row>
    <row r="139" spans="2:7" ht="39" hidden="1" customHeight="1">
      <c r="B139" s="481" t="str">
        <f t="shared" ref="B139:B144" si="5">B91</f>
        <v>Grunty (w tym prawo użytkowania wieczystego gruntu)</v>
      </c>
      <c r="C139" s="290">
        <v>0</v>
      </c>
      <c r="D139" s="290">
        <v>0</v>
      </c>
      <c r="E139" s="290">
        <v>0</v>
      </c>
      <c r="F139" s="290">
        <v>0</v>
      </c>
      <c r="G139" s="289">
        <f t="shared" ref="G139:G144" si="6">C139+D139+E139-F139</f>
        <v>0</v>
      </c>
    </row>
    <row r="140" spans="2:7" ht="39" hidden="1" customHeight="1">
      <c r="B140" s="481" t="str">
        <f t="shared" si="5"/>
        <v>Budynki, lokale, prawa do lokali i obiekty inżynierii lądowej i wodnej</v>
      </c>
      <c r="C140" s="290">
        <v>0</v>
      </c>
      <c r="D140" s="290">
        <v>0</v>
      </c>
      <c r="E140" s="290">
        <v>0</v>
      </c>
      <c r="F140" s="290">
        <v>0</v>
      </c>
      <c r="G140" s="289">
        <f t="shared" si="6"/>
        <v>0</v>
      </c>
    </row>
    <row r="141" spans="2:7" ht="30" hidden="1" customHeight="1">
      <c r="B141" s="481" t="str">
        <f t="shared" si="5"/>
        <v>Urządzenia techniczne i maszyny</v>
      </c>
      <c r="C141" s="290">
        <v>0</v>
      </c>
      <c r="D141" s="290">
        <v>0</v>
      </c>
      <c r="E141" s="290">
        <v>0</v>
      </c>
      <c r="F141" s="290">
        <v>0</v>
      </c>
      <c r="G141" s="289">
        <f t="shared" si="6"/>
        <v>0</v>
      </c>
    </row>
    <row r="142" spans="2:7" ht="30" hidden="1" customHeight="1">
      <c r="B142" s="481" t="str">
        <f t="shared" si="5"/>
        <v>Środki transportu</v>
      </c>
      <c r="C142" s="290">
        <v>0</v>
      </c>
      <c r="D142" s="290">
        <v>0</v>
      </c>
      <c r="E142" s="290">
        <v>0</v>
      </c>
      <c r="F142" s="290">
        <v>0</v>
      </c>
      <c r="G142" s="289">
        <f t="shared" si="6"/>
        <v>0</v>
      </c>
    </row>
    <row r="143" spans="2:7" ht="30" hidden="1" customHeight="1">
      <c r="B143" s="481" t="str">
        <f t="shared" si="5"/>
        <v>Inne środki trwałe</v>
      </c>
      <c r="C143" s="290">
        <v>0</v>
      </c>
      <c r="D143" s="290">
        <v>0</v>
      </c>
      <c r="E143" s="290">
        <v>0</v>
      </c>
      <c r="F143" s="290">
        <v>0</v>
      </c>
      <c r="G143" s="289">
        <f t="shared" si="6"/>
        <v>0</v>
      </c>
    </row>
    <row r="144" spans="2:7" ht="30" hidden="1" customHeight="1">
      <c r="B144" s="481" t="str">
        <f t="shared" si="5"/>
        <v>Ogółem</v>
      </c>
      <c r="C144" s="289">
        <f>SUM(C139:C143)</f>
        <v>0</v>
      </c>
      <c r="D144" s="289">
        <f>SUM(D139:D143)</f>
        <v>0</v>
      </c>
      <c r="E144" s="289">
        <f>SUM(E139:E143)</f>
        <v>0</v>
      </c>
      <c r="F144" s="289">
        <f>SUM(F139:F143)</f>
        <v>0</v>
      </c>
      <c r="G144" s="289">
        <f t="shared" si="6"/>
        <v>0</v>
      </c>
    </row>
    <row r="145" spans="2:9" hidden="1"/>
    <row r="146" spans="2:9" hidden="1">
      <c r="B146" s="783" t="str">
        <f>B136</f>
        <v>Opis</v>
      </c>
      <c r="C146" s="783"/>
      <c r="D146" s="783"/>
      <c r="E146" s="783" t="str">
        <f>E103</f>
        <v>Wartość netto</v>
      </c>
      <c r="F146" s="783"/>
    </row>
    <row r="147" spans="2:9" ht="12.75" hidden="1" customHeight="1">
      <c r="B147" s="783"/>
      <c r="C147" s="783"/>
      <c r="D147" s="783"/>
      <c r="E147" s="792" t="str">
        <f>CHOOSE(jezyk,n!A627,n!B627,n!C627,n!D627)</f>
        <v>Stan na 
19.10.2022</v>
      </c>
      <c r="F147" s="792" t="str">
        <f>CHOOSE(jezyk,n!A638,n!B638,n!C638,n!D638)</f>
        <v>Stan na 
31.12.2023</v>
      </c>
      <c r="H147" s="474"/>
      <c r="I147" s="474"/>
    </row>
    <row r="148" spans="2:9" ht="27.75" hidden="1" customHeight="1">
      <c r="B148" s="783"/>
      <c r="C148" s="783"/>
      <c r="D148" s="783"/>
      <c r="E148" s="792"/>
      <c r="F148" s="792"/>
      <c r="H148" s="339" t="str">
        <f>pdz</f>
        <v>31.12.2023</v>
      </c>
    </row>
    <row r="149" spans="2:9" ht="24.95" hidden="1" customHeight="1">
      <c r="B149" s="796" t="str">
        <f>B139</f>
        <v>Grunty (w tym prawo użytkowania wieczystego gruntu)</v>
      </c>
      <c r="C149" s="796"/>
      <c r="D149" s="796"/>
      <c r="E149" s="289">
        <f>'nota 1.1.-1.2'!C123-'nota 1.1.-1.2'!C139</f>
        <v>0</v>
      </c>
      <c r="F149" s="289">
        <f>'nota 1.1.-1.2'!G123-'nota 1.1.-1.2'!G139</f>
        <v>0</v>
      </c>
      <c r="H149" s="477">
        <f t="shared" ref="H149:H156" si="7">F149-E106</f>
        <v>0</v>
      </c>
    </row>
    <row r="150" spans="2:9" ht="24.95" hidden="1" customHeight="1">
      <c r="B150" s="796" t="str">
        <f>B140</f>
        <v>Budynki, lokale, prawa do lokali i obiekty inżynierii lądowej i wodnej</v>
      </c>
      <c r="C150" s="796"/>
      <c r="D150" s="796"/>
      <c r="E150" s="289">
        <f>'nota 1.1.-1.2'!C124-'nota 1.1.-1.2'!C140</f>
        <v>0</v>
      </c>
      <c r="F150" s="289">
        <f>'nota 1.1.-1.2'!G124-'nota 1.1.-1.2'!G140</f>
        <v>0</v>
      </c>
      <c r="H150" s="477">
        <f t="shared" si="7"/>
        <v>0</v>
      </c>
    </row>
    <row r="151" spans="2:9" ht="24.95" hidden="1" customHeight="1">
      <c r="B151" s="796" t="str">
        <f>B141</f>
        <v>Urządzenia techniczne i maszyny</v>
      </c>
      <c r="C151" s="796"/>
      <c r="D151" s="796"/>
      <c r="E151" s="289">
        <f>'nota 1.1.-1.2'!C125-'nota 1.1.-1.2'!C141</f>
        <v>0</v>
      </c>
      <c r="F151" s="289">
        <f>'nota 1.1.-1.2'!G125-'nota 1.1.-1.2'!G141</f>
        <v>0</v>
      </c>
      <c r="H151" s="477">
        <f t="shared" si="7"/>
        <v>0</v>
      </c>
    </row>
    <row r="152" spans="2:9" ht="24.95" hidden="1" customHeight="1">
      <c r="B152" s="796" t="str">
        <f>B142</f>
        <v>Środki transportu</v>
      </c>
      <c r="C152" s="796"/>
      <c r="D152" s="796"/>
      <c r="E152" s="289">
        <f>'nota 1.1.-1.2'!C126-'nota 1.1.-1.2'!C142</f>
        <v>0</v>
      </c>
      <c r="F152" s="289">
        <f>'nota 1.1.-1.2'!G126-'nota 1.1.-1.2'!G142</f>
        <v>0</v>
      </c>
      <c r="H152" s="477">
        <f t="shared" si="7"/>
        <v>0</v>
      </c>
    </row>
    <row r="153" spans="2:9" ht="24.95" hidden="1" customHeight="1">
      <c r="B153" s="796" t="str">
        <f>B143</f>
        <v>Inne środki trwałe</v>
      </c>
      <c r="C153" s="796"/>
      <c r="D153" s="796"/>
      <c r="E153" s="289">
        <f>'nota 1.1.-1.2'!C127-'nota 1.1.-1.2'!C143</f>
        <v>0</v>
      </c>
      <c r="F153" s="289">
        <f>'nota 1.1.-1.2'!G127-'nota 1.1.-1.2'!G143</f>
        <v>0</v>
      </c>
      <c r="H153" s="477">
        <f t="shared" si="7"/>
        <v>0</v>
      </c>
    </row>
    <row r="154" spans="2:9" ht="24.95" hidden="1" customHeight="1">
      <c r="B154" s="796" t="str">
        <f>B128</f>
        <v>Środki trwałe w budowie</v>
      </c>
      <c r="C154" s="796"/>
      <c r="D154" s="796"/>
      <c r="E154" s="289">
        <f>C128</f>
        <v>0</v>
      </c>
      <c r="F154" s="289">
        <f>G128</f>
        <v>0</v>
      </c>
      <c r="H154" s="477">
        <f t="shared" si="7"/>
        <v>0</v>
      </c>
    </row>
    <row r="155" spans="2:9" ht="24.95" hidden="1" customHeight="1">
      <c r="B155" s="796" t="str">
        <f>B129</f>
        <v>Zaliczki na środki trwałe w budowie</v>
      </c>
      <c r="C155" s="796"/>
      <c r="D155" s="796"/>
      <c r="E155" s="289">
        <f>C129</f>
        <v>0</v>
      </c>
      <c r="F155" s="289">
        <f>G129</f>
        <v>0</v>
      </c>
      <c r="H155" s="477">
        <f t="shared" si="7"/>
        <v>0</v>
      </c>
    </row>
    <row r="156" spans="2:9" ht="24.95" hidden="1" customHeight="1">
      <c r="B156" s="796" t="str">
        <f>B130</f>
        <v>Ogółem</v>
      </c>
      <c r="C156" s="796"/>
      <c r="D156" s="796"/>
      <c r="E156" s="289">
        <f>SUM(E149:E155)</f>
        <v>0</v>
      </c>
      <c r="F156" s="289">
        <f>SUM(F149:F155)</f>
        <v>0</v>
      </c>
      <c r="H156" s="477">
        <f t="shared" si="7"/>
        <v>0</v>
      </c>
    </row>
    <row r="157" spans="2:9" hidden="1"/>
    <row r="158" spans="2:9" hidden="1"/>
    <row r="159" spans="2:9" hidden="1"/>
    <row r="160" spans="2:9" ht="19.5" customHeight="1"/>
    <row r="161" spans="2:8" ht="16.5">
      <c r="B161" s="797" t="str">
        <f>"1.1c. "&amp;CHOOSE(jezyk,n!A655,n!B655,n!C655,n!D653)</f>
        <v>1.1c. Zestawienie inwestycji długoterminowych</v>
      </c>
      <c r="C161" s="797"/>
      <c r="D161" s="797"/>
      <c r="E161" s="797"/>
      <c r="F161" s="797"/>
      <c r="G161" s="797"/>
    </row>
    <row r="162" spans="2:8" ht="16.5">
      <c r="B162" s="373"/>
      <c r="C162" s="373"/>
      <c r="D162" s="373"/>
      <c r="E162" s="373"/>
      <c r="F162" s="373"/>
      <c r="G162" s="373"/>
    </row>
    <row r="163" spans="2:8" ht="16.5" customHeight="1">
      <c r="B163" s="745" t="str">
        <f>CHOOSE(jezyk,n!A643,n!B643,n!C643,n!D641)</f>
        <v>Pozycja nie wystąpiła zarówno w roku obrotowym 2024, jak i w roku poprzednim.</v>
      </c>
      <c r="C163" s="745"/>
      <c r="D163" s="745"/>
      <c r="E163" s="745"/>
      <c r="F163" s="745"/>
      <c r="G163" s="745"/>
      <c r="H163" s="131" t="s">
        <v>2186</v>
      </c>
    </row>
    <row r="164" spans="2:8" hidden="1"/>
    <row r="165" spans="2:8" ht="15" hidden="1" customHeight="1">
      <c r="B165" s="798" t="str">
        <f>CHOOSE(jezyk,n!A616,n!B616,n!C616,n!D614)</f>
        <v>Rok obrotowy 2024</v>
      </c>
      <c r="C165" s="799"/>
    </row>
    <row r="166" spans="2:8" hidden="1"/>
    <row r="167" spans="2:8" hidden="1">
      <c r="B167" s="786" t="str">
        <f>CHOOSE(jezyk,n!A618,n!B618,n!C618,n!D616)</f>
        <v>Opis</v>
      </c>
      <c r="C167" s="793" t="str">
        <f>CHOOSE(jezyk,n!A624,n!B624,n!C624,n!D622)</f>
        <v>Wartość brutto</v>
      </c>
      <c r="D167" s="793"/>
      <c r="E167" s="793"/>
      <c r="F167" s="793"/>
      <c r="G167" s="793"/>
    </row>
    <row r="168" spans="2:8" hidden="1">
      <c r="B168" s="788"/>
      <c r="C168" s="792" t="str">
        <f>CHOOSE(jezyk,n!A626,n!B626,n!C626,n!D623)</f>
        <v>Stan na 
19.10.2023</v>
      </c>
      <c r="D168" s="784" t="str">
        <f>'nota 1.1.-1.2'!D77</f>
        <v>Zwiększenia, z tytułu nabycia</v>
      </c>
      <c r="E168" s="792" t="str">
        <f>CHOOSE(jezyk,n!A632,n!B632,n!C632,n!D630)</f>
        <v>Przemieszczenia 
wewnętrzne (+/-)</v>
      </c>
      <c r="F168" s="784" t="str">
        <f>'nota 1.1.-1.2'!F77</f>
        <v>Zmniejszenia z tytułu rozchodu</v>
      </c>
      <c r="G168" s="792" t="str">
        <f>CHOOSE(jezyk,n!A639,n!B639,n!C639,n!D635)</f>
        <v>Stan na 
31.12.2024</v>
      </c>
    </row>
    <row r="169" spans="2:8" ht="30" hidden="1" customHeight="1">
      <c r="B169" s="787"/>
      <c r="C169" s="792"/>
      <c r="D169" s="785"/>
      <c r="E169" s="792"/>
      <c r="F169" s="785"/>
      <c r="G169" s="792"/>
    </row>
    <row r="170" spans="2:8" ht="24" hidden="1" customHeight="1">
      <c r="B170" s="288" t="str">
        <f>CHOOSE(jezyk,n!A656,n!B656,n!C656,n!D654)</f>
        <v>Nieruchomości</v>
      </c>
      <c r="C170" s="289">
        <f>G204</f>
        <v>0</v>
      </c>
      <c r="D170" s="290">
        <v>0</v>
      </c>
      <c r="E170" s="290">
        <v>0</v>
      </c>
      <c r="F170" s="290">
        <v>0</v>
      </c>
      <c r="G170" s="289">
        <f>C170+D170+E170-F170</f>
        <v>0</v>
      </c>
    </row>
    <row r="171" spans="2:8" ht="24" hidden="1" customHeight="1">
      <c r="B171" s="288" t="str">
        <f>CHOOSE(jezyk,n!A657,n!B657,n!C657,n!D655)</f>
        <v>Wartości niematerialne i prawne</v>
      </c>
      <c r="C171" s="289">
        <f>G205</f>
        <v>0</v>
      </c>
      <c r="D171" s="290">
        <v>0</v>
      </c>
      <c r="E171" s="290">
        <v>0</v>
      </c>
      <c r="F171" s="290">
        <v>0</v>
      </c>
      <c r="G171" s="289">
        <f>C171+D171+E171-F171</f>
        <v>0</v>
      </c>
    </row>
    <row r="172" spans="2:8" ht="24" hidden="1" customHeight="1">
      <c r="B172" s="288" t="str">
        <f>CHOOSE(jezyk,n!A658,n!B658,n!C658,n!D656)</f>
        <v>Długoterminowe aktywa finansowe</v>
      </c>
      <c r="C172" s="289">
        <f>G206</f>
        <v>0</v>
      </c>
      <c r="D172" s="290">
        <v>0</v>
      </c>
      <c r="E172" s="290">
        <v>0</v>
      </c>
      <c r="F172" s="290">
        <v>0</v>
      </c>
      <c r="G172" s="289">
        <f>C172+D172+E172-F172</f>
        <v>0</v>
      </c>
    </row>
    <row r="173" spans="2:8" ht="24" hidden="1" customHeight="1">
      <c r="B173" s="288" t="str">
        <f>CHOOSE(jezyk,n!A659,n!B659,n!C659,n!D657)</f>
        <v>Inne inwestycje długoterminowe</v>
      </c>
      <c r="C173" s="289">
        <f>G207</f>
        <v>0</v>
      </c>
      <c r="D173" s="290">
        <v>0</v>
      </c>
      <c r="E173" s="290">
        <v>0</v>
      </c>
      <c r="F173" s="290">
        <v>0</v>
      </c>
      <c r="G173" s="289">
        <f>C173+D173+E173-F173</f>
        <v>0</v>
      </c>
    </row>
    <row r="174" spans="2:8" ht="24" hidden="1" customHeight="1">
      <c r="B174" s="288" t="str">
        <f>CHOOSE(jezyk,n!A623,n!B623,n!C623,n!D621)</f>
        <v>Ogółem</v>
      </c>
      <c r="C174" s="289">
        <f>SUM(C170:C173)</f>
        <v>0</v>
      </c>
      <c r="D174" s="289">
        <f>SUM(D170:D173)</f>
        <v>0</v>
      </c>
      <c r="E174" s="289">
        <f>SUM(E170:E173)</f>
        <v>0</v>
      </c>
      <c r="F174" s="289">
        <f>SUM(F170:F173)</f>
        <v>0</v>
      </c>
      <c r="G174" s="289">
        <f>C174+D174+E174-F174</f>
        <v>0</v>
      </c>
    </row>
    <row r="175" spans="2:8" hidden="1"/>
    <row r="176" spans="2:8" hidden="1">
      <c r="B176" s="783" t="str">
        <f>B167</f>
        <v>Opis</v>
      </c>
      <c r="C176" s="789" t="str">
        <f>CHOOSE(jezyk,n!A640,n!B640,n!C640,n!D636)</f>
        <v>Umorzenie</v>
      </c>
      <c r="D176" s="790"/>
      <c r="E176" s="790"/>
      <c r="F176" s="790"/>
      <c r="G176" s="791"/>
    </row>
    <row r="177" spans="1:9" hidden="1">
      <c r="B177" s="783"/>
      <c r="C177" s="792" t="str">
        <f>CHOOSE(jezyk,n!A626,n!B626,n!C626,n!D623)</f>
        <v>Stan na 
19.10.2023</v>
      </c>
      <c r="D177" s="784" t="str">
        <f>CHOOSE(jezyk,n!A634,n!B634,n!C634,n!D632)</f>
        <v>Zwiększenia z tytułu umorzenia</v>
      </c>
      <c r="E177" s="792" t="str">
        <f>CHOOSE(jezyk,n!A632,n!B632,n!C632,n!D630)</f>
        <v>Przemieszczenia 
wewnętrzne (+/-)</v>
      </c>
      <c r="F177" s="786" t="str">
        <f>'nota 1.1.-1.2'!F168</f>
        <v>Zmniejszenia z tytułu rozchodu</v>
      </c>
      <c r="G177" s="783" t="str">
        <f>CHOOSE(jezyk,n!A639,n!B639,n!C639,n!D635)</f>
        <v>Stan na 
31.12.2024</v>
      </c>
    </row>
    <row r="178" spans="1:9" ht="41.25" hidden="1" customHeight="1">
      <c r="B178" s="783"/>
      <c r="C178" s="792"/>
      <c r="D178" s="785"/>
      <c r="E178" s="792"/>
      <c r="F178" s="787"/>
      <c r="G178" s="783"/>
    </row>
    <row r="179" spans="1:9" s="483" customFormat="1" ht="24" hidden="1" customHeight="1">
      <c r="A179" s="164"/>
      <c r="B179" s="481" t="str">
        <f>'nota 1.1.-1.2'!B170</f>
        <v>Nieruchomości</v>
      </c>
      <c r="C179" s="289">
        <f>G213</f>
        <v>0</v>
      </c>
      <c r="D179" s="290">
        <v>0</v>
      </c>
      <c r="E179" s="290">
        <v>0</v>
      </c>
      <c r="F179" s="290">
        <v>0</v>
      </c>
      <c r="G179" s="289">
        <f>C179+D179+E179-F179</f>
        <v>0</v>
      </c>
    </row>
    <row r="180" spans="1:9" s="483" customFormat="1" ht="24" hidden="1" customHeight="1">
      <c r="A180" s="164"/>
      <c r="B180" s="481" t="str">
        <f>'nota 1.1.-1.2'!B171</f>
        <v>Wartości niematerialne i prawne</v>
      </c>
      <c r="C180" s="289">
        <f>G214</f>
        <v>0</v>
      </c>
      <c r="D180" s="290">
        <v>0</v>
      </c>
      <c r="E180" s="290">
        <v>0</v>
      </c>
      <c r="F180" s="290">
        <v>0</v>
      </c>
      <c r="G180" s="289">
        <f>C180+D180+E180-F180</f>
        <v>0</v>
      </c>
    </row>
    <row r="181" spans="1:9" s="483" customFormat="1" ht="24" hidden="1" customHeight="1">
      <c r="A181" s="164"/>
      <c r="B181" s="481" t="str">
        <f>'nota 1.1.-1.2'!B174</f>
        <v>Ogółem</v>
      </c>
      <c r="C181" s="289">
        <f>SUM(C179:C180)</f>
        <v>0</v>
      </c>
      <c r="D181" s="289">
        <f>SUM(D179:D180)</f>
        <v>0</v>
      </c>
      <c r="E181" s="289">
        <f>SUM(E179:E180)</f>
        <v>0</v>
      </c>
      <c r="F181" s="289">
        <f>SUM(F179:F180)</f>
        <v>0</v>
      </c>
      <c r="G181" s="289">
        <f>C181+D181+E181-F181</f>
        <v>0</v>
      </c>
    </row>
    <row r="182" spans="1:9" hidden="1"/>
    <row r="183" spans="1:9" hidden="1">
      <c r="B183" s="783" t="str">
        <f>B176</f>
        <v>Opis</v>
      </c>
      <c r="C183" s="783"/>
      <c r="D183" s="793" t="str">
        <f>CHOOSE(jezyk,n!A642,n!B642,n!C642,n!D640)</f>
        <v>Wartość netto</v>
      </c>
      <c r="E183" s="793"/>
      <c r="F183" s="169"/>
      <c r="G183" s="169"/>
    </row>
    <row r="184" spans="1:9" hidden="1">
      <c r="B184" s="783"/>
      <c r="C184" s="783"/>
      <c r="D184" s="792" t="str">
        <f>CHOOSE(jezyk,n!A626,n!B626,n!C626,n!D623)</f>
        <v>Stan na 
19.10.2023</v>
      </c>
      <c r="E184" s="783" t="str">
        <f>CHOOSE(jezyk,n!A639,n!B639,n!C639,n!D635)</f>
        <v>Stan na 
31.12.2024</v>
      </c>
      <c r="F184" s="474"/>
      <c r="G184" s="474"/>
    </row>
    <row r="185" spans="1:9" ht="30" hidden="1" customHeight="1">
      <c r="B185" s="783"/>
      <c r="C185" s="783"/>
      <c r="D185" s="792"/>
      <c r="E185" s="783"/>
      <c r="H185" s="476" t="str">
        <f>dzb</f>
        <v>31.12.2024</v>
      </c>
      <c r="I185" s="339" t="str">
        <f>pdz</f>
        <v>31.12.2023</v>
      </c>
    </row>
    <row r="186" spans="1:9" ht="18" hidden="1" customHeight="1">
      <c r="B186" s="796" t="str">
        <f>'nota 1.1.-1.2'!B179</f>
        <v>Nieruchomości</v>
      </c>
      <c r="C186" s="796"/>
      <c r="D186" s="289">
        <f>'nota 1.1.-1.2'!C170-'nota 1.1.-1.2'!C179</f>
        <v>0</v>
      </c>
      <c r="E186" s="289">
        <f>'nota 1.1.-1.2'!G170-'nota 1.1.-1.2'!G179</f>
        <v>0</v>
      </c>
      <c r="H186" s="477">
        <f>ROUND(E186-Bilans!J40,2)</f>
        <v>0</v>
      </c>
      <c r="I186" s="477">
        <f>ROUND(D186-Bilans!K40,2)</f>
        <v>0</v>
      </c>
    </row>
    <row r="187" spans="1:9" ht="18" hidden="1" customHeight="1">
      <c r="B187" s="796" t="str">
        <f>'nota 1.1.-1.2'!B180</f>
        <v>Wartości niematerialne i prawne</v>
      </c>
      <c r="C187" s="796"/>
      <c r="D187" s="289">
        <f>'nota 1.1.-1.2'!C171-'nota 1.1.-1.2'!C180</f>
        <v>0</v>
      </c>
      <c r="E187" s="289">
        <f>'nota 1.1.-1.2'!G171-'nota 1.1.-1.2'!G180</f>
        <v>0</v>
      </c>
      <c r="H187" s="477">
        <f>ROUND(E187-Bilans!J41,2)</f>
        <v>0</v>
      </c>
      <c r="I187" s="477">
        <f>ROUND(D187-Bilans!K41,2)</f>
        <v>0</v>
      </c>
    </row>
    <row r="188" spans="1:9" ht="18" hidden="1" customHeight="1">
      <c r="B188" s="796" t="str">
        <f>CHOOSE(jezyk,n!A658,n!B658,n!C658,n!D656)</f>
        <v>Długoterminowe aktywa finansowe</v>
      </c>
      <c r="C188" s="796"/>
      <c r="D188" s="289">
        <f>'nota 1.1.-1.2'!C172</f>
        <v>0</v>
      </c>
      <c r="E188" s="289">
        <f>'nota 1.1.-1.2'!G172</f>
        <v>0</v>
      </c>
      <c r="H188" s="477">
        <f>ROUND(E188-Bilans!J42,2)</f>
        <v>0</v>
      </c>
      <c r="I188" s="477">
        <f>ROUND(D188-Bilans!K42,2)</f>
        <v>0</v>
      </c>
    </row>
    <row r="189" spans="1:9" ht="18" hidden="1" customHeight="1">
      <c r="B189" s="796" t="str">
        <f>CHOOSE(jezyk,n!A659,n!B659,n!C659,n!D657)</f>
        <v>Inne inwestycje długoterminowe</v>
      </c>
      <c r="C189" s="796"/>
      <c r="D189" s="289">
        <f>'nota 1.1.-1.2'!C173</f>
        <v>0</v>
      </c>
      <c r="E189" s="289">
        <f>'nota 1.1.-1.2'!G173</f>
        <v>0</v>
      </c>
      <c r="H189" s="477">
        <f>ROUND(E189-Bilans!J62,2)</f>
        <v>0</v>
      </c>
      <c r="I189" s="477">
        <f>ROUND(D189-Bilans!K62,2)</f>
        <v>0</v>
      </c>
    </row>
    <row r="190" spans="1:9" ht="18" hidden="1" customHeight="1">
      <c r="B190" s="796" t="str">
        <f>'nota 1.1.-1.2'!B181</f>
        <v>Ogółem</v>
      </c>
      <c r="C190" s="796"/>
      <c r="D190" s="289">
        <f>SUM(D186:D189)</f>
        <v>0</v>
      </c>
      <c r="E190" s="289">
        <f>SUM(E186:E189)</f>
        <v>0</v>
      </c>
      <c r="H190" s="477">
        <f>ROUND(E190-Bilans!J38,2)</f>
        <v>0</v>
      </c>
      <c r="I190" s="477">
        <f>ROUND(D190-Bilans!K38,2)</f>
        <v>0</v>
      </c>
    </row>
    <row r="191" spans="1:9" hidden="1">
      <c r="H191" s="482">
        <f>SUM(H186:H190)</f>
        <v>0</v>
      </c>
      <c r="I191" s="482">
        <f>SUM(I186:I190)</f>
        <v>0</v>
      </c>
    </row>
    <row r="192" spans="1:9" hidden="1">
      <c r="B192" s="484" t="str">
        <f>CHOOSE(jezyk,n!A660,n!B660,n!C660,n!D658)</f>
        <v>Informacje uzupełniające do zestawienia inwestycji długoterminowych:</v>
      </c>
    </row>
    <row r="193" spans="2:9" hidden="1">
      <c r="B193" s="484"/>
    </row>
    <row r="194" spans="2:9" hidden="1">
      <c r="B194" s="794" t="str">
        <f>CHOOSE(jezyk,n!A1131,n!B1131,n!C1131,n!D1129)</f>
        <v>Nie dotyczy</v>
      </c>
      <c r="C194" s="794"/>
      <c r="D194" s="794"/>
      <c r="E194" s="794"/>
      <c r="F194" s="794"/>
      <c r="G194" s="794"/>
      <c r="H194" s="485"/>
      <c r="I194" s="485"/>
    </row>
    <row r="195" spans="2:9" hidden="1"/>
    <row r="196" spans="2:9" ht="19.5" hidden="1" customHeight="1"/>
    <row r="197" spans="2:9" ht="16.5" hidden="1">
      <c r="B197" s="797" t="str">
        <f>B161</f>
        <v>1.1c. Zestawienie inwestycji długoterminowych</v>
      </c>
      <c r="C197" s="797"/>
      <c r="D197" s="797"/>
      <c r="E197" s="797"/>
      <c r="F197" s="797"/>
      <c r="G197" s="797"/>
    </row>
    <row r="198" spans="2:9" ht="16.5" hidden="1">
      <c r="B198" s="373"/>
      <c r="C198" s="373"/>
      <c r="D198" s="373"/>
      <c r="E198" s="373"/>
      <c r="F198" s="373"/>
      <c r="G198" s="373"/>
    </row>
    <row r="199" spans="2:9" ht="15" hidden="1" customHeight="1">
      <c r="B199" s="798" t="str">
        <f>CHOOSE(jezyk,n!A617,n!B617,n!C617,n!D615)</f>
        <v>Rok obrotowy 2023</v>
      </c>
      <c r="C199" s="799"/>
    </row>
    <row r="200" spans="2:9" hidden="1"/>
    <row r="201" spans="2:9" hidden="1">
      <c r="B201" s="786" t="str">
        <f>B167</f>
        <v>Opis</v>
      </c>
      <c r="C201" s="793" t="str">
        <f>C167</f>
        <v>Wartość brutto</v>
      </c>
      <c r="D201" s="793"/>
      <c r="E201" s="793"/>
      <c r="F201" s="793"/>
      <c r="G201" s="793"/>
    </row>
    <row r="202" spans="2:9" ht="12.75" hidden="1" customHeight="1">
      <c r="B202" s="788"/>
      <c r="C202" s="792" t="str">
        <f>CHOOSE(jezyk,n!A627,n!B627,n!C627,n!D627)</f>
        <v>Stan na 
19.10.2022</v>
      </c>
      <c r="D202" s="792" t="str">
        <f>D168</f>
        <v>Zwiększenia, z tytułu nabycia</v>
      </c>
      <c r="E202" s="792" t="str">
        <f>E168</f>
        <v>Przemieszczenia 
wewnętrzne (+/-)</v>
      </c>
      <c r="F202" s="792" t="str">
        <f>F168</f>
        <v>Zmniejszenia z tytułu rozchodu</v>
      </c>
      <c r="G202" s="792" t="str">
        <f>CHOOSE(jezyk,n!A638,n!B638,n!C638,n!D638)</f>
        <v>Stan na 
31.12.2023</v>
      </c>
    </row>
    <row r="203" spans="2:9" ht="30" hidden="1" customHeight="1">
      <c r="B203" s="787"/>
      <c r="C203" s="792"/>
      <c r="D203" s="792"/>
      <c r="E203" s="792"/>
      <c r="F203" s="792"/>
      <c r="G203" s="792"/>
    </row>
    <row r="204" spans="2:9" ht="24" hidden="1" customHeight="1">
      <c r="B204" s="288" t="str">
        <f>B170</f>
        <v>Nieruchomości</v>
      </c>
      <c r="C204" s="290">
        <v>0</v>
      </c>
      <c r="D204" s="290">
        <v>0</v>
      </c>
      <c r="E204" s="290">
        <v>0</v>
      </c>
      <c r="F204" s="290">
        <v>0</v>
      </c>
      <c r="G204" s="289">
        <f>C204+D204+E204-F204</f>
        <v>0</v>
      </c>
    </row>
    <row r="205" spans="2:9" ht="24" hidden="1" customHeight="1">
      <c r="B205" s="288" t="str">
        <f>B171</f>
        <v>Wartości niematerialne i prawne</v>
      </c>
      <c r="C205" s="290">
        <v>0</v>
      </c>
      <c r="D205" s="290">
        <v>0</v>
      </c>
      <c r="E205" s="290">
        <v>0</v>
      </c>
      <c r="F205" s="290">
        <v>0</v>
      </c>
      <c r="G205" s="289">
        <f>C205+D205+E205-F205</f>
        <v>0</v>
      </c>
    </row>
    <row r="206" spans="2:9" ht="24" hidden="1" customHeight="1">
      <c r="B206" s="288" t="str">
        <f>B172</f>
        <v>Długoterminowe aktywa finansowe</v>
      </c>
      <c r="C206" s="290">
        <v>0</v>
      </c>
      <c r="D206" s="290">
        <v>0</v>
      </c>
      <c r="E206" s="290">
        <v>0</v>
      </c>
      <c r="F206" s="290">
        <v>0</v>
      </c>
      <c r="G206" s="289">
        <f>C206+D206+E206-F206</f>
        <v>0</v>
      </c>
    </row>
    <row r="207" spans="2:9" ht="24" hidden="1" customHeight="1">
      <c r="B207" s="288" t="str">
        <f>B173</f>
        <v>Inne inwestycje długoterminowe</v>
      </c>
      <c r="C207" s="290">
        <v>0</v>
      </c>
      <c r="D207" s="290">
        <v>0</v>
      </c>
      <c r="E207" s="290">
        <v>0</v>
      </c>
      <c r="F207" s="290">
        <v>0</v>
      </c>
      <c r="G207" s="289">
        <f>C207+D207+E207-F207</f>
        <v>0</v>
      </c>
    </row>
    <row r="208" spans="2:9" ht="24" hidden="1" customHeight="1">
      <c r="B208" s="288" t="str">
        <f>B174</f>
        <v>Ogółem</v>
      </c>
      <c r="C208" s="289">
        <f>SUM(C204:C207)</f>
        <v>0</v>
      </c>
      <c r="D208" s="289">
        <f>SUM(D204:D207)</f>
        <v>0</v>
      </c>
      <c r="E208" s="289">
        <f>SUM(E204:E207)</f>
        <v>0</v>
      </c>
      <c r="F208" s="289">
        <f>SUM(F204:F207)</f>
        <v>0</v>
      </c>
      <c r="G208" s="289">
        <f>C208+D208+E208-F208</f>
        <v>0</v>
      </c>
    </row>
    <row r="209" spans="2:8" hidden="1"/>
    <row r="210" spans="2:8" hidden="1">
      <c r="B210" s="783" t="str">
        <f>B201</f>
        <v>Opis</v>
      </c>
      <c r="C210" s="789" t="str">
        <f>C176</f>
        <v>Umorzenie</v>
      </c>
      <c r="D210" s="790"/>
      <c r="E210" s="790"/>
      <c r="F210" s="790"/>
      <c r="G210" s="791"/>
    </row>
    <row r="211" spans="2:8" ht="12.75" hidden="1" customHeight="1">
      <c r="B211" s="783"/>
      <c r="C211" s="792" t="str">
        <f>CHOOSE(jezyk,n!A627,n!B627,n!C627,n!D627)</f>
        <v>Stan na 
19.10.2022</v>
      </c>
      <c r="D211" s="792" t="str">
        <f>D177</f>
        <v>Zwiększenia z tytułu umorzenia</v>
      </c>
      <c r="E211" s="792" t="str">
        <f>E177</f>
        <v>Przemieszczenia 
wewnętrzne (+/-)</v>
      </c>
      <c r="F211" s="792" t="str">
        <f>F177</f>
        <v>Zmniejszenia z tytułu rozchodu</v>
      </c>
      <c r="G211" s="792" t="str">
        <f>CHOOSE(jezyk,n!A638,n!B638,n!C638,n!D638)</f>
        <v>Stan na 
31.12.2023</v>
      </c>
    </row>
    <row r="212" spans="2:8" ht="39" hidden="1" customHeight="1">
      <c r="B212" s="783"/>
      <c r="C212" s="792"/>
      <c r="D212" s="792"/>
      <c r="E212" s="792"/>
      <c r="F212" s="792"/>
      <c r="G212" s="792"/>
    </row>
    <row r="213" spans="2:8" ht="24" hidden="1" customHeight="1">
      <c r="B213" s="481" t="str">
        <f>'nota 1.1.-1.2'!B204</f>
        <v>Nieruchomości</v>
      </c>
      <c r="C213" s="290">
        <v>0</v>
      </c>
      <c r="D213" s="290">
        <v>0</v>
      </c>
      <c r="E213" s="290">
        <v>0</v>
      </c>
      <c r="F213" s="290">
        <v>0</v>
      </c>
      <c r="G213" s="289">
        <f>C213+D213+E213-F213</f>
        <v>0</v>
      </c>
      <c r="H213" s="483"/>
    </row>
    <row r="214" spans="2:8" ht="24" hidden="1" customHeight="1">
      <c r="B214" s="481" t="str">
        <f>'nota 1.1.-1.2'!B205</f>
        <v>Wartości niematerialne i prawne</v>
      </c>
      <c r="C214" s="290">
        <v>0</v>
      </c>
      <c r="D214" s="290">
        <v>0</v>
      </c>
      <c r="E214" s="290">
        <v>0</v>
      </c>
      <c r="F214" s="290">
        <v>0</v>
      </c>
      <c r="G214" s="289">
        <f>C214+D214+E214-F214</f>
        <v>0</v>
      </c>
      <c r="H214" s="483"/>
    </row>
    <row r="215" spans="2:8" ht="24" hidden="1" customHeight="1">
      <c r="B215" s="481" t="str">
        <f>'nota 1.1.-1.2'!B208</f>
        <v>Ogółem</v>
      </c>
      <c r="C215" s="289">
        <f>SUM(C213:C214)</f>
        <v>0</v>
      </c>
      <c r="D215" s="289">
        <f>SUM(D213:D214)</f>
        <v>0</v>
      </c>
      <c r="E215" s="289">
        <f>SUM(E213:E214)</f>
        <v>0</v>
      </c>
      <c r="F215" s="289">
        <f>SUM(F213:F214)</f>
        <v>0</v>
      </c>
      <c r="G215" s="289">
        <f>C215+D215+E215-F215</f>
        <v>0</v>
      </c>
      <c r="H215" s="483"/>
    </row>
    <row r="216" spans="2:8" hidden="1"/>
    <row r="217" spans="2:8" hidden="1">
      <c r="B217" s="783" t="str">
        <f>B210</f>
        <v>Opis</v>
      </c>
      <c r="C217" s="783"/>
      <c r="D217" s="793" t="str">
        <f>D183</f>
        <v>Wartość netto</v>
      </c>
      <c r="E217" s="793"/>
      <c r="F217" s="169"/>
      <c r="G217" s="169"/>
    </row>
    <row r="218" spans="2:8" ht="12.75" hidden="1" customHeight="1">
      <c r="B218" s="783"/>
      <c r="C218" s="783"/>
      <c r="D218" s="792" t="str">
        <f>CHOOSE(jezyk,n!A627,n!B627,n!C627,n!D627)</f>
        <v>Stan na 
19.10.2022</v>
      </c>
      <c r="E218" s="783" t="str">
        <f>CHOOSE(jezyk,n!A638,n!B638,n!C638,n!D638)</f>
        <v>Stan na 
31.12.2023</v>
      </c>
      <c r="F218" s="474"/>
      <c r="G218" s="474"/>
    </row>
    <row r="219" spans="2:8" ht="29.25" hidden="1" customHeight="1">
      <c r="B219" s="783"/>
      <c r="C219" s="783"/>
      <c r="D219" s="792"/>
      <c r="E219" s="783"/>
      <c r="H219" s="476" t="str">
        <f>I185</f>
        <v>31.12.2023</v>
      </c>
    </row>
    <row r="220" spans="2:8" ht="18" hidden="1" customHeight="1">
      <c r="B220" s="796" t="str">
        <f>'nota 1.1.-1.2'!B213</f>
        <v>Nieruchomości</v>
      </c>
      <c r="C220" s="796"/>
      <c r="D220" s="289">
        <f>'nota 1.1.-1.2'!C204-'nota 1.1.-1.2'!C213</f>
        <v>0</v>
      </c>
      <c r="E220" s="289">
        <f>'nota 1.1.-1.2'!G204-'nota 1.1.-1.2'!G213</f>
        <v>0</v>
      </c>
      <c r="H220" s="477">
        <f>E220-D186</f>
        <v>0</v>
      </c>
    </row>
    <row r="221" spans="2:8" ht="18" hidden="1" customHeight="1">
      <c r="B221" s="796" t="str">
        <f>'nota 1.1.-1.2'!B214</f>
        <v>Wartości niematerialne i prawne</v>
      </c>
      <c r="C221" s="796"/>
      <c r="D221" s="289">
        <f>'nota 1.1.-1.2'!C205-'nota 1.1.-1.2'!C214</f>
        <v>0</v>
      </c>
      <c r="E221" s="289">
        <f>'nota 1.1.-1.2'!G205-'nota 1.1.-1.2'!G214</f>
        <v>0</v>
      </c>
      <c r="H221" s="477">
        <f>E221-D187</f>
        <v>0</v>
      </c>
    </row>
    <row r="222" spans="2:8" ht="18" hidden="1" customHeight="1">
      <c r="B222" s="796" t="str">
        <f>CHOOSE(jezyk,n!A658,n!B658,n!C658,n!D656)</f>
        <v>Długoterminowe aktywa finansowe</v>
      </c>
      <c r="C222" s="796"/>
      <c r="D222" s="289">
        <f>'nota 1.1.-1.2'!C206</f>
        <v>0</v>
      </c>
      <c r="E222" s="289">
        <f>'nota 1.1.-1.2'!G206</f>
        <v>0</v>
      </c>
      <c r="H222" s="477">
        <f>E222-D188</f>
        <v>0</v>
      </c>
    </row>
    <row r="223" spans="2:8" ht="18" hidden="1" customHeight="1">
      <c r="B223" s="796" t="str">
        <f>CHOOSE(jezyk,n!A659,n!B659,n!C659,n!D657)</f>
        <v>Inne inwestycje długoterminowe</v>
      </c>
      <c r="C223" s="796"/>
      <c r="D223" s="289">
        <f>'nota 1.1.-1.2'!C207</f>
        <v>0</v>
      </c>
      <c r="E223" s="289">
        <f>'nota 1.1.-1.2'!G207</f>
        <v>0</v>
      </c>
      <c r="H223" s="477">
        <f>E223-D189</f>
        <v>0</v>
      </c>
    </row>
    <row r="224" spans="2:8" ht="18" hidden="1" customHeight="1">
      <c r="B224" s="796" t="str">
        <f>'nota 1.1.-1.2'!B215</f>
        <v>Ogółem</v>
      </c>
      <c r="C224" s="796"/>
      <c r="D224" s="289">
        <f>SUM(D220:D223)</f>
        <v>0</v>
      </c>
      <c r="E224" s="289">
        <f>SUM(E220:E223)</f>
        <v>0</v>
      </c>
      <c r="H224" s="477">
        <f>E224-D190</f>
        <v>0</v>
      </c>
    </row>
    <row r="225" spans="2:8" hidden="1"/>
    <row r="226" spans="2:8" hidden="1"/>
    <row r="227" spans="2:8" ht="19.5" customHeight="1"/>
    <row r="228" spans="2:8" ht="16.5" customHeight="1">
      <c r="B228" s="806" t="str">
        <f>"1.2. " &amp;CHOOSE(jezyk,n!A756,n!B756,n!C756,n!D754)</f>
        <v>1.2. Dane o odpisach aktualizujących długoterminowe aktywa finansowe i niefinansowe</v>
      </c>
      <c r="C228" s="806"/>
      <c r="D228" s="806"/>
      <c r="E228" s="806"/>
      <c r="F228" s="806"/>
      <c r="G228" s="806"/>
      <c r="H228" s="377"/>
    </row>
    <row r="229" spans="2:8" ht="16.5" customHeight="1">
      <c r="B229" s="806"/>
      <c r="C229" s="806"/>
      <c r="D229" s="806"/>
      <c r="E229" s="806"/>
      <c r="F229" s="806"/>
      <c r="G229" s="806"/>
      <c r="H229" s="377"/>
    </row>
    <row r="230" spans="2:8" ht="12.75" customHeight="1">
      <c r="B230" s="375"/>
      <c r="C230" s="376"/>
      <c r="D230" s="376"/>
      <c r="E230" s="376"/>
      <c r="F230" s="375"/>
      <c r="G230" s="374"/>
      <c r="H230" s="374"/>
    </row>
    <row r="231" spans="2:8">
      <c r="B231" s="805" t="str">
        <f>CHOOSE(jezyk,n!A643,n!B643,n!C643,n!D641)</f>
        <v>Pozycja nie wystąpiła zarówno w roku obrotowym 2024, jak i w roku poprzednim.</v>
      </c>
      <c r="C231" s="805"/>
      <c r="D231" s="805"/>
      <c r="E231" s="805"/>
      <c r="F231" s="805"/>
      <c r="G231" s="805"/>
      <c r="H231" s="131" t="s">
        <v>2186</v>
      </c>
    </row>
    <row r="232" spans="2:8" ht="12.2" hidden="1" customHeight="1">
      <c r="B232" s="375"/>
      <c r="C232" s="376"/>
      <c r="D232" s="376"/>
      <c r="E232" s="376"/>
      <c r="F232" s="375"/>
      <c r="G232" s="374"/>
      <c r="H232" s="374"/>
    </row>
    <row r="233" spans="2:8" ht="15" hidden="1" customHeight="1">
      <c r="B233" s="798" t="str">
        <f>CHOOSE(jezyk,n!A616,n!B616,n!C616,n!D614)</f>
        <v>Rok obrotowy 2024</v>
      </c>
      <c r="C233" s="799"/>
      <c r="D233" s="376"/>
      <c r="E233" s="376"/>
      <c r="F233" s="375"/>
      <c r="G233" s="374"/>
      <c r="H233" s="374"/>
    </row>
    <row r="234" spans="2:8" ht="12.2" hidden="1" customHeight="1">
      <c r="B234" s="375"/>
      <c r="C234" s="376"/>
      <c r="D234" s="376"/>
      <c r="E234" s="376"/>
      <c r="F234" s="375"/>
      <c r="G234" s="374"/>
      <c r="H234" s="374"/>
    </row>
    <row r="235" spans="2:8" hidden="1">
      <c r="B235" s="783" t="str">
        <f>CHOOSE(jezyk,n!A762,n!B762,n!C762,n!D760)</f>
        <v>Tytuł odpisu</v>
      </c>
      <c r="C235" s="784" t="str">
        <f>CHOOSE(jezyk,n!A626,n!B626,n!C626,n!D623)</f>
        <v>Stan na 
19.10.2023</v>
      </c>
      <c r="D235" s="786" t="str">
        <f>CHOOSE(jezyk,n!A764,n!B764,n!C764,n!D762)</f>
        <v>Zwiększenia</v>
      </c>
      <c r="E235" s="786" t="str">
        <f>CHOOSE(jezyk,n!A765,n!B765,n!C765,n!D763)</f>
        <v>Wykorzystanie</v>
      </c>
      <c r="F235" s="786" t="str">
        <f>CHOOSE(jezyk,n!A766,n!B766,n!C766,n!D764)</f>
        <v>Rozwiązanie</v>
      </c>
      <c r="G235" s="786" t="str">
        <f>CHOOSE(jezyk,n!A639,n!B639,n!C639,n!D635)</f>
        <v>Stan na 
31.12.2024</v>
      </c>
      <c r="H235" s="277"/>
    </row>
    <row r="236" spans="2:8" ht="30.75" hidden="1" customHeight="1">
      <c r="B236" s="783"/>
      <c r="C236" s="785"/>
      <c r="D236" s="787"/>
      <c r="E236" s="787"/>
      <c r="F236" s="787"/>
      <c r="G236" s="787"/>
      <c r="H236" s="277"/>
    </row>
    <row r="237" spans="2:8" ht="39" hidden="1" customHeight="1">
      <c r="B237" s="486" t="str">
        <f>CHOOSE(jezyk,n!A757,n!B757,n!C757,n!D755)</f>
        <v>Odpis aktualizujący długoterminowe aktywa finansowe</v>
      </c>
      <c r="C237" s="290">
        <v>0</v>
      </c>
      <c r="D237" s="290">
        <v>0</v>
      </c>
      <c r="E237" s="290">
        <v>0</v>
      </c>
      <c r="F237" s="290">
        <v>0</v>
      </c>
      <c r="G237" s="289" t="str">
        <f>IF((C237+D237-E237-F237)&lt;&gt;0,C237+D237-E237-F237," ")</f>
        <v xml:space="preserve"> </v>
      </c>
    </row>
    <row r="238" spans="2:8" ht="37.5" hidden="1" customHeight="1">
      <c r="B238" s="486" t="str">
        <f>CHOOSE(jezyk,n!A758,n!B758,n!C758,n!D756)</f>
        <v>Odpis aktualizujący długoterminowe aktywa niefinansowe</v>
      </c>
      <c r="C238" s="290">
        <v>0</v>
      </c>
      <c r="D238" s="290">
        <v>0</v>
      </c>
      <c r="E238" s="290">
        <v>0</v>
      </c>
      <c r="F238" s="290">
        <v>0</v>
      </c>
      <c r="G238" s="289" t="str">
        <f>IF((C238+D238-E238-F238)&lt;&gt;0,C238+D238-E238-F238," ")</f>
        <v xml:space="preserve"> </v>
      </c>
    </row>
    <row r="239" spans="2:8" ht="18" hidden="1" customHeight="1">
      <c r="B239" s="486"/>
      <c r="C239" s="290"/>
      <c r="D239" s="290"/>
      <c r="E239" s="290"/>
      <c r="F239" s="290"/>
      <c r="G239" s="289" t="str">
        <f>IF((C239+D239-E239-F239)&lt;&gt;0,C239+D239-E239-F239," ")</f>
        <v xml:space="preserve"> </v>
      </c>
    </row>
    <row r="240" spans="2:8" ht="18" hidden="1" customHeight="1">
      <c r="B240" s="288" t="str">
        <f>CHOOSE(jezyk,n!A768,n!B768,n!C768,n!D766)</f>
        <v>Ogółem</v>
      </c>
      <c r="C240" s="289">
        <f>SUM(C237:C239)</f>
        <v>0</v>
      </c>
      <c r="D240" s="289">
        <f>SUM(D237:D239)</f>
        <v>0</v>
      </c>
      <c r="E240" s="289">
        <f>SUM(E237:E239)</f>
        <v>0</v>
      </c>
      <c r="F240" s="289">
        <f>SUM(F237:F239)</f>
        <v>0</v>
      </c>
      <c r="G240" s="289">
        <f>SUM(G237:G239)</f>
        <v>0</v>
      </c>
    </row>
    <row r="241" spans="2:8" hidden="1"/>
    <row r="242" spans="2:8" hidden="1">
      <c r="B242" s="804" t="s">
        <v>6065</v>
      </c>
      <c r="C242" s="804"/>
      <c r="D242" s="804"/>
      <c r="E242" s="804"/>
      <c r="F242" s="804"/>
      <c r="G242" s="804"/>
      <c r="H242" s="131" t="s">
        <v>2186</v>
      </c>
    </row>
    <row r="243" spans="2:8" hidden="1"/>
    <row r="244" spans="2:8" ht="15" hidden="1" customHeight="1">
      <c r="B244" s="798" t="str">
        <f>CHOOSE(jezyk,n!A617,n!B617,n!C617,n!D615)</f>
        <v>Rok obrotowy 2023</v>
      </c>
      <c r="C244" s="799"/>
    </row>
    <row r="245" spans="2:8" hidden="1"/>
    <row r="246" spans="2:8" hidden="1">
      <c r="B246" s="783" t="str">
        <f t="shared" ref="B246:F246" si="8">B235</f>
        <v>Tytuł odpisu</v>
      </c>
      <c r="C246" s="784" t="str">
        <f>CHOOSE(jezyk,n!A627,n!B627,n!C627,n!D627)</f>
        <v>Stan na 
19.10.2022</v>
      </c>
      <c r="D246" s="786" t="str">
        <f t="shared" si="8"/>
        <v>Zwiększenia</v>
      </c>
      <c r="E246" s="786" t="str">
        <f t="shared" si="8"/>
        <v>Wykorzystanie</v>
      </c>
      <c r="F246" s="786" t="str">
        <f t="shared" si="8"/>
        <v>Rozwiązanie</v>
      </c>
      <c r="G246" s="786" t="str">
        <f>CHOOSE(jezyk,n!A638,n!B638,n!C638,n!D638)</f>
        <v>Stan na 
31.12.2023</v>
      </c>
    </row>
    <row r="247" spans="2:8" ht="30.75" hidden="1" customHeight="1">
      <c r="B247" s="783"/>
      <c r="C247" s="785"/>
      <c r="D247" s="787"/>
      <c r="E247" s="787"/>
      <c r="F247" s="787"/>
      <c r="G247" s="787"/>
    </row>
    <row r="248" spans="2:8" ht="39" hidden="1" customHeight="1">
      <c r="B248" s="486" t="str">
        <f>B237</f>
        <v>Odpis aktualizujący długoterminowe aktywa finansowe</v>
      </c>
      <c r="C248" s="290">
        <v>0</v>
      </c>
      <c r="D248" s="290">
        <v>0</v>
      </c>
      <c r="E248" s="290">
        <v>0</v>
      </c>
      <c r="F248" s="290">
        <v>0</v>
      </c>
      <c r="G248" s="289" t="str">
        <f>IF((C248+D248-E248-F248)&lt;&gt;0,C248+D248-E248-F248," ")</f>
        <v xml:space="preserve"> </v>
      </c>
    </row>
    <row r="249" spans="2:8" ht="37.5" hidden="1" customHeight="1">
      <c r="B249" s="486" t="str">
        <f>B238</f>
        <v>Odpis aktualizujący długoterminowe aktywa niefinansowe</v>
      </c>
      <c r="C249" s="290">
        <v>0</v>
      </c>
      <c r="D249" s="290">
        <v>0</v>
      </c>
      <c r="E249" s="290">
        <v>0</v>
      </c>
      <c r="F249" s="290">
        <v>0</v>
      </c>
      <c r="G249" s="289" t="str">
        <f>IF((C249+D249-E249-F249)&lt;&gt;0,C249+D249-E249-F249," ")</f>
        <v xml:space="preserve"> </v>
      </c>
    </row>
    <row r="250" spans="2:8" ht="18" hidden="1" customHeight="1">
      <c r="B250" s="486"/>
      <c r="C250" s="290"/>
      <c r="D250" s="290"/>
      <c r="E250" s="290"/>
      <c r="F250" s="290"/>
      <c r="G250" s="289" t="str">
        <f>IF((C250+D250-E250-F250)&lt;&gt;0,C250+D250-E250-F250," ")</f>
        <v xml:space="preserve"> </v>
      </c>
    </row>
    <row r="251" spans="2:8" ht="18" hidden="1" customHeight="1">
      <c r="B251" s="288" t="str">
        <f>B240</f>
        <v>Ogółem</v>
      </c>
      <c r="C251" s="289">
        <f>SUM(C248:C250)</f>
        <v>0</v>
      </c>
      <c r="D251" s="289">
        <f>SUM(D248:D250)</f>
        <v>0</v>
      </c>
      <c r="E251" s="289">
        <f>SUM(E248:E250)</f>
        <v>0</v>
      </c>
      <c r="F251" s="289">
        <f>SUM(F248:F250)</f>
        <v>0</v>
      </c>
      <c r="G251" s="289">
        <f>SUM(G248:G250)</f>
        <v>0</v>
      </c>
    </row>
    <row r="252" spans="2:8" hidden="1"/>
    <row r="253" spans="2:8" ht="4.5" customHeight="1"/>
  </sheetData>
  <mergeCells count="194">
    <mergeCell ref="B118:C118"/>
    <mergeCell ref="B134:C134"/>
    <mergeCell ref="B165:C165"/>
    <mergeCell ref="B199:C199"/>
    <mergeCell ref="B233:C233"/>
    <mergeCell ref="B244:C244"/>
    <mergeCell ref="B242:G242"/>
    <mergeCell ref="B231:G231"/>
    <mergeCell ref="D235:D236"/>
    <mergeCell ref="E235:E236"/>
    <mergeCell ref="F235:F236"/>
    <mergeCell ref="G235:G236"/>
    <mergeCell ref="B228:G229"/>
    <mergeCell ref="B221:C221"/>
    <mergeCell ref="B222:C222"/>
    <mergeCell ref="B223:C223"/>
    <mergeCell ref="B224:C224"/>
    <mergeCell ref="B235:B236"/>
    <mergeCell ref="C235:C236"/>
    <mergeCell ref="D217:E217"/>
    <mergeCell ref="D218:D219"/>
    <mergeCell ref="E218:E219"/>
    <mergeCell ref="B220:C220"/>
    <mergeCell ref="C211:C212"/>
    <mergeCell ref="D211:D212"/>
    <mergeCell ref="E211:E212"/>
    <mergeCell ref="F211:F212"/>
    <mergeCell ref="B217:C219"/>
    <mergeCell ref="G211:G212"/>
    <mergeCell ref="B197:G197"/>
    <mergeCell ref="B201:B203"/>
    <mergeCell ref="C201:G201"/>
    <mergeCell ref="C202:C203"/>
    <mergeCell ref="D202:D203"/>
    <mergeCell ref="E202:E203"/>
    <mergeCell ref="F202:F203"/>
    <mergeCell ref="G202:G203"/>
    <mergeCell ref="B186:C186"/>
    <mergeCell ref="B187:C187"/>
    <mergeCell ref="B188:C188"/>
    <mergeCell ref="B189:C189"/>
    <mergeCell ref="B190:C190"/>
    <mergeCell ref="D183:E183"/>
    <mergeCell ref="E184:E185"/>
    <mergeCell ref="D184:D185"/>
    <mergeCell ref="B183:C185"/>
    <mergeCell ref="E146:F146"/>
    <mergeCell ref="E147:E148"/>
    <mergeCell ref="F147:F148"/>
    <mergeCell ref="C177:C178"/>
    <mergeCell ref="G177:G178"/>
    <mergeCell ref="E177:E178"/>
    <mergeCell ref="D177:D178"/>
    <mergeCell ref="F177:F178"/>
    <mergeCell ref="B161:G161"/>
    <mergeCell ref="D168:D169"/>
    <mergeCell ref="F168:F169"/>
    <mergeCell ref="B167:B169"/>
    <mergeCell ref="C168:C169"/>
    <mergeCell ref="G168:G169"/>
    <mergeCell ref="C167:G167"/>
    <mergeCell ref="E168:E169"/>
    <mergeCell ref="B163:G163"/>
    <mergeCell ref="B110:D110"/>
    <mergeCell ref="B154:D154"/>
    <mergeCell ref="B155:D155"/>
    <mergeCell ref="B156:D156"/>
    <mergeCell ref="C137:C138"/>
    <mergeCell ref="D137:D138"/>
    <mergeCell ref="E137:E138"/>
    <mergeCell ref="F137:F138"/>
    <mergeCell ref="G137:G138"/>
    <mergeCell ref="B120:B122"/>
    <mergeCell ref="C120:G120"/>
    <mergeCell ref="C121:C122"/>
    <mergeCell ref="D121:D122"/>
    <mergeCell ref="E121:E122"/>
    <mergeCell ref="F121:F122"/>
    <mergeCell ref="G121:G122"/>
    <mergeCell ref="B146:D148"/>
    <mergeCell ref="B116:G116"/>
    <mergeCell ref="B132:G132"/>
    <mergeCell ref="B149:D149"/>
    <mergeCell ref="B150:D150"/>
    <mergeCell ref="B151:D151"/>
    <mergeCell ref="B152:D152"/>
    <mergeCell ref="B153:D153"/>
    <mergeCell ref="D89:D90"/>
    <mergeCell ref="F89:F90"/>
    <mergeCell ref="E104:E105"/>
    <mergeCell ref="F104:F105"/>
    <mergeCell ref="E103:F103"/>
    <mergeCell ref="B106:D106"/>
    <mergeCell ref="B107:D107"/>
    <mergeCell ref="B108:D108"/>
    <mergeCell ref="B109:D109"/>
    <mergeCell ref="B101:C101"/>
    <mergeCell ref="B1:K1"/>
    <mergeCell ref="B4:G4"/>
    <mergeCell ref="B6:G6"/>
    <mergeCell ref="C12:G12"/>
    <mergeCell ref="H20:O20"/>
    <mergeCell ref="C13:C14"/>
    <mergeCell ref="G13:G14"/>
    <mergeCell ref="E13:E14"/>
    <mergeCell ref="E22:E23"/>
    <mergeCell ref="G22:G23"/>
    <mergeCell ref="C22:C23"/>
    <mergeCell ref="D22:D23"/>
    <mergeCell ref="F22:F23"/>
    <mergeCell ref="B12:B14"/>
    <mergeCell ref="D13:D14"/>
    <mergeCell ref="F13:F14"/>
    <mergeCell ref="B8:G8"/>
    <mergeCell ref="B10:C10"/>
    <mergeCell ref="D44:D45"/>
    <mergeCell ref="E44:E45"/>
    <mergeCell ref="F44:F45"/>
    <mergeCell ref="G44:G45"/>
    <mergeCell ref="B39:G39"/>
    <mergeCell ref="C37:D37"/>
    <mergeCell ref="C77:C78"/>
    <mergeCell ref="G77:G78"/>
    <mergeCell ref="E77:E78"/>
    <mergeCell ref="B70:G70"/>
    <mergeCell ref="C76:G76"/>
    <mergeCell ref="D77:D78"/>
    <mergeCell ref="F77:F78"/>
    <mergeCell ref="B76:B78"/>
    <mergeCell ref="B72:G72"/>
    <mergeCell ref="E37:F37"/>
    <mergeCell ref="C53:C54"/>
    <mergeCell ref="D53:D54"/>
    <mergeCell ref="B41:C41"/>
    <mergeCell ref="B74:C74"/>
    <mergeCell ref="C30:F30"/>
    <mergeCell ref="C31:D32"/>
    <mergeCell ref="E31:F32"/>
    <mergeCell ref="C33:D33"/>
    <mergeCell ref="C34:D34"/>
    <mergeCell ref="C35:D35"/>
    <mergeCell ref="C36:D36"/>
    <mergeCell ref="E33:F33"/>
    <mergeCell ref="E34:F34"/>
    <mergeCell ref="E35:F35"/>
    <mergeCell ref="E36:F36"/>
    <mergeCell ref="B194:G194"/>
    <mergeCell ref="C176:G176"/>
    <mergeCell ref="B176:B178"/>
    <mergeCell ref="B136:B138"/>
    <mergeCell ref="C136:G136"/>
    <mergeCell ref="B210:B212"/>
    <mergeCell ref="C210:G210"/>
    <mergeCell ref="C64:D64"/>
    <mergeCell ref="E64:F64"/>
    <mergeCell ref="C65:D65"/>
    <mergeCell ref="E65:F65"/>
    <mergeCell ref="C66:D66"/>
    <mergeCell ref="E66:F66"/>
    <mergeCell ref="C67:D67"/>
    <mergeCell ref="E67:F67"/>
    <mergeCell ref="C68:D68"/>
    <mergeCell ref="E68:F68"/>
    <mergeCell ref="B111:D111"/>
    <mergeCell ref="B112:D112"/>
    <mergeCell ref="B113:D113"/>
    <mergeCell ref="B99:G99"/>
    <mergeCell ref="C89:C90"/>
    <mergeCell ref="G89:G90"/>
    <mergeCell ref="E89:E90"/>
    <mergeCell ref="B246:B247"/>
    <mergeCell ref="C246:C247"/>
    <mergeCell ref="D246:D247"/>
    <mergeCell ref="E246:E247"/>
    <mergeCell ref="F246:F247"/>
    <mergeCell ref="G246:G247"/>
    <mergeCell ref="B21:B23"/>
    <mergeCell ref="C21:G21"/>
    <mergeCell ref="B61:B63"/>
    <mergeCell ref="B30:B32"/>
    <mergeCell ref="B52:B54"/>
    <mergeCell ref="C52:G52"/>
    <mergeCell ref="B88:B90"/>
    <mergeCell ref="C88:G88"/>
    <mergeCell ref="B103:D105"/>
    <mergeCell ref="E53:E54"/>
    <mergeCell ref="F53:F54"/>
    <mergeCell ref="G53:G54"/>
    <mergeCell ref="C61:F61"/>
    <mergeCell ref="C62:D63"/>
    <mergeCell ref="E62:F63"/>
    <mergeCell ref="B43:B45"/>
    <mergeCell ref="C43:G43"/>
    <mergeCell ref="C44:C45"/>
  </mergeCells>
  <phoneticPr fontId="0" type="noConversion"/>
  <dataValidations count="1">
    <dataValidation type="list" allowBlank="1" showInputMessage="1" showErrorMessage="1" sqref="M4:M6 M8:M9" xr:uid="{00000000-0002-0000-2400-000000000000}">
      <formula1>"tak,nie"</formula1>
    </dataValidation>
  </dataValidations>
  <hyperlinks>
    <hyperlink ref="B1:K1" location="'spis treści'!A1" display="SPIS TREŚCI" xr:uid="{00000000-0004-0000-24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1.1.-1.2</oddFooter>
  </headerFooter>
  <rowBreaks count="2" manualBreakCount="2">
    <brk id="69" min="1" max="6" man="1"/>
    <brk id="160" min="1" max="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16">
    <pageSetUpPr fitToPage="1"/>
  </sheetPr>
  <dimension ref="A1:V130"/>
  <sheetViews>
    <sheetView showGridLines="0" view="pageBreakPreview" topLeftCell="A61" zoomScaleNormal="100" zoomScaleSheetLayoutView="100" workbookViewId="0">
      <selection activeCell="E74" sqref="E74"/>
    </sheetView>
  </sheetViews>
  <sheetFormatPr defaultColWidth="9.140625" defaultRowHeight="12.75" customHeight="1"/>
  <cols>
    <col min="1" max="1" width="20" style="66" bestFit="1" customWidth="1"/>
    <col min="2" max="2" width="4.7109375" style="72" customWidth="1"/>
    <col min="3" max="3" width="8.140625" style="66" customWidth="1"/>
    <col min="4" max="4" width="10.140625" style="66" customWidth="1"/>
    <col min="5" max="5" width="13.85546875" style="66" customWidth="1"/>
    <col min="6" max="6" width="12.42578125" style="66" customWidth="1"/>
    <col min="7" max="7" width="11.7109375" style="66" customWidth="1"/>
    <col min="8" max="8" width="11" style="66" customWidth="1"/>
    <col min="9" max="9" width="12.7109375" style="66" customWidth="1"/>
    <col min="10" max="10" width="14.5703125" style="66" customWidth="1"/>
    <col min="11" max="11" width="10.140625" style="66" customWidth="1"/>
    <col min="12" max="12" width="10.5703125" style="66" customWidth="1"/>
    <col min="13" max="17" width="9.140625" style="66"/>
    <col min="18" max="19" width="12.140625" style="66" customWidth="1"/>
    <col min="20" max="21" width="9.140625" style="66"/>
    <col min="22" max="22" width="9.140625" style="66" customWidth="1"/>
    <col min="23" max="16384" width="9.140625" style="66"/>
  </cols>
  <sheetData>
    <row r="1" spans="2:22" ht="12.75" customHeight="1">
      <c r="B1" s="773" t="s">
        <v>1257</v>
      </c>
      <c r="C1" s="773"/>
      <c r="D1" s="773"/>
      <c r="E1" s="773"/>
      <c r="F1" s="773"/>
      <c r="G1" s="773"/>
      <c r="H1" s="773"/>
      <c r="I1" s="773"/>
      <c r="J1" s="773"/>
    </row>
    <row r="2" spans="2:22" ht="12.75" customHeight="1">
      <c r="B2" s="393" t="str">
        <f>nazwa_spolki</f>
        <v>Rhenus Digital Workforce Sp. z o.o.</v>
      </c>
      <c r="C2" s="397"/>
      <c r="D2" s="397"/>
      <c r="E2" s="397"/>
      <c r="F2" s="397"/>
      <c r="G2" s="397"/>
      <c r="H2" s="397"/>
      <c r="I2" s="397"/>
      <c r="J2" s="397"/>
    </row>
    <row r="3" spans="2:22" ht="45.95" customHeight="1">
      <c r="B3" s="130" t="str">
        <f>tytul</f>
        <v>Sprawozdanie finansowe sporządzone za rok obrotowy 2024</v>
      </c>
      <c r="C3" s="397"/>
      <c r="D3" s="397"/>
      <c r="E3" s="397"/>
      <c r="F3" s="397"/>
      <c r="G3" s="397"/>
      <c r="H3" s="397"/>
      <c r="I3" s="397"/>
      <c r="J3" s="397"/>
    </row>
    <row r="4" spans="2:22" ht="20.25" customHeight="1">
      <c r="B4" s="800" t="str">
        <f>"1.3 - 1.10 "&amp;CHOOSE(jezyk,n!A613,n!B613,n!C613,n!D611)</f>
        <v>1.3 - 1.10 DODATKOWE INFORMACJE I OBJAŚNIENIA</v>
      </c>
      <c r="C4" s="800"/>
      <c r="D4" s="800"/>
      <c r="E4" s="800"/>
      <c r="F4" s="800"/>
      <c r="G4" s="800"/>
      <c r="H4" s="800"/>
      <c r="I4" s="800"/>
      <c r="J4" s="800"/>
    </row>
    <row r="6" spans="2:22" ht="12.75" customHeight="1">
      <c r="R6" s="661"/>
      <c r="S6" s="661"/>
      <c r="T6" s="661"/>
      <c r="U6" s="661"/>
      <c r="V6" s="661"/>
    </row>
    <row r="7" spans="2:22" ht="25.5" customHeight="1">
      <c r="B7" s="111" t="s">
        <v>838</v>
      </c>
      <c r="C7" s="762" t="str">
        <f>CHOOSE(jezyk,n!A662,n!B662,n!C662,n!D662)</f>
        <v>Koszty zakończonych prac rozwojowych oraz wartość firmy, a także wyjaśnienie okresu ich odpisywania, określonego odpowiednio w art. 33 ust. 3 oraz art. 44b ust. 10 UoR</v>
      </c>
      <c r="D7" s="762"/>
      <c r="E7" s="762"/>
      <c r="F7" s="762"/>
      <c r="G7" s="762"/>
      <c r="H7" s="762"/>
      <c r="I7" s="762"/>
      <c r="J7" s="762"/>
      <c r="R7" s="661"/>
      <c r="S7" s="661"/>
      <c r="T7" s="661"/>
      <c r="U7" s="661"/>
      <c r="V7" s="661"/>
    </row>
    <row r="8" spans="2:22" ht="12.75" customHeight="1">
      <c r="R8" s="661"/>
      <c r="S8" s="661"/>
      <c r="T8" s="661"/>
      <c r="U8" s="661"/>
      <c r="V8" s="661"/>
    </row>
    <row r="9" spans="2:22" ht="12.75" customHeight="1">
      <c r="B9" s="111"/>
      <c r="C9" s="745" t="str">
        <f>CHOOSE(jezyk,n!A643,n!B643,n!C643,n!D641)</f>
        <v>Pozycja nie wystąpiła zarówno w roku obrotowym 2024, jak i w roku poprzednim.</v>
      </c>
      <c r="D9" s="745"/>
      <c r="E9" s="745"/>
      <c r="F9" s="745"/>
      <c r="G9" s="745"/>
      <c r="H9" s="745"/>
      <c r="I9" s="745"/>
      <c r="J9" s="745"/>
      <c r="K9" s="131" t="s">
        <v>2186</v>
      </c>
      <c r="R9" s="661"/>
      <c r="S9" s="661"/>
      <c r="T9" s="661"/>
      <c r="U9" s="661"/>
      <c r="V9" s="661"/>
    </row>
    <row r="10" spans="2:22" ht="12.75" customHeight="1">
      <c r="B10" s="111"/>
      <c r="C10" s="406"/>
      <c r="D10" s="406"/>
      <c r="E10" s="406"/>
      <c r="F10" s="406"/>
      <c r="G10" s="406"/>
      <c r="H10" s="406"/>
      <c r="I10" s="406"/>
      <c r="R10" s="661"/>
      <c r="S10" s="661"/>
      <c r="T10" s="661"/>
      <c r="U10" s="661"/>
      <c r="V10" s="661"/>
    </row>
    <row r="11" spans="2:22">
      <c r="B11" s="111" t="s">
        <v>839</v>
      </c>
      <c r="C11" s="762" t="str">
        <f>CHOOSE(jezyk,n!A663,n!B663,n!C663,n!D661)</f>
        <v>Wartość gruntów użytkowanych wieczyście</v>
      </c>
      <c r="D11" s="762"/>
      <c r="E11" s="762"/>
      <c r="F11" s="762"/>
      <c r="G11" s="762"/>
      <c r="H11" s="762"/>
      <c r="I11" s="762"/>
      <c r="J11" s="762"/>
    </row>
    <row r="12" spans="2:22">
      <c r="C12" s="762"/>
      <c r="D12" s="762"/>
      <c r="E12" s="762"/>
      <c r="F12" s="762"/>
      <c r="G12" s="762"/>
      <c r="H12" s="762"/>
      <c r="I12" s="762"/>
      <c r="J12" s="762"/>
    </row>
    <row r="13" spans="2:22" ht="12.75" customHeight="1">
      <c r="B13" s="111"/>
      <c r="C13" s="745" t="str">
        <f>CHOOSE(jezyk,n!A664,n!B664,n!C664,n!D662)</f>
        <v>Spółka nie użytkuje wieczyście gruntów.</v>
      </c>
      <c r="D13" s="745"/>
      <c r="E13" s="745"/>
      <c r="F13" s="745"/>
      <c r="G13" s="745"/>
      <c r="H13" s="745"/>
      <c r="I13" s="745"/>
      <c r="J13" s="745"/>
      <c r="K13" s="131" t="s">
        <v>2186</v>
      </c>
    </row>
    <row r="15" spans="2:22" ht="28.5" hidden="1" customHeight="1">
      <c r="C15" s="839" t="str">
        <f>CHOOSE(jezyk,n!A666,n!B666,n!C666,n!D663)</f>
        <v>Grunt użytkowany wieczyście</v>
      </c>
      <c r="D15" s="839"/>
      <c r="E15" s="839"/>
      <c r="F15" s="407" t="str">
        <f>CHOOSE(jezyk,n!A667,n!B667,n!C667,n!D664)</f>
        <v>Powierzchnia</v>
      </c>
      <c r="G15" s="839" t="str">
        <f>CHOOSE(jezyk,n!A639,n!B639,n!C639,n!D635)</f>
        <v>Stan na 
31.12.2024</v>
      </c>
      <c r="H15" s="839"/>
      <c r="I15" s="839" t="str">
        <f>CHOOSE(jezyk,n!A638,n!B638,n!C638,n!D638)</f>
        <v>Stan na 
31.12.2023</v>
      </c>
      <c r="J15" s="839"/>
    </row>
    <row r="16" spans="2:22" ht="14.1" hidden="1" customHeight="1">
      <c r="C16" s="847"/>
      <c r="D16" s="848"/>
      <c r="E16" s="849"/>
      <c r="F16" s="132"/>
      <c r="G16" s="853"/>
      <c r="H16" s="853"/>
      <c r="I16" s="853"/>
      <c r="J16" s="853"/>
    </row>
    <row r="17" spans="1:19" ht="14.1" hidden="1" customHeight="1">
      <c r="C17" s="847"/>
      <c r="D17" s="848"/>
      <c r="E17" s="849"/>
      <c r="F17" s="133"/>
      <c r="G17" s="853"/>
      <c r="H17" s="853"/>
      <c r="I17" s="853"/>
      <c r="J17" s="853"/>
    </row>
    <row r="18" spans="1:19" ht="14.1" hidden="1" customHeight="1">
      <c r="C18" s="134"/>
      <c r="D18" s="134"/>
      <c r="E18" s="134"/>
      <c r="F18" s="663">
        <f>SUM(F16:F17)</f>
        <v>0</v>
      </c>
      <c r="G18" s="840">
        <f>SUM(G16:H17)</f>
        <v>0</v>
      </c>
      <c r="H18" s="840"/>
      <c r="I18" s="840">
        <f>SUM(I16:J17)</f>
        <v>0</v>
      </c>
      <c r="J18" s="840"/>
    </row>
    <row r="19" spans="1:19" ht="12.75" hidden="1" customHeight="1"/>
    <row r="20" spans="1:19" ht="25.5" customHeight="1">
      <c r="B20" s="111" t="s">
        <v>1249</v>
      </c>
      <c r="C20" s="762" t="str">
        <f>CHOOSE(jezyk,n!A668,n!B668,n!C668,n!A669)</f>
        <v>Wartość nieamortyzowanych lub nieumarzanych przez jednostkę środków trwałych, używanych na podstawie umów najmu, dzierżawy i innych umów, w tym z tytułu umów leasingu</v>
      </c>
      <c r="D20" s="762"/>
      <c r="E20" s="762"/>
      <c r="F20" s="762"/>
      <c r="G20" s="762"/>
      <c r="H20" s="762"/>
      <c r="I20" s="762"/>
      <c r="J20" s="762"/>
    </row>
    <row r="21" spans="1:19" ht="12.75" customHeight="1">
      <c r="C21" s="762"/>
      <c r="D21" s="762"/>
      <c r="E21" s="762"/>
      <c r="F21" s="762"/>
      <c r="G21" s="762"/>
      <c r="H21" s="762"/>
      <c r="I21" s="762"/>
      <c r="J21" s="762"/>
    </row>
    <row r="22" spans="1:19" ht="26.25" hidden="1" customHeight="1">
      <c r="C22" s="745" t="str">
        <f>CHOOSE(jezyk,n!A669,n!B669,n!C669,n!A669)</f>
        <v xml:space="preserve">Spółka nie posiada nieamortyzowanych środków trwałych, używanych na podstawie umów najmu, dzierżawy  lub umów o podobnym charakterze. </v>
      </c>
      <c r="D22" s="745"/>
      <c r="E22" s="745"/>
      <c r="F22" s="745"/>
      <c r="G22" s="745"/>
      <c r="H22" s="745"/>
      <c r="I22" s="745"/>
      <c r="J22" s="745"/>
      <c r="K22" s="131" t="s">
        <v>2186</v>
      </c>
    </row>
    <row r="23" spans="1:19" ht="12.75" hidden="1" customHeight="1">
      <c r="C23" s="838"/>
      <c r="D23" s="838"/>
      <c r="E23" s="838"/>
      <c r="F23" s="838"/>
      <c r="G23" s="838"/>
      <c r="H23" s="838"/>
      <c r="I23" s="838"/>
      <c r="J23" s="838"/>
      <c r="K23" s="131"/>
    </row>
    <row r="24" spans="1:19" ht="26.25" customHeight="1">
      <c r="A24" s="170"/>
      <c r="C24" s="745" t="str">
        <f>CHOOSE(jezyk,n!A671,n!B671,n!C671,n!A675)</f>
        <v>Wartość początkowa obcych środków trwałych użytkowanych na podstawie umów najmu, dzierżawy lub umów o podobnym charakterze:</v>
      </c>
      <c r="D24" s="745"/>
      <c r="E24" s="745"/>
      <c r="F24" s="745"/>
      <c r="G24" s="745"/>
      <c r="H24" s="745"/>
      <c r="I24" s="745"/>
      <c r="J24" s="745"/>
      <c r="K24" s="131"/>
      <c r="S24" s="317"/>
    </row>
    <row r="25" spans="1:19" ht="12.75" customHeight="1">
      <c r="C25" s="838"/>
      <c r="D25" s="838"/>
      <c r="E25" s="838"/>
      <c r="F25" s="838"/>
      <c r="G25" s="838"/>
      <c r="H25" s="838"/>
      <c r="I25" s="838"/>
      <c r="J25" s="838"/>
      <c r="S25" s="317"/>
    </row>
    <row r="26" spans="1:19" ht="29.25" customHeight="1">
      <c r="C26" s="841" t="str">
        <f>CHOOSE(jezyk,n!A672,n!B672,n!C672,n!A676)</f>
        <v>Rodzaj środka trwałego</v>
      </c>
      <c r="D26" s="842"/>
      <c r="E26" s="842"/>
      <c r="F26" s="843"/>
      <c r="G26" s="839" t="str">
        <f>CHOOSE(jezyk,n!A639,n!B639,n!C639,n!D635)</f>
        <v>Stan na 
31.12.2024</v>
      </c>
      <c r="H26" s="839"/>
      <c r="I26" s="839" t="str">
        <f>CHOOSE(jezyk,n!A638,n!B638,n!C638,n!D638)</f>
        <v>Stan na 
31.12.2023</v>
      </c>
      <c r="J26" s="839"/>
      <c r="S26" s="317"/>
    </row>
    <row r="27" spans="1:19" ht="16.5" customHeight="1">
      <c r="C27" s="847" t="s">
        <v>6935</v>
      </c>
      <c r="D27" s="848"/>
      <c r="E27" s="848"/>
      <c r="F27" s="849"/>
      <c r="G27" s="853">
        <v>172340.65</v>
      </c>
      <c r="H27" s="853"/>
      <c r="I27" s="853">
        <v>0</v>
      </c>
      <c r="J27" s="853"/>
      <c r="S27" s="317"/>
    </row>
    <row r="28" spans="1:19" ht="14.1" hidden="1" customHeight="1">
      <c r="C28" s="847"/>
      <c r="D28" s="848"/>
      <c r="E28" s="848"/>
      <c r="F28" s="849"/>
      <c r="G28" s="853"/>
      <c r="H28" s="853"/>
      <c r="I28" s="853"/>
      <c r="J28" s="853"/>
      <c r="S28" s="317"/>
    </row>
    <row r="29" spans="1:19" ht="14.1" customHeight="1">
      <c r="C29" s="134"/>
      <c r="D29" s="134"/>
      <c r="E29" s="134"/>
      <c r="F29" s="134"/>
      <c r="G29" s="840">
        <f>SUM(G27:H28)</f>
        <v>172340.65</v>
      </c>
      <c r="H29" s="840"/>
      <c r="I29" s="840">
        <f>SUM(I27:J28)</f>
        <v>0</v>
      </c>
      <c r="J29" s="840"/>
      <c r="S29" s="317"/>
    </row>
    <row r="30" spans="1:19">
      <c r="B30" s="111"/>
      <c r="C30" s="854"/>
      <c r="D30" s="854"/>
      <c r="E30" s="854"/>
      <c r="F30" s="854"/>
      <c r="G30" s="854"/>
      <c r="H30" s="854"/>
      <c r="I30" s="854"/>
      <c r="J30" s="854"/>
      <c r="S30" s="317"/>
    </row>
    <row r="31" spans="1:19" ht="25.5" customHeight="1">
      <c r="A31" s="170"/>
      <c r="B31" s="111" t="s">
        <v>246</v>
      </c>
      <c r="C31" s="854" t="str">
        <f>CHOOSE(jezyk,n!A674,n!B674,n!C674,n!D672)</f>
        <v>Liczba oraz wartość posiadanych papierów wartościowych lub praw, w tym świadectw udziałowych, zamiennych dłużnych papierów wartościowych, warrantów i opcji ze wskazaniem praw, jakie przyznają</v>
      </c>
      <c r="D31" s="854"/>
      <c r="E31" s="854"/>
      <c r="F31" s="854"/>
      <c r="G31" s="854"/>
      <c r="H31" s="854"/>
      <c r="I31" s="854"/>
      <c r="J31" s="854"/>
      <c r="S31" s="317"/>
    </row>
    <row r="32" spans="1:19" ht="12.75" customHeight="1">
      <c r="S32" s="317"/>
    </row>
    <row r="33" spans="2:19" ht="12.75" customHeight="1">
      <c r="C33" s="745" t="str">
        <f>CHOOSE(jezyk,n!A643,n!B643,n!C643,n!D641)</f>
        <v>Pozycja nie wystąpiła zarówno w roku obrotowym 2024, jak i w roku poprzednim.</v>
      </c>
      <c r="D33" s="745"/>
      <c r="E33" s="745"/>
      <c r="F33" s="745"/>
      <c r="G33" s="745"/>
      <c r="H33" s="745"/>
      <c r="I33" s="745"/>
      <c r="J33" s="745"/>
      <c r="K33" s="131" t="s">
        <v>2186</v>
      </c>
      <c r="S33" s="317"/>
    </row>
    <row r="34" spans="2:19" ht="12.75" customHeight="1">
      <c r="S34" s="317"/>
    </row>
    <row r="35" spans="2:19">
      <c r="B35" s="111" t="s">
        <v>247</v>
      </c>
      <c r="C35" s="854" t="str">
        <f>CHOOSE(jezyk,n!A759,n!B759,n!C759,n!D757)</f>
        <v>Dane o odpisach aktualizujących należności</v>
      </c>
      <c r="D35" s="854"/>
      <c r="E35" s="854"/>
      <c r="F35" s="854"/>
      <c r="G35" s="854"/>
      <c r="H35" s="854"/>
      <c r="I35" s="854"/>
      <c r="J35" s="854"/>
      <c r="S35" s="317"/>
    </row>
    <row r="36" spans="2:19" ht="12.75" customHeight="1">
      <c r="S36" s="317"/>
    </row>
    <row r="37" spans="2:19" ht="12.75" hidden="1" customHeight="1">
      <c r="C37" s="745" t="str">
        <f>CHOOSE(jezyk,n!A643,n!B643,n!C643,n!D641)</f>
        <v>Pozycja nie wystąpiła zarówno w roku obrotowym 2024, jak i w roku poprzednim.</v>
      </c>
      <c r="D37" s="745"/>
      <c r="E37" s="745"/>
      <c r="F37" s="745"/>
      <c r="G37" s="745"/>
      <c r="H37" s="745"/>
      <c r="I37" s="745"/>
      <c r="J37" s="745"/>
      <c r="K37" s="131" t="s">
        <v>2186</v>
      </c>
      <c r="S37" s="317"/>
    </row>
    <row r="38" spans="2:19" ht="12.75" hidden="1" customHeight="1">
      <c r="S38" s="317"/>
    </row>
    <row r="39" spans="2:19" ht="12.75" customHeight="1">
      <c r="C39" s="746" t="str">
        <f>CHOOSE(jezyk,n!A760,n!B760,n!C760,n!D758)</f>
        <v>Zmiany stanu odpisów aktualizujących należności w ciągu roku obrotowego 2024</v>
      </c>
      <c r="D39" s="746"/>
      <c r="E39" s="746"/>
      <c r="F39" s="746"/>
      <c r="G39" s="746"/>
      <c r="H39" s="746"/>
      <c r="I39" s="746"/>
      <c r="J39" s="746"/>
      <c r="S39" s="317"/>
    </row>
    <row r="40" spans="2:19" ht="12.75" customHeight="1">
      <c r="S40" s="317"/>
    </row>
    <row r="41" spans="2:19" ht="12.75" customHeight="1">
      <c r="C41" s="855" t="str">
        <f>CHOOSE(jezyk,n!A762,n!B762,n!C762,n!D760)</f>
        <v>Tytuł odpisu</v>
      </c>
      <c r="D41" s="856"/>
      <c r="E41" s="835" t="str">
        <f>CHOOSE(jezyk,n!A626,n!B626,n!C626,n!D623)</f>
        <v>Stan na 
19.10.2023</v>
      </c>
      <c r="F41" s="859" t="str">
        <f>CHOOSE(jezyk,n!A764,n!B764,n!C764,n!D762)</f>
        <v>Zwiększenia</v>
      </c>
      <c r="G41" s="835" t="str">
        <f>CHOOSE(jezyk,n!A765,n!B765,n!C765,n!D763)</f>
        <v>Wykorzystanie</v>
      </c>
      <c r="H41" s="835"/>
      <c r="I41" s="859" t="str">
        <f>CHOOSE(jezyk,n!A766,n!B766,n!C766,n!D764)</f>
        <v>Rozwiązanie</v>
      </c>
      <c r="J41" s="835" t="str">
        <f>CHOOSE(jezyk,n!A639,n!B639,n!C639,n!D635)</f>
        <v>Stan na 
31.12.2024</v>
      </c>
      <c r="S41" s="317"/>
    </row>
    <row r="42" spans="2:19" ht="25.5" customHeight="1">
      <c r="C42" s="857"/>
      <c r="D42" s="858"/>
      <c r="E42" s="835"/>
      <c r="F42" s="860"/>
      <c r="G42" s="835"/>
      <c r="H42" s="835"/>
      <c r="I42" s="860"/>
      <c r="J42" s="835"/>
      <c r="S42" s="317"/>
    </row>
    <row r="43" spans="2:19" ht="27" customHeight="1">
      <c r="C43" s="834" t="str">
        <f>CHOOSE(jezyk,n!A769,n!B769,n!C769,n!D767)</f>
        <v>odpis indywidualny</v>
      </c>
      <c r="D43" s="834"/>
      <c r="E43" s="662" t="str">
        <f>J51</f>
        <v>0,00</v>
      </c>
      <c r="F43" s="662">
        <v>0</v>
      </c>
      <c r="G43" s="836">
        <v>0</v>
      </c>
      <c r="H43" s="836"/>
      <c r="I43" s="662">
        <v>0</v>
      </c>
      <c r="J43" s="663" t="str">
        <f>IF((E43+F43-G43-I43)&lt;&gt;0,E43+F43-G43-I43,"0,00")</f>
        <v>0,00</v>
      </c>
      <c r="S43" s="317"/>
    </row>
    <row r="44" spans="2:19" ht="27" customHeight="1">
      <c r="C44" s="834" t="str">
        <f>CHOOSE(jezyk,n!A770,n!B770,n!C770,n!D768)</f>
        <v>odpis ryczałtowy</v>
      </c>
      <c r="D44" s="834"/>
      <c r="E44" s="662" t="str">
        <f>J52</f>
        <v>0,00</v>
      </c>
      <c r="F44" s="662">
        <v>10540.21</v>
      </c>
      <c r="G44" s="836">
        <v>0</v>
      </c>
      <c r="H44" s="836"/>
      <c r="I44" s="662">
        <v>0</v>
      </c>
      <c r="J44" s="663">
        <f>IF((E44+F44-G44-I44)&lt;&gt;0,E44+F44-G44-I44,"0,00")</f>
        <v>10540.21</v>
      </c>
      <c r="S44" s="317"/>
    </row>
    <row r="45" spans="2:19" ht="20.25" customHeight="1">
      <c r="C45" s="834" t="str">
        <f>CHOOSE(jezyk,n!A768,n!B768,n!C768,n!D766)</f>
        <v>Ogółem</v>
      </c>
      <c r="D45" s="834"/>
      <c r="E45" s="404">
        <f>SUM(E43:E44)</f>
        <v>0</v>
      </c>
      <c r="F45" s="404">
        <f>SUM(F43:F44)</f>
        <v>10540.21</v>
      </c>
      <c r="G45" s="837">
        <f>SUM(G43:H44)</f>
        <v>0</v>
      </c>
      <c r="H45" s="837"/>
      <c r="I45" s="404">
        <f>SUM(I43:I44)</f>
        <v>0</v>
      </c>
      <c r="J45" s="404">
        <f>SUM(J43:J44)</f>
        <v>10540.21</v>
      </c>
      <c r="S45" s="317"/>
    </row>
    <row r="46" spans="2:19" ht="12.75" hidden="1" customHeight="1">
      <c r="S46" s="317"/>
    </row>
    <row r="47" spans="2:19" ht="12.75" hidden="1" customHeight="1">
      <c r="C47" s="746" t="str">
        <f>CHOOSE(jezyk,n!A761,n!B761,n!C761,n!D759)</f>
        <v>Zmiany stanu odpisów aktualizujących należności w ciągu roku obrotowego 2023</v>
      </c>
      <c r="D47" s="746"/>
      <c r="E47" s="746"/>
      <c r="F47" s="746"/>
      <c r="G47" s="746"/>
      <c r="H47" s="746"/>
      <c r="I47" s="746"/>
      <c r="J47" s="746"/>
      <c r="S47" s="317"/>
    </row>
    <row r="48" spans="2:19" ht="12.75" hidden="1" customHeight="1">
      <c r="S48" s="317"/>
    </row>
    <row r="49" spans="1:22" ht="12.75" hidden="1" customHeight="1">
      <c r="C49" s="855" t="str">
        <f>C41</f>
        <v>Tytuł odpisu</v>
      </c>
      <c r="D49" s="856"/>
      <c r="E49" s="835" t="str">
        <f>CHOOSE(jezyk,n!A627,n!B627,n!C627,n!D627)</f>
        <v>Stan na 
19.10.2022</v>
      </c>
      <c r="F49" s="835" t="str">
        <f>F41</f>
        <v>Zwiększenia</v>
      </c>
      <c r="G49" s="835" t="str">
        <f>G41</f>
        <v>Wykorzystanie</v>
      </c>
      <c r="H49" s="835"/>
      <c r="I49" s="859" t="str">
        <f>I41</f>
        <v>Rozwiązanie</v>
      </c>
      <c r="J49" s="835" t="str">
        <f>CHOOSE(jezyk,n!A638,n!B638,n!C638,n!D638)</f>
        <v>Stan na 
31.12.2023</v>
      </c>
      <c r="S49" s="317"/>
    </row>
    <row r="50" spans="1:22" ht="25.5" hidden="1" customHeight="1">
      <c r="C50" s="857"/>
      <c r="D50" s="858"/>
      <c r="E50" s="835"/>
      <c r="F50" s="835"/>
      <c r="G50" s="835"/>
      <c r="H50" s="835"/>
      <c r="I50" s="860"/>
      <c r="J50" s="835"/>
      <c r="S50" s="317"/>
    </row>
    <row r="51" spans="1:22" ht="25.5" hidden="1" customHeight="1">
      <c r="C51" s="834" t="str">
        <f>C43</f>
        <v>odpis indywidualny</v>
      </c>
      <c r="D51" s="834"/>
      <c r="E51" s="662">
        <v>0</v>
      </c>
      <c r="F51" s="662">
        <v>0</v>
      </c>
      <c r="G51" s="836">
        <v>0</v>
      </c>
      <c r="H51" s="836"/>
      <c r="I51" s="662">
        <v>0</v>
      </c>
      <c r="J51" s="663" t="str">
        <f>IF((E51+F51-G51-I51)&lt;&gt;0,E51+F51-G51-I51,"0,00")</f>
        <v>0,00</v>
      </c>
      <c r="S51" s="317"/>
    </row>
    <row r="52" spans="1:22" ht="25.5" hidden="1" customHeight="1">
      <c r="C52" s="834" t="str">
        <f>C44</f>
        <v>odpis ryczałtowy</v>
      </c>
      <c r="D52" s="834"/>
      <c r="E52" s="662">
        <v>0</v>
      </c>
      <c r="F52" s="662">
        <v>0</v>
      </c>
      <c r="G52" s="836">
        <v>0</v>
      </c>
      <c r="H52" s="836"/>
      <c r="I52" s="662">
        <v>0</v>
      </c>
      <c r="J52" s="663" t="str">
        <f>IF((E52+F52-G52-I52)&lt;&gt;0,E52+F52-G52-I52,"0,00")</f>
        <v>0,00</v>
      </c>
      <c r="S52" s="317"/>
    </row>
    <row r="53" spans="1:22" ht="19.5" hidden="1" customHeight="1">
      <c r="B53" s="111"/>
      <c r="C53" s="834" t="str">
        <f>C45</f>
        <v>Ogółem</v>
      </c>
      <c r="D53" s="834"/>
      <c r="E53" s="404">
        <f>SUM(E51:E52)</f>
        <v>0</v>
      </c>
      <c r="F53" s="404">
        <f>SUM(F51:F52)</f>
        <v>0</v>
      </c>
      <c r="G53" s="837">
        <f>SUM(G51:H52)</f>
        <v>0</v>
      </c>
      <c r="H53" s="837"/>
      <c r="I53" s="404">
        <f>SUM(I51:I52)</f>
        <v>0</v>
      </c>
      <c r="J53" s="404">
        <f>SUM(J51:J52)</f>
        <v>0</v>
      </c>
      <c r="S53" s="317"/>
    </row>
    <row r="54" spans="1:22" ht="12.75" customHeight="1">
      <c r="B54" s="111"/>
      <c r="C54" s="135"/>
      <c r="D54" s="135"/>
      <c r="E54" s="136"/>
      <c r="F54" s="136"/>
      <c r="G54" s="136"/>
      <c r="H54" s="136"/>
      <c r="I54" s="136"/>
      <c r="J54" s="136"/>
      <c r="S54" s="317"/>
    </row>
    <row r="55" spans="1:22" ht="12.75" customHeight="1">
      <c r="A55" s="820"/>
      <c r="B55" s="111" t="s">
        <v>2100</v>
      </c>
      <c r="C55" s="854" t="str">
        <f>CHOOSE(jezyk,n!A676,n!B676,n!C676,n!D674)</f>
        <v>Dane o strukturze własności kapitału podstawowego oraz liczbie i wartości nominalnej subskrybowanych akcji, w tym uprzywilejowanych</v>
      </c>
      <c r="D55" s="854"/>
      <c r="E55" s="854"/>
      <c r="F55" s="854"/>
      <c r="G55" s="854"/>
      <c r="H55" s="854"/>
      <c r="I55" s="854"/>
      <c r="J55" s="854"/>
      <c r="S55" s="317"/>
    </row>
    <row r="56" spans="1:22" ht="12.75" customHeight="1">
      <c r="A56" s="820"/>
      <c r="B56" s="111"/>
      <c r="C56" s="854"/>
      <c r="D56" s="854"/>
      <c r="E56" s="854"/>
      <c r="F56" s="854"/>
      <c r="G56" s="854"/>
      <c r="H56" s="854"/>
      <c r="I56" s="854"/>
      <c r="J56" s="854"/>
      <c r="S56" s="317"/>
    </row>
    <row r="57" spans="1:22" ht="12.75" customHeight="1">
      <c r="B57" s="111"/>
      <c r="C57" s="384"/>
      <c r="D57" s="384"/>
      <c r="E57" s="384"/>
      <c r="F57" s="384"/>
      <c r="G57" s="384"/>
      <c r="H57" s="384"/>
      <c r="I57" s="384"/>
      <c r="K57" s="131" t="s">
        <v>4610</v>
      </c>
      <c r="M57" s="131" t="s">
        <v>4612</v>
      </c>
      <c r="S57" s="317"/>
    </row>
    <row r="58" spans="1:22" ht="12.75" customHeight="1">
      <c r="B58" s="111"/>
      <c r="C58" s="861" t="str">
        <f>IF(M57="udziały",CHOOSE(jezyk,n!A677,n!B677,n!C677,n!D675),CHOOSE(jezyk,n!A682,n!B682,n!C682,n!D680))</f>
        <v>Na dzień bilansowy udziały w Spółce posiadają:</v>
      </c>
      <c r="D58" s="861"/>
      <c r="E58" s="861"/>
      <c r="F58" s="861"/>
      <c r="G58" s="861"/>
      <c r="H58" s="861"/>
      <c r="I58" s="861"/>
      <c r="S58" s="317"/>
      <c r="V58" s="66" t="s">
        <v>4611</v>
      </c>
    </row>
    <row r="59" spans="1:22" ht="12.75" customHeight="1">
      <c r="B59" s="111"/>
      <c r="K59" s="65" t="str">
        <f>dzb</f>
        <v>31.12.2024</v>
      </c>
      <c r="S59" s="317"/>
      <c r="V59" s="66" t="s">
        <v>4612</v>
      </c>
    </row>
    <row r="60" spans="1:22" ht="25.5" customHeight="1">
      <c r="C60" s="845" t="str">
        <f>IF($M$57="udziały",CHOOSE(jezyk,n!A678,n!B678,n!C678,n!D676),CHOOSE(jezyk,n!A683,n!B683,n!C683,n!D681))</f>
        <v>Nazwa udziałowca</v>
      </c>
      <c r="D60" s="845"/>
      <c r="E60" s="845"/>
      <c r="F60" s="839" t="str">
        <f>IF($M$57="udziały",CHOOSE(jezyk,n!A679,n!B679,n!C679,n!D677),CHOOSE(jezyk,n!A684,n!B684,n!C684,n!D682))</f>
        <v>Wartość udziałów</v>
      </c>
      <c r="G60" s="839"/>
      <c r="H60" s="402" t="str">
        <f>IF($M$57="udziały",CHOOSE(jezyk,n!A680,n!B680,n!C680,n!D678),CHOOSE(jezyk,n!A685,n!B685,n!C685,n!D683))</f>
        <v xml:space="preserve">Ilość udziałów </v>
      </c>
      <c r="I60" s="402" t="str">
        <f>IF($M$57="udziały",CHOOSE(jezyk,n!A681,n!B681,n!C681,n!D679),CHOOSE(jezyk,n!A686,n!B686,n!C686,n!D684))</f>
        <v>Wartość jednostki</v>
      </c>
      <c r="J60" s="407" t="s">
        <v>245</v>
      </c>
      <c r="K60" s="148">
        <f>ROUND(F63-Bilans!T12,2)</f>
        <v>100000</v>
      </c>
      <c r="S60" s="317"/>
    </row>
    <row r="61" spans="1:22" ht="18" customHeight="1">
      <c r="C61" s="850" t="s">
        <v>6936</v>
      </c>
      <c r="D61" s="850"/>
      <c r="E61" s="850"/>
      <c r="F61" s="844">
        <f>I61*H61</f>
        <v>100000</v>
      </c>
      <c r="G61" s="844"/>
      <c r="H61" s="730">
        <v>2000</v>
      </c>
      <c r="I61" s="730">
        <v>50</v>
      </c>
      <c r="J61" s="137">
        <f>IFERROR(F61/F63,"")</f>
        <v>1</v>
      </c>
      <c r="S61" s="317"/>
    </row>
    <row r="62" spans="1:22" ht="18" hidden="1" customHeight="1">
      <c r="C62" s="850"/>
      <c r="D62" s="850"/>
      <c r="E62" s="850"/>
      <c r="F62" s="844">
        <f>I62*H62</f>
        <v>0</v>
      </c>
      <c r="G62" s="844"/>
      <c r="H62" s="412"/>
      <c r="I62" s="412"/>
      <c r="J62" s="137">
        <f>IFERROR(F62/F63,"")</f>
        <v>0</v>
      </c>
      <c r="S62" s="317"/>
    </row>
    <row r="63" spans="1:22" ht="18" hidden="1" customHeight="1">
      <c r="C63" s="846" t="str">
        <f>CHOOSE(jezyk,n!A768,n!B768,n!C768,n!D766)</f>
        <v>Ogółem</v>
      </c>
      <c r="D63" s="846"/>
      <c r="E63" s="846"/>
      <c r="F63" s="844">
        <f>F61+F62</f>
        <v>100000</v>
      </c>
      <c r="G63" s="844"/>
      <c r="H63" s="664">
        <f>H61+H62</f>
        <v>2000</v>
      </c>
      <c r="I63" s="138"/>
      <c r="J63" s="137">
        <f>SUM(J61:J62)</f>
        <v>1</v>
      </c>
      <c r="K63" s="131" t="s">
        <v>6465</v>
      </c>
      <c r="S63" s="317"/>
    </row>
    <row r="64" spans="1:22" ht="18" customHeight="1">
      <c r="C64" s="187"/>
      <c r="D64" s="187"/>
      <c r="E64" s="187"/>
      <c r="F64" s="139"/>
      <c r="G64" s="139"/>
      <c r="H64" s="139"/>
      <c r="I64" s="139"/>
      <c r="J64" s="140"/>
      <c r="K64" s="131"/>
      <c r="S64" s="317"/>
    </row>
    <row r="65" spans="2:19" ht="17.25" customHeight="1">
      <c r="C65" s="745" t="s">
        <v>6937</v>
      </c>
      <c r="D65" s="745"/>
      <c r="E65" s="745"/>
      <c r="F65" s="745"/>
      <c r="G65" s="745"/>
      <c r="H65" s="745"/>
      <c r="I65" s="745"/>
      <c r="J65" s="745"/>
      <c r="K65" s="131" t="s">
        <v>5480</v>
      </c>
      <c r="S65" s="317"/>
    </row>
    <row r="66" spans="2:19" ht="12.75" customHeight="1">
      <c r="S66" s="317"/>
    </row>
    <row r="67" spans="2:19" ht="26.25" customHeight="1">
      <c r="B67" s="111" t="s">
        <v>2101</v>
      </c>
      <c r="C67" s="762" t="str">
        <f>CHOOSE(jezyk,n!A689,n!B689,n!C689,n!D686)</f>
        <v>Szczegółowy zakres zmian kapitałów zapasowych, rezerwowych oraz kapitału z aktualizacji wyceny (o ile jednostka nie sporządza zestawienia zmian w kapitale własnym)</v>
      </c>
      <c r="D67" s="762"/>
      <c r="E67" s="762"/>
      <c r="F67" s="762"/>
      <c r="G67" s="762"/>
      <c r="H67" s="762"/>
      <c r="I67" s="762"/>
      <c r="J67" s="762"/>
      <c r="S67" s="317"/>
    </row>
    <row r="68" spans="2:19">
      <c r="B68" s="111"/>
      <c r="C68" s="411"/>
      <c r="D68" s="411"/>
      <c r="E68" s="411"/>
      <c r="F68" s="411"/>
      <c r="G68" s="411"/>
      <c r="H68" s="411"/>
      <c r="I68" s="411"/>
      <c r="J68" s="411"/>
      <c r="S68" s="317"/>
    </row>
    <row r="69" spans="2:19" hidden="1">
      <c r="B69" s="111"/>
      <c r="C69" s="851" t="str">
        <f>CHOOSE(jezyk,n!A690,n!B690,n!C690,n!D687)</f>
        <v>Jednostka sporządza zestawienie zmian w kapitale własnym.</v>
      </c>
      <c r="D69" s="851"/>
      <c r="E69" s="851"/>
      <c r="F69" s="851"/>
      <c r="G69" s="851"/>
      <c r="H69" s="851"/>
      <c r="I69" s="851"/>
      <c r="J69" s="851"/>
      <c r="K69" s="131" t="s">
        <v>2186</v>
      </c>
      <c r="S69" s="317"/>
    </row>
    <row r="70" spans="2:19" ht="9.75" hidden="1" customHeight="1">
      <c r="B70" s="111"/>
      <c r="C70" s="141"/>
      <c r="D70" s="141"/>
      <c r="E70" s="141"/>
      <c r="F70" s="141"/>
      <c r="G70" s="141"/>
      <c r="H70" s="141"/>
      <c r="I70" s="141"/>
      <c r="S70" s="317"/>
    </row>
    <row r="71" spans="2:19" ht="15" customHeight="1">
      <c r="B71" s="111"/>
      <c r="C71" s="863" t="str">
        <f>CHOOSE(jezyk,n!A616,n!B616,n!C616,n!D614)</f>
        <v>Rok obrotowy 2024</v>
      </c>
      <c r="D71" s="863"/>
      <c r="E71" s="863"/>
      <c r="F71" s="141"/>
      <c r="G71" s="141"/>
      <c r="H71" s="141"/>
      <c r="I71" s="141"/>
      <c r="S71" s="317"/>
    </row>
    <row r="72" spans="2:19">
      <c r="B72" s="111"/>
      <c r="C72" s="141"/>
      <c r="D72" s="141"/>
      <c r="E72" s="141"/>
      <c r="F72" s="141"/>
      <c r="G72" s="141"/>
      <c r="H72" s="141"/>
      <c r="I72" s="141"/>
      <c r="S72" s="317"/>
    </row>
    <row r="73" spans="2:19" ht="51.75" customHeight="1">
      <c r="B73" s="101"/>
      <c r="C73" s="852"/>
      <c r="D73" s="852"/>
      <c r="E73" s="665" t="str">
        <f>CHOOSE(jezyk,n!A626,n!B626,n!C626,n!D623)</f>
        <v>Stan na 
19.10.2023</v>
      </c>
      <c r="F73" s="665" t="str">
        <f>CHOOSE(jezyk,n!A698,n!B698,n!C698,n!D696)</f>
        <v xml:space="preserve">Korekty błędów </v>
      </c>
      <c r="G73" s="665" t="str">
        <f>CHOOSE(jezyk,n!A700,n!B700,n!C700,n!D697)</f>
        <v>Stan na 19.10.2023 po korektach</v>
      </c>
      <c r="H73" s="665" t="str">
        <f>CHOOSE(jezyk,n!A702,n!B702,n!C702,n!D698)</f>
        <v>Zwiększenia</v>
      </c>
      <c r="I73" s="665" t="str">
        <f>CHOOSE(jezyk,n!A703,n!B703,n!C703,n!D700)</f>
        <v>Zmniejszenia</v>
      </c>
      <c r="J73" s="402" t="str">
        <f>CHOOSE(jezyk,n!A639,n!B639,n!C639,n!D635)</f>
        <v>Stan na 
31.12.2024</v>
      </c>
      <c r="K73" s="142" t="s">
        <v>2173</v>
      </c>
      <c r="L73" s="143"/>
      <c r="M73" s="143"/>
      <c r="N73" s="143"/>
      <c r="O73" s="143"/>
      <c r="R73" s="144" t="str">
        <f>dzb</f>
        <v>31.12.2024</v>
      </c>
      <c r="S73" s="144" t="str">
        <f>dzbo</f>
        <v>19.10.2023</v>
      </c>
    </row>
    <row r="74" spans="2:19" ht="27" customHeight="1">
      <c r="B74" s="101"/>
      <c r="C74" s="821" t="str">
        <f>CHOOSE(jezyk,n!A691,n!B691,n!C691,n!D689)</f>
        <v>Kapitał (fundusz) podstawowy</v>
      </c>
      <c r="D74" s="823"/>
      <c r="E74" s="147">
        <f>Bilans!T12</f>
        <v>0</v>
      </c>
      <c r="F74" s="146">
        <v>0</v>
      </c>
      <c r="G74" s="147">
        <f t="shared" ref="G74:G79" si="0">E74+F74</f>
        <v>0</v>
      </c>
      <c r="H74" s="146">
        <v>100000</v>
      </c>
      <c r="I74" s="146">
        <v>0</v>
      </c>
      <c r="J74" s="147">
        <f t="shared" ref="J74:J79" si="1">G74+H74-I74</f>
        <v>100000</v>
      </c>
      <c r="K74" s="142"/>
      <c r="L74" s="143"/>
      <c r="M74" s="143"/>
      <c r="N74" s="143"/>
      <c r="O74" s="143"/>
      <c r="R74" s="148">
        <f>ROUND(J74-Bilans!S11,2)</f>
        <v>0</v>
      </c>
      <c r="S74" s="148">
        <f>ROUND(J85-Bilans!T12,2)</f>
        <v>0</v>
      </c>
    </row>
    <row r="75" spans="2:19" ht="28.5" customHeight="1">
      <c r="B75" s="101"/>
      <c r="C75" s="826" t="str">
        <f>CHOOSE(jezyk,n!A692,n!B692,n!C692,n!D690)</f>
        <v>Kapitał (fundusz) zapasowy</v>
      </c>
      <c r="D75" s="826"/>
      <c r="E75" s="147">
        <f>Bilans!T13</f>
        <v>0</v>
      </c>
      <c r="F75" s="412">
        <v>0</v>
      </c>
      <c r="G75" s="147">
        <f t="shared" si="0"/>
        <v>0</v>
      </c>
      <c r="H75" s="412">
        <v>0</v>
      </c>
      <c r="I75" s="412">
        <v>0</v>
      </c>
      <c r="J75" s="147">
        <f t="shared" si="1"/>
        <v>0</v>
      </c>
      <c r="K75" s="142"/>
      <c r="L75" s="143"/>
      <c r="M75" s="143"/>
      <c r="N75" s="143"/>
      <c r="O75" s="143"/>
      <c r="R75" s="148">
        <f>ROUND(J75-Bilans!S13,2)</f>
        <v>0</v>
      </c>
      <c r="S75" s="148">
        <f>ROUND(J86-Bilans!T13,2)</f>
        <v>0</v>
      </c>
    </row>
    <row r="76" spans="2:19" ht="25.5" customHeight="1">
      <c r="B76" s="101"/>
      <c r="C76" s="826" t="str">
        <f>CHOOSE(jezyk,n!A693,n!B693,n!C693,n!D691)</f>
        <v>Kapitał (fundusz) z aktualizacji wyceny</v>
      </c>
      <c r="D76" s="826"/>
      <c r="E76" s="147">
        <f>Bilans!T15</f>
        <v>0</v>
      </c>
      <c r="F76" s="412">
        <v>0</v>
      </c>
      <c r="G76" s="147">
        <f t="shared" si="0"/>
        <v>0</v>
      </c>
      <c r="H76" s="412">
        <v>0</v>
      </c>
      <c r="I76" s="412">
        <v>0</v>
      </c>
      <c r="J76" s="147">
        <f t="shared" si="1"/>
        <v>0</v>
      </c>
      <c r="K76" s="142"/>
      <c r="L76" s="143"/>
      <c r="M76" s="143"/>
      <c r="N76" s="143"/>
      <c r="O76" s="143"/>
      <c r="R76" s="148">
        <f>ROUND(J76-Bilans!S15,2)</f>
        <v>0</v>
      </c>
      <c r="S76" s="148">
        <f>ROUND(J87-Bilans!T15,2)</f>
        <v>0</v>
      </c>
    </row>
    <row r="77" spans="2:19" ht="25.5" customHeight="1">
      <c r="B77" s="101"/>
      <c r="C77" s="826" t="str">
        <f>CHOOSE(jezyk,n!A694,n!B694,n!C694,n!D692)</f>
        <v>Pozostałe kapitały (fundusze) rezerwowe</v>
      </c>
      <c r="D77" s="826"/>
      <c r="E77" s="147">
        <f>Bilans!T17</f>
        <v>0</v>
      </c>
      <c r="F77" s="412">
        <v>0</v>
      </c>
      <c r="G77" s="147">
        <f t="shared" si="0"/>
        <v>0</v>
      </c>
      <c r="H77" s="412">
        <v>0</v>
      </c>
      <c r="I77" s="412">
        <v>0</v>
      </c>
      <c r="J77" s="147">
        <f t="shared" si="1"/>
        <v>0</v>
      </c>
      <c r="K77" s="142"/>
      <c r="L77" s="143"/>
      <c r="M77" s="143"/>
      <c r="N77" s="143"/>
      <c r="O77" s="143"/>
      <c r="R77" s="148">
        <f>ROUND(J77-Bilans!S17,2)</f>
        <v>0</v>
      </c>
      <c r="S77" s="148">
        <f>ROUND(J88-Bilans!T17,2)</f>
        <v>0</v>
      </c>
    </row>
    <row r="78" spans="2:19" ht="27" customHeight="1">
      <c r="B78" s="101"/>
      <c r="C78" s="826" t="str">
        <f>CHOOSE(jezyk,n!A695,n!B695,n!C695,n!D693)</f>
        <v>Zysk (strata) z lat ubiegłych</v>
      </c>
      <c r="D78" s="826"/>
      <c r="E78" s="147">
        <f>Bilans!T20+Bilans!T21</f>
        <v>1E-4</v>
      </c>
      <c r="F78" s="412">
        <v>0</v>
      </c>
      <c r="G78" s="147">
        <f t="shared" si="0"/>
        <v>1E-4</v>
      </c>
      <c r="H78" s="412">
        <v>0</v>
      </c>
      <c r="I78" s="412">
        <v>0</v>
      </c>
      <c r="J78" s="147">
        <f t="shared" si="1"/>
        <v>1E-4</v>
      </c>
      <c r="K78" s="142"/>
      <c r="L78" s="143"/>
      <c r="M78" s="143"/>
      <c r="N78" s="143"/>
      <c r="O78" s="143"/>
      <c r="R78" s="148">
        <f>ROUND(J78-Bilans!S19,2)</f>
        <v>0</v>
      </c>
      <c r="S78" s="148">
        <f>ROUND(J89-Bilans!T20-Bilans!T21,2)</f>
        <v>0</v>
      </c>
    </row>
    <row r="79" spans="2:19" ht="24.75" customHeight="1">
      <c r="B79" s="101"/>
      <c r="C79" s="826" t="str">
        <f>CHOOSE(jezyk,n!A696,n!B696,n!C696,n!D694)</f>
        <v>Zysk (strata) netto</v>
      </c>
      <c r="D79" s="826"/>
      <c r="E79" s="147">
        <v>0</v>
      </c>
      <c r="F79" s="412">
        <v>0</v>
      </c>
      <c r="G79" s="147">
        <f t="shared" si="0"/>
        <v>0</v>
      </c>
      <c r="H79" s="147">
        <f>Bilans!S20</f>
        <v>364172.37000000081</v>
      </c>
      <c r="I79" s="412">
        <v>0</v>
      </c>
      <c r="J79" s="147">
        <f t="shared" si="1"/>
        <v>364172.37000000081</v>
      </c>
      <c r="K79" s="142"/>
      <c r="L79" s="143"/>
      <c r="M79" s="143"/>
      <c r="N79" s="143"/>
      <c r="O79" s="143"/>
      <c r="R79" s="148">
        <f>ROUND(J79-Bilans!S20,2)</f>
        <v>0</v>
      </c>
      <c r="S79" s="148"/>
    </row>
    <row r="80" spans="2:19" s="151" customFormat="1" ht="24.75" customHeight="1">
      <c r="B80" s="101"/>
      <c r="C80" s="826" t="str">
        <f>CHOOSE(jezyk,n!A768,n!B768,n!C768,n!D766)</f>
        <v>Ogółem</v>
      </c>
      <c r="D80" s="826"/>
      <c r="E80" s="147">
        <f t="shared" ref="E80:J80" si="2">SUM(E74:E79)</f>
        <v>1E-4</v>
      </c>
      <c r="F80" s="147">
        <f t="shared" si="2"/>
        <v>0</v>
      </c>
      <c r="G80" s="147">
        <f t="shared" si="2"/>
        <v>1E-4</v>
      </c>
      <c r="H80" s="147">
        <f t="shared" si="2"/>
        <v>464172.37000000081</v>
      </c>
      <c r="I80" s="147">
        <f t="shared" si="2"/>
        <v>0</v>
      </c>
      <c r="J80" s="147">
        <f t="shared" si="2"/>
        <v>464172.37010000082</v>
      </c>
      <c r="K80" s="149" t="s">
        <v>6066</v>
      </c>
      <c r="L80" s="150"/>
      <c r="M80" s="150"/>
      <c r="N80" s="150"/>
      <c r="O80" s="150"/>
      <c r="R80" s="152">
        <f>SUM(R74:R79)</f>
        <v>0</v>
      </c>
      <c r="S80" s="152">
        <f>SUM(S74:S79)</f>
        <v>0</v>
      </c>
    </row>
    <row r="81" spans="2:19" ht="12.75" hidden="1" customHeight="1">
      <c r="B81" s="101"/>
      <c r="D81" s="38"/>
      <c r="E81" s="38"/>
      <c r="F81" s="37"/>
      <c r="G81" s="37"/>
      <c r="H81" s="38"/>
      <c r="I81" s="39"/>
      <c r="S81" s="317"/>
    </row>
    <row r="82" spans="2:19" ht="15" hidden="1" customHeight="1">
      <c r="B82" s="101"/>
      <c r="C82" s="863" t="str">
        <f>CHOOSE(jezyk,n!A617,n!B617,n!C617,n!D615)</f>
        <v>Rok obrotowy 2023</v>
      </c>
      <c r="D82" s="863"/>
      <c r="E82" s="863"/>
      <c r="F82" s="141"/>
      <c r="G82" s="141"/>
      <c r="H82" s="141"/>
      <c r="I82" s="141"/>
      <c r="S82" s="317"/>
    </row>
    <row r="83" spans="2:19" ht="12.75" hidden="1" customHeight="1">
      <c r="B83" s="101"/>
      <c r="C83" s="141"/>
      <c r="D83" s="141"/>
      <c r="E83" s="141"/>
      <c r="F83" s="141"/>
      <c r="G83" s="141"/>
      <c r="H83" s="141"/>
      <c r="I83" s="141"/>
      <c r="S83" s="317"/>
    </row>
    <row r="84" spans="2:19" ht="51.75" hidden="1" customHeight="1">
      <c r="B84" s="101"/>
      <c r="C84" s="852"/>
      <c r="D84" s="852"/>
      <c r="E84" s="665" t="str">
        <f>CHOOSE(jezyk,n!A627,n!B627,n!C627,n!D627)</f>
        <v>Stan na 
19.10.2022</v>
      </c>
      <c r="F84" s="665" t="str">
        <f t="shared" ref="F84:I84" si="3">F73</f>
        <v xml:space="preserve">Korekty błędów </v>
      </c>
      <c r="G84" s="665" t="str">
        <f>CHOOSE(jezyk,n!A701,n!B701,n!C701,n!D701)</f>
        <v>Stan na 19.10.2022 po korektach</v>
      </c>
      <c r="H84" s="665" t="str">
        <f t="shared" si="3"/>
        <v>Zwiększenia</v>
      </c>
      <c r="I84" s="665" t="str">
        <f t="shared" si="3"/>
        <v>Zmniejszenia</v>
      </c>
      <c r="J84" s="402" t="str">
        <f>CHOOSE(jezyk,n!A638,n!B638,n!C638,n!D638)</f>
        <v>Stan na 
31.12.2023</v>
      </c>
      <c r="S84" s="317"/>
    </row>
    <row r="85" spans="2:19" ht="27" hidden="1" customHeight="1">
      <c r="B85" s="101"/>
      <c r="C85" s="821" t="str">
        <f>CHOOSE(jezyk,n!A691,n!B691,n!C691,n!D689)</f>
        <v>Kapitał (fundusz) podstawowy</v>
      </c>
      <c r="D85" s="823"/>
      <c r="E85" s="145">
        <v>0</v>
      </c>
      <c r="F85" s="146">
        <v>0</v>
      </c>
      <c r="G85" s="147">
        <f t="shared" ref="G85:G90" si="4">E85+F85</f>
        <v>0</v>
      </c>
      <c r="H85" s="146">
        <v>0</v>
      </c>
      <c r="I85" s="146">
        <v>0</v>
      </c>
      <c r="J85" s="147">
        <f t="shared" ref="J85:J90" si="5">G85+H85-I85</f>
        <v>0</v>
      </c>
      <c r="S85" s="317"/>
    </row>
    <row r="86" spans="2:19" ht="27" hidden="1" customHeight="1">
      <c r="B86" s="101"/>
      <c r="C86" s="821" t="str">
        <f>CHOOSE(jezyk,n!A692,n!B692,n!C692,n!D690)</f>
        <v>Kapitał (fundusz) zapasowy</v>
      </c>
      <c r="D86" s="823"/>
      <c r="E86" s="691">
        <v>0</v>
      </c>
      <c r="F86" s="412">
        <v>0</v>
      </c>
      <c r="G86" s="147">
        <f t="shared" si="4"/>
        <v>0</v>
      </c>
      <c r="H86" s="412">
        <v>0</v>
      </c>
      <c r="I86" s="412">
        <v>0</v>
      </c>
      <c r="J86" s="147">
        <f t="shared" si="5"/>
        <v>0</v>
      </c>
      <c r="S86" s="317"/>
    </row>
    <row r="87" spans="2:19" ht="27" hidden="1" customHeight="1">
      <c r="B87" s="101"/>
      <c r="C87" s="821" t="str">
        <f>CHOOSE(jezyk,n!A693,n!B693,n!C693,n!D691)</f>
        <v>Kapitał (fundusz) z aktualizacji wyceny</v>
      </c>
      <c r="D87" s="823"/>
      <c r="E87" s="691">
        <v>0</v>
      </c>
      <c r="F87" s="412">
        <v>0</v>
      </c>
      <c r="G87" s="147">
        <f t="shared" si="4"/>
        <v>0</v>
      </c>
      <c r="H87" s="412">
        <v>0</v>
      </c>
      <c r="I87" s="412">
        <v>0</v>
      </c>
      <c r="J87" s="147">
        <f t="shared" si="5"/>
        <v>0</v>
      </c>
      <c r="S87" s="317"/>
    </row>
    <row r="88" spans="2:19" ht="25.5" hidden="1" customHeight="1">
      <c r="B88" s="101"/>
      <c r="C88" s="821" t="str">
        <f>CHOOSE(jezyk,n!A694,n!B694,n!C694,n!D692)</f>
        <v>Pozostałe kapitały (fundusze) rezerwowe</v>
      </c>
      <c r="D88" s="823"/>
      <c r="E88" s="691">
        <v>0</v>
      </c>
      <c r="F88" s="412">
        <v>0</v>
      </c>
      <c r="G88" s="147">
        <f t="shared" si="4"/>
        <v>0</v>
      </c>
      <c r="H88" s="412">
        <v>0</v>
      </c>
      <c r="I88" s="412">
        <v>0</v>
      </c>
      <c r="J88" s="147">
        <f t="shared" si="5"/>
        <v>0</v>
      </c>
      <c r="S88" s="317"/>
    </row>
    <row r="89" spans="2:19" ht="27" hidden="1" customHeight="1">
      <c r="B89" s="101"/>
      <c r="C89" s="821" t="str">
        <f>CHOOSE(jezyk,n!A695,n!B695,n!C695,n!D693)</f>
        <v>Zysk (strata) z lat ubiegłych</v>
      </c>
      <c r="D89" s="823"/>
      <c r="E89" s="691">
        <v>0</v>
      </c>
      <c r="F89" s="412">
        <v>0</v>
      </c>
      <c r="G89" s="147">
        <f t="shared" si="4"/>
        <v>0</v>
      </c>
      <c r="H89" s="412">
        <v>0</v>
      </c>
      <c r="I89" s="412">
        <v>0</v>
      </c>
      <c r="J89" s="147">
        <f t="shared" si="5"/>
        <v>0</v>
      </c>
      <c r="S89" s="317"/>
    </row>
    <row r="90" spans="2:19" ht="27" hidden="1" customHeight="1">
      <c r="B90" s="101"/>
      <c r="C90" s="821" t="str">
        <f>CHOOSE(jezyk,n!A696,n!B696,n!C696,n!D694)</f>
        <v>Zysk (strata) netto</v>
      </c>
      <c r="D90" s="823"/>
      <c r="E90" s="691">
        <v>0</v>
      </c>
      <c r="F90" s="412">
        <v>0</v>
      </c>
      <c r="G90" s="147">
        <f t="shared" si="4"/>
        <v>0</v>
      </c>
      <c r="H90" s="147">
        <f>Bilans!T21</f>
        <v>0</v>
      </c>
      <c r="I90" s="412">
        <v>0</v>
      </c>
      <c r="J90" s="147">
        <f t="shared" si="5"/>
        <v>0</v>
      </c>
      <c r="S90" s="317"/>
    </row>
    <row r="91" spans="2:19" ht="27" hidden="1" customHeight="1">
      <c r="B91" s="101"/>
      <c r="C91" s="821" t="str">
        <f>CHOOSE(jezyk,n!A768,n!B768,n!C768,n!D766)</f>
        <v>Ogółem</v>
      </c>
      <c r="D91" s="823"/>
      <c r="E91" s="147">
        <f t="shared" ref="E91:J91" si="6">SUM(E85:E90)</f>
        <v>0</v>
      </c>
      <c r="F91" s="147">
        <f t="shared" si="6"/>
        <v>0</v>
      </c>
      <c r="G91" s="147">
        <f t="shared" si="6"/>
        <v>0</v>
      </c>
      <c r="H91" s="147">
        <f t="shared" si="6"/>
        <v>0</v>
      </c>
      <c r="I91" s="147">
        <f t="shared" si="6"/>
        <v>0</v>
      </c>
      <c r="J91" s="147">
        <f t="shared" si="6"/>
        <v>0</v>
      </c>
      <c r="K91" s="149" t="s">
        <v>6066</v>
      </c>
      <c r="S91" s="317"/>
    </row>
    <row r="92" spans="2:19" ht="12.75" hidden="1" customHeight="1">
      <c r="B92" s="101"/>
      <c r="D92" s="38"/>
      <c r="E92" s="38"/>
      <c r="F92" s="37"/>
      <c r="G92" s="37"/>
      <c r="H92" s="38"/>
      <c r="I92" s="39"/>
      <c r="S92" s="317"/>
    </row>
    <row r="93" spans="2:19" ht="12.75" hidden="1" customHeight="1">
      <c r="B93" s="101"/>
      <c r="C93" s="819" t="s">
        <v>6067</v>
      </c>
      <c r="D93" s="819"/>
      <c r="E93" s="819"/>
      <c r="F93" s="819"/>
      <c r="G93" s="819"/>
      <c r="H93" s="819"/>
      <c r="I93" s="819"/>
      <c r="J93" s="819"/>
      <c r="K93" s="149" t="s">
        <v>6236</v>
      </c>
      <c r="S93" s="317"/>
    </row>
    <row r="94" spans="2:19" ht="12.75" customHeight="1">
      <c r="B94" s="101"/>
      <c r="D94" s="38"/>
      <c r="E94" s="38"/>
      <c r="F94" s="37"/>
      <c r="G94" s="37"/>
      <c r="H94" s="38"/>
      <c r="I94" s="39"/>
      <c r="S94" s="317"/>
    </row>
    <row r="95" spans="2:19" ht="12.75" customHeight="1">
      <c r="B95" s="111" t="s">
        <v>2102</v>
      </c>
      <c r="C95" s="861" t="str">
        <f>CHOOSE(jezyk,n!A705,n!B705,n!C705,n!D703)</f>
        <v>Propozycje co do podziału zysku/pokrycia straty za rok obrotowy</v>
      </c>
      <c r="D95" s="838"/>
      <c r="E95" s="838"/>
      <c r="F95" s="838"/>
      <c r="G95" s="838"/>
      <c r="H95" s="838"/>
      <c r="I95" s="838"/>
      <c r="J95" s="862"/>
      <c r="K95" s="214" t="s">
        <v>6479</v>
      </c>
    </row>
    <row r="97" spans="1:18" ht="15" customHeight="1">
      <c r="C97" s="153"/>
      <c r="D97" s="154"/>
      <c r="E97" s="154"/>
      <c r="F97" s="154"/>
      <c r="G97" s="155"/>
      <c r="H97" s="818" t="str">
        <f>CHOOSE(jezyk,n!A1749,n!B1749,n!C1749,n!D1747)</f>
        <v>Kwota</v>
      </c>
      <c r="I97" s="818"/>
      <c r="K97" s="131" t="s">
        <v>4470</v>
      </c>
    </row>
    <row r="98" spans="1:18" ht="15" customHeight="1">
      <c r="C98" s="821" t="str">
        <f>CHOOSE(jezyk,n!A1750,n!B1750,n!C1750,n!D1748)</f>
        <v>Zysk netto za rok obrotowy</v>
      </c>
      <c r="D98" s="822"/>
      <c r="E98" s="822"/>
      <c r="F98" s="822"/>
      <c r="G98" s="823"/>
      <c r="H98" s="809">
        <f>'RZiS Por. '!E81</f>
        <v>364172.37000000081</v>
      </c>
      <c r="I98" s="809"/>
    </row>
    <row r="99" spans="1:18" ht="15" customHeight="1">
      <c r="C99" s="821" t="str">
        <f>CHOOSE(jezyk,n!A1751,n!B1751,n!C1751,n!D1749)</f>
        <v>Nierozliczony zysk/strata z lat ubiegłych</v>
      </c>
      <c r="D99" s="822"/>
      <c r="E99" s="822"/>
      <c r="F99" s="822"/>
      <c r="G99" s="823"/>
      <c r="H99" s="809">
        <f>Bilans!S20</f>
        <v>364172.37000000081</v>
      </c>
      <c r="I99" s="809"/>
    </row>
    <row r="100" spans="1:18" ht="15" customHeight="1">
      <c r="C100" s="821" t="str">
        <f>CHOOSE(jezyk,n!A1753,n!B1753,n!C1753,n!D1751)</f>
        <v>Razem do podziału</v>
      </c>
      <c r="D100" s="822"/>
      <c r="E100" s="822"/>
      <c r="F100" s="822"/>
      <c r="G100" s="823"/>
      <c r="H100" s="809">
        <f>IF(H98+H99&gt;0,H98+H99,0)</f>
        <v>728344.74000000162</v>
      </c>
      <c r="I100" s="809"/>
    </row>
    <row r="101" spans="1:18" ht="15" customHeight="1">
      <c r="C101" s="156" t="str">
        <f>CHOOSE(jezyk,n!A1754,n!B1754,n!C1754,n!D1752)</f>
        <v>Proponowany podział:</v>
      </c>
      <c r="D101" s="157"/>
      <c r="E101" s="157"/>
      <c r="F101" s="157"/>
      <c r="G101" s="157"/>
      <c r="H101" s="810"/>
      <c r="I101" s="811"/>
    </row>
    <row r="102" spans="1:18" ht="15" customHeight="1">
      <c r="C102" s="829" t="str">
        <f>CHOOSE(jezyk,n!A1755,n!B1755,n!C1755,n!D1753)</f>
        <v>- pokrycie straty z lat ubiegłych</v>
      </c>
      <c r="D102" s="830"/>
      <c r="E102" s="830"/>
      <c r="F102" s="830"/>
      <c r="G102" s="830"/>
      <c r="H102" s="812">
        <v>0</v>
      </c>
      <c r="I102" s="813"/>
      <c r="K102" s="131" t="s">
        <v>4421</v>
      </c>
    </row>
    <row r="103" spans="1:18" ht="15" customHeight="1">
      <c r="C103" s="829" t="str">
        <f>CHOOSE(jezyk,n!A1756,n!B1756,n!C1756,n!D1754)</f>
        <v>- wypłata dywidendy</v>
      </c>
      <c r="D103" s="830"/>
      <c r="E103" s="830"/>
      <c r="F103" s="830"/>
      <c r="G103" s="830"/>
      <c r="H103" s="812">
        <v>0</v>
      </c>
      <c r="I103" s="813"/>
    </row>
    <row r="104" spans="1:18" ht="15" customHeight="1">
      <c r="C104" s="829" t="str">
        <f>CHOOSE(jezyk,n!A1757,n!B1757,n!C1757,n!D1755)</f>
        <v>- zwiększenia kapitału zapasowego</v>
      </c>
      <c r="D104" s="830"/>
      <c r="E104" s="830"/>
      <c r="F104" s="830"/>
      <c r="G104" s="830"/>
      <c r="H104" s="812">
        <v>364172.37</v>
      </c>
      <c r="I104" s="813"/>
    </row>
    <row r="105" spans="1:18" ht="15" hidden="1" customHeight="1">
      <c r="C105" s="829" t="str">
        <f>CHOOSE(jezyk,n!A1758,n!B1758,n!C1758,n!D1756)</f>
        <v>- zwiększenia kapitału rezerwowego</v>
      </c>
      <c r="D105" s="830"/>
      <c r="E105" s="830"/>
      <c r="F105" s="830"/>
      <c r="G105" s="830"/>
      <c r="H105" s="812"/>
      <c r="I105" s="813"/>
    </row>
    <row r="106" spans="1:18" ht="15" hidden="1" customHeight="1">
      <c r="C106" s="829" t="str">
        <f>CHOOSE(jezyk,n!A1759,n!B1759,n!C1759,n!D1757)</f>
        <v>- zwiększenia kapitału zakładowego</v>
      </c>
      <c r="D106" s="830"/>
      <c r="E106" s="830"/>
      <c r="F106" s="830"/>
      <c r="G106" s="830"/>
      <c r="H106" s="812"/>
      <c r="I106" s="813"/>
    </row>
    <row r="107" spans="1:18" ht="15" hidden="1" customHeight="1">
      <c r="C107" s="829" t="str">
        <f>CHOOSE(jezyk,n!A1760,n!B1760,n!C1760,n!D1758)</f>
        <v>- nagrody, premie, tantiemy</v>
      </c>
      <c r="D107" s="830"/>
      <c r="E107" s="830"/>
      <c r="F107" s="830"/>
      <c r="G107" s="830"/>
      <c r="H107" s="812"/>
      <c r="I107" s="813"/>
    </row>
    <row r="108" spans="1:18" ht="15" hidden="1" customHeight="1">
      <c r="C108" s="829" t="str">
        <f>CHOOSE(jezyk,n!A1761,n!B1761,n!C1761,n!D1759)</f>
        <v>- zasilenie funduszy specjalnych</v>
      </c>
      <c r="D108" s="830"/>
      <c r="E108" s="830"/>
      <c r="F108" s="830"/>
      <c r="G108" s="830"/>
      <c r="H108" s="812"/>
      <c r="I108" s="813"/>
    </row>
    <row r="109" spans="1:18" ht="15" hidden="1" customHeight="1">
      <c r="A109" s="72"/>
      <c r="C109" s="831" t="str">
        <f>CHOOSE(jezyk,n!A1762,n!B1762,n!C1762,n!D1760)</f>
        <v>- zwrot dopłat wspólnikom spółki z ograniczoną
 odpowiedzialnością</v>
      </c>
      <c r="D109" s="832"/>
      <c r="E109" s="832"/>
      <c r="F109" s="832"/>
      <c r="G109" s="832"/>
      <c r="H109" s="812"/>
      <c r="I109" s="813"/>
      <c r="R109" s="158"/>
    </row>
    <row r="110" spans="1:18" ht="15" hidden="1" customHeight="1">
      <c r="C110" s="824" t="str">
        <f>CHOOSE(jezyk,n!A1763,n!B1763,n!C1763,n!D1761)</f>
        <v>- inne</v>
      </c>
      <c r="D110" s="825"/>
      <c r="E110" s="825"/>
      <c r="F110" s="825"/>
      <c r="G110" s="825"/>
      <c r="H110" s="814"/>
      <c r="I110" s="815"/>
    </row>
    <row r="111" spans="1:18" ht="15" customHeight="1">
      <c r="C111" s="826" t="str">
        <f>CHOOSE(jezyk,n!A1764,n!B1764,n!C1764,n!D1762)</f>
        <v>Razem</v>
      </c>
      <c r="D111" s="826"/>
      <c r="E111" s="826"/>
      <c r="F111" s="826"/>
      <c r="G111" s="826"/>
      <c r="H111" s="816">
        <f>SUM(H102:H110)</f>
        <v>364172.37</v>
      </c>
      <c r="I111" s="817"/>
    </row>
    <row r="112" spans="1:18" ht="12.75" hidden="1" customHeight="1"/>
    <row r="113" spans="1:18" ht="12.75" hidden="1" customHeight="1"/>
    <row r="114" spans="1:18" ht="14.1" hidden="1" customHeight="1">
      <c r="C114" s="153"/>
      <c r="D114" s="154"/>
      <c r="E114" s="154"/>
      <c r="F114" s="154"/>
      <c r="G114" s="155"/>
      <c r="H114" s="818" t="str">
        <f>CHOOSE(jezyk,n!A1749,n!B1749,n!C1749,n!D1747)</f>
        <v>Kwota</v>
      </c>
      <c r="I114" s="818"/>
      <c r="K114" s="131" t="s">
        <v>4471</v>
      </c>
    </row>
    <row r="115" spans="1:18" ht="14.1" hidden="1" customHeight="1">
      <c r="C115" s="821" t="str">
        <f>CHOOSE(jezyk,n!A1766,n!B1766,n!C1766,n!D1764)</f>
        <v>Strata netto za rok obrotowy</v>
      </c>
      <c r="D115" s="822"/>
      <c r="E115" s="822"/>
      <c r="F115" s="822"/>
      <c r="G115" s="823"/>
      <c r="H115" s="809">
        <f>'RZiS Por. '!E81</f>
        <v>364172.37000000081</v>
      </c>
      <c r="I115" s="809"/>
      <c r="K115" s="131" t="s">
        <v>4421</v>
      </c>
    </row>
    <row r="116" spans="1:18" ht="14.1" hidden="1" customHeight="1">
      <c r="C116" s="821" t="str">
        <f>CHOOSE(jezyk,n!A1767,n!B1767,n!C1767,n!D1765)</f>
        <v>Nierozliczony zysk / strata z lat ubiegłych</v>
      </c>
      <c r="D116" s="822"/>
      <c r="E116" s="822"/>
      <c r="F116" s="822"/>
      <c r="G116" s="823"/>
      <c r="H116" s="809">
        <f>Bilans!S20</f>
        <v>364172.37000000081</v>
      </c>
      <c r="I116" s="809"/>
    </row>
    <row r="117" spans="1:18" ht="14.1" hidden="1" customHeight="1">
      <c r="C117" s="821" t="str">
        <f>CHOOSE(jezyk,n!A1768,n!B1768,n!C1768,n!D1766)</f>
        <v>Razem do pokrycia</v>
      </c>
      <c r="D117" s="822"/>
      <c r="E117" s="822"/>
      <c r="F117" s="822"/>
      <c r="G117" s="823"/>
      <c r="H117" s="809">
        <f>IF(H115+H116&gt;0,H115+H116,0)</f>
        <v>728344.74000000162</v>
      </c>
      <c r="I117" s="809"/>
    </row>
    <row r="118" spans="1:18" ht="14.1" hidden="1" customHeight="1">
      <c r="C118" s="156" t="str">
        <f>CHOOSE(jezyk,n!A1769,n!B1769,n!C1769,n!D1767)</f>
        <v>Proponowane źródła pokrycia:</v>
      </c>
      <c r="D118" s="157"/>
      <c r="E118" s="157"/>
      <c r="F118" s="157"/>
      <c r="G118" s="157"/>
      <c r="H118" s="810"/>
      <c r="I118" s="811"/>
    </row>
    <row r="119" spans="1:18" ht="14.1" hidden="1" customHeight="1">
      <c r="C119" s="829" t="str">
        <f>CHOOSE(jezyk,n!A1770,n!B1770,n!C1770,n!D1768)</f>
        <v>- kapitał (fundusz) zapasowy</v>
      </c>
      <c r="D119" s="830"/>
      <c r="E119" s="830"/>
      <c r="F119" s="830"/>
      <c r="G119" s="830"/>
      <c r="H119" s="812"/>
      <c r="I119" s="813"/>
    </row>
    <row r="120" spans="1:18" ht="14.1" hidden="1" customHeight="1">
      <c r="C120" s="829" t="str">
        <f>CHOOSE(jezyk,n!A1771,n!B1771,n!C1771,n!D1769)</f>
        <v>- kapitał (fundusz) rezerwowy</v>
      </c>
      <c r="D120" s="830"/>
      <c r="E120" s="830"/>
      <c r="F120" s="830"/>
      <c r="G120" s="830"/>
      <c r="H120" s="812"/>
      <c r="I120" s="813"/>
    </row>
    <row r="121" spans="1:18" ht="14.1" hidden="1" customHeight="1">
      <c r="C121" s="829" t="str">
        <f>CHOOSE(jezyk,n!A1772,n!B1772,n!C1772,n!D1770)</f>
        <v>- obniżenie kapitału (funduszu) podstawowego</v>
      </c>
      <c r="D121" s="830"/>
      <c r="E121" s="830"/>
      <c r="F121" s="830"/>
      <c r="G121" s="830"/>
      <c r="H121" s="812"/>
      <c r="I121" s="813"/>
    </row>
    <row r="122" spans="1:18" ht="14.1" hidden="1" customHeight="1">
      <c r="A122" s="72"/>
      <c r="C122" s="831" t="str">
        <f>CHOOSE(jezyk,n!A1773,n!B1773,n!C1773,n!D1771)</f>
        <v>- dopłaty wspólników w spółce z ograniczoną
 odpowiedzialością</v>
      </c>
      <c r="D122" s="832"/>
      <c r="E122" s="832"/>
      <c r="F122" s="832"/>
      <c r="G122" s="832"/>
      <c r="H122" s="812"/>
      <c r="I122" s="813"/>
      <c r="R122" s="158"/>
    </row>
    <row r="123" spans="1:18" ht="26.25" hidden="1" customHeight="1">
      <c r="C123" s="829" t="str">
        <f>CHOOSE(jezyk,n!A1774,n!B1774,n!C1774,n!D1772)</f>
        <v>- dodatkowa emisja akcji lub udziałów po cenach wyższych od nominalnych</v>
      </c>
      <c r="D123" s="830"/>
      <c r="E123" s="830"/>
      <c r="F123" s="830"/>
      <c r="G123" s="833"/>
      <c r="H123" s="812"/>
      <c r="I123" s="813"/>
    </row>
    <row r="124" spans="1:18" ht="14.1" hidden="1" customHeight="1">
      <c r="C124" s="829" t="str">
        <f>CHOOSE(jezyk,n!A1775,n!B1775,n!C1775,n!D1773)</f>
        <v>- z zysków lat przyszłych</v>
      </c>
      <c r="D124" s="830"/>
      <c r="E124" s="830"/>
      <c r="F124" s="830"/>
      <c r="G124" s="833"/>
      <c r="H124" s="812"/>
      <c r="I124" s="813"/>
    </row>
    <row r="125" spans="1:18" ht="14.1" hidden="1" customHeight="1">
      <c r="C125" s="824" t="str">
        <f>CHOOSE(jezyk,n!A1776,n!B1776,n!C1776,n!D1774)</f>
        <v>- inne</v>
      </c>
      <c r="D125" s="825"/>
      <c r="E125" s="825"/>
      <c r="F125" s="825"/>
      <c r="G125" s="825"/>
      <c r="H125" s="812"/>
      <c r="I125" s="813"/>
    </row>
    <row r="126" spans="1:18" ht="14.1" hidden="1" customHeight="1">
      <c r="C126" s="826" t="str">
        <f>CHOOSE(jezyk,n!A1777,n!B1777,n!C1777,n!D1775)</f>
        <v>Razem</v>
      </c>
      <c r="D126" s="826"/>
      <c r="E126" s="826"/>
      <c r="F126" s="826"/>
      <c r="G126" s="826"/>
      <c r="H126" s="807">
        <f>SUM(H119:H125)</f>
        <v>0</v>
      </c>
      <c r="I126" s="808"/>
    </row>
    <row r="127" spans="1:18" ht="12.75" hidden="1" customHeight="1">
      <c r="C127" s="827"/>
      <c r="D127" s="828"/>
      <c r="E127" s="828"/>
      <c r="F127" s="828"/>
      <c r="G127" s="828"/>
      <c r="H127" s="828"/>
    </row>
    <row r="128" spans="1:18" ht="12.75" hidden="1" customHeight="1">
      <c r="C128" s="819" t="s">
        <v>6067</v>
      </c>
      <c r="D128" s="819"/>
      <c r="E128" s="819"/>
      <c r="F128" s="819"/>
      <c r="G128" s="819"/>
      <c r="H128" s="819"/>
      <c r="I128" s="819"/>
      <c r="J128" s="819"/>
      <c r="K128" s="214" t="s">
        <v>6477</v>
      </c>
    </row>
    <row r="129" ht="12.75" hidden="1" customHeight="1"/>
    <row r="130" ht="12.75" hidden="1" customHeight="1"/>
  </sheetData>
  <sheetProtection formatCells="0" formatColumns="0" formatRows="0" insertRows="0" insertHyperlinks="0" sort="0" autoFilter="0" pivotTables="0"/>
  <mergeCells count="154">
    <mergeCell ref="C58:I58"/>
    <mergeCell ref="C116:G116"/>
    <mergeCell ref="C98:G98"/>
    <mergeCell ref="C99:G99"/>
    <mergeCell ref="C100:G100"/>
    <mergeCell ref="C95:J95"/>
    <mergeCell ref="C79:D79"/>
    <mergeCell ref="C76:D76"/>
    <mergeCell ref="C77:D77"/>
    <mergeCell ref="C78:D78"/>
    <mergeCell ref="C80:D80"/>
    <mergeCell ref="C71:E71"/>
    <mergeCell ref="C82:E82"/>
    <mergeCell ref="C84:D84"/>
    <mergeCell ref="C85:D85"/>
    <mergeCell ref="C86:D86"/>
    <mergeCell ref="C87:D87"/>
    <mergeCell ref="C88:D88"/>
    <mergeCell ref="C89:D89"/>
    <mergeCell ref="C90:D90"/>
    <mergeCell ref="C91:D91"/>
    <mergeCell ref="F60:G60"/>
    <mergeCell ref="F61:G61"/>
    <mergeCell ref="F62:G62"/>
    <mergeCell ref="G52:H52"/>
    <mergeCell ref="C35:J35"/>
    <mergeCell ref="C31:J31"/>
    <mergeCell ref="E41:E42"/>
    <mergeCell ref="F41:F42"/>
    <mergeCell ref="J41:J42"/>
    <mergeCell ref="I41:I42"/>
    <mergeCell ref="C41:D42"/>
    <mergeCell ref="C43:D43"/>
    <mergeCell ref="C44:D44"/>
    <mergeCell ref="C33:J33"/>
    <mergeCell ref="C37:J37"/>
    <mergeCell ref="C9:J9"/>
    <mergeCell ref="C13:J13"/>
    <mergeCell ref="C47:J47"/>
    <mergeCell ref="C49:D50"/>
    <mergeCell ref="E49:E50"/>
    <mergeCell ref="F49:F50"/>
    <mergeCell ref="G49:H50"/>
    <mergeCell ref="I49:I50"/>
    <mergeCell ref="J49:J50"/>
    <mergeCell ref="C15:E15"/>
    <mergeCell ref="C16:E16"/>
    <mergeCell ref="C17:E17"/>
    <mergeCell ref="G15:H15"/>
    <mergeCell ref="I15:J15"/>
    <mergeCell ref="G16:H16"/>
    <mergeCell ref="G17:H17"/>
    <mergeCell ref="I16:J16"/>
    <mergeCell ref="I17:J17"/>
    <mergeCell ref="F63:G63"/>
    <mergeCell ref="C67:J67"/>
    <mergeCell ref="C75:D75"/>
    <mergeCell ref="C60:E60"/>
    <mergeCell ref="C63:E63"/>
    <mergeCell ref="C27:F27"/>
    <mergeCell ref="C61:E61"/>
    <mergeCell ref="C62:E62"/>
    <mergeCell ref="C74:D74"/>
    <mergeCell ref="C69:J69"/>
    <mergeCell ref="C73:D73"/>
    <mergeCell ref="C65:J65"/>
    <mergeCell ref="C28:F28"/>
    <mergeCell ref="G27:H27"/>
    <mergeCell ref="I27:J27"/>
    <mergeCell ref="G28:H28"/>
    <mergeCell ref="I28:J28"/>
    <mergeCell ref="C51:D51"/>
    <mergeCell ref="G51:H51"/>
    <mergeCell ref="C52:D52"/>
    <mergeCell ref="C53:D53"/>
    <mergeCell ref="C55:J56"/>
    <mergeCell ref="G53:H53"/>
    <mergeCell ref="C30:J30"/>
    <mergeCell ref="B1:J1"/>
    <mergeCell ref="B4:J4"/>
    <mergeCell ref="C11:J11"/>
    <mergeCell ref="C7:J7"/>
    <mergeCell ref="C45:D45"/>
    <mergeCell ref="G41:H42"/>
    <mergeCell ref="G43:H43"/>
    <mergeCell ref="G44:H44"/>
    <mergeCell ref="G45:H45"/>
    <mergeCell ref="C12:J12"/>
    <mergeCell ref="C21:J21"/>
    <mergeCell ref="C22:J22"/>
    <mergeCell ref="C24:J24"/>
    <mergeCell ref="C23:J23"/>
    <mergeCell ref="G26:H26"/>
    <mergeCell ref="I26:J26"/>
    <mergeCell ref="G18:H18"/>
    <mergeCell ref="I18:J18"/>
    <mergeCell ref="G29:H29"/>
    <mergeCell ref="I29:J29"/>
    <mergeCell ref="C25:J25"/>
    <mergeCell ref="C26:F26"/>
    <mergeCell ref="C20:J20"/>
    <mergeCell ref="C39:J39"/>
    <mergeCell ref="C128:J128"/>
    <mergeCell ref="C93:J93"/>
    <mergeCell ref="A55:A56"/>
    <mergeCell ref="C117:G117"/>
    <mergeCell ref="C110:G110"/>
    <mergeCell ref="C111:G111"/>
    <mergeCell ref="C115:G115"/>
    <mergeCell ref="C127:H127"/>
    <mergeCell ref="C119:G119"/>
    <mergeCell ref="C126:G126"/>
    <mergeCell ref="C120:G120"/>
    <mergeCell ref="C121:G121"/>
    <mergeCell ref="C122:G122"/>
    <mergeCell ref="C125:G125"/>
    <mergeCell ref="C123:G123"/>
    <mergeCell ref="C102:G102"/>
    <mergeCell ref="C103:G103"/>
    <mergeCell ref="C104:G104"/>
    <mergeCell ref="C105:G105"/>
    <mergeCell ref="C106:G106"/>
    <mergeCell ref="C107:G107"/>
    <mergeCell ref="C108:G108"/>
    <mergeCell ref="C109:G109"/>
    <mergeCell ref="C124:G124"/>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4:I114"/>
    <mergeCell ref="H115:I115"/>
    <mergeCell ref="H116:I116"/>
    <mergeCell ref="H126:I126"/>
    <mergeCell ref="H117:I117"/>
    <mergeCell ref="H118:I118"/>
    <mergeCell ref="H119:I119"/>
    <mergeCell ref="H120:I120"/>
    <mergeCell ref="H121:I121"/>
    <mergeCell ref="H122:I122"/>
    <mergeCell ref="H123:I123"/>
    <mergeCell ref="H124:I124"/>
    <mergeCell ref="H125:I125"/>
  </mergeCells>
  <phoneticPr fontId="0" type="noConversion"/>
  <dataValidations count="1">
    <dataValidation type="list" allowBlank="1" showInputMessage="1" showErrorMessage="1" sqref="M57" xr:uid="{00000000-0002-0000-2500-000000000000}">
      <formula1>$V$58:$V$59</formula1>
    </dataValidation>
  </dataValidations>
  <hyperlinks>
    <hyperlink ref="B1:J1" location="'spis treści'!A1" display="SPIS TREŚCI" xr:uid="{00000000-0004-0000-2500-000000000000}"/>
  </hyperlinks>
  <pageMargins left="0.39370078740157483" right="0.19685039370078741" top="0.35433070866141736" bottom="1.0236220472440944" header="0.27559055118110237" footer="0.51181102362204722"/>
  <pageSetup paperSize="9" fitToHeight="0" orientation="portrait" blackAndWhite="1" r:id="rId1"/>
  <headerFooter>
    <oddFooter>&amp;Lnota 1.3.-1.10</oddFooter>
  </headerFooter>
  <rowBreaks count="1" manualBreakCount="1">
    <brk id="66" min="1" max="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4">
    <pageSetUpPr fitToPage="1"/>
  </sheetPr>
  <dimension ref="A1:Q152"/>
  <sheetViews>
    <sheetView showGridLines="0" view="pageBreakPreview" zoomScaleNormal="100" zoomScaleSheetLayoutView="100" workbookViewId="0">
      <selection activeCell="E22" sqref="E22"/>
    </sheetView>
  </sheetViews>
  <sheetFormatPr defaultColWidth="9.140625" defaultRowHeight="12.75"/>
  <cols>
    <col min="1" max="1" width="21.140625" style="164" bestFit="1" customWidth="1"/>
    <col min="2" max="2" width="3.85546875" style="170" customWidth="1"/>
    <col min="3" max="3" width="22.5703125" style="164" customWidth="1"/>
    <col min="4" max="4" width="13.7109375" style="164" customWidth="1"/>
    <col min="5" max="5" width="14.28515625" style="164" customWidth="1"/>
    <col min="6" max="6" width="13.140625" style="164" customWidth="1"/>
    <col min="7" max="7" width="14.7109375" style="164" customWidth="1"/>
    <col min="8" max="8" width="15" style="164" customWidth="1"/>
    <col min="9" max="10" width="15.42578125" style="164" customWidth="1"/>
    <col min="11" max="12" width="12.28515625" style="164" customWidth="1"/>
    <col min="13" max="16384" width="9.140625" style="164"/>
  </cols>
  <sheetData>
    <row r="1" spans="1:15">
      <c r="C1" s="894" t="s">
        <v>1257</v>
      </c>
      <c r="D1" s="894"/>
      <c r="E1" s="894"/>
      <c r="F1" s="894"/>
      <c r="G1" s="894"/>
      <c r="H1" s="894"/>
      <c r="I1" s="894"/>
      <c r="J1" s="894"/>
    </row>
    <row r="2" spans="1:15">
      <c r="B2" s="393" t="str">
        <f>nazwa_spolki</f>
        <v>Rhenus Digital Workforce Sp. z o.o.</v>
      </c>
      <c r="C2" s="409"/>
      <c r="D2" s="409"/>
      <c r="E2" s="409"/>
      <c r="F2" s="409"/>
      <c r="G2" s="409"/>
      <c r="H2" s="409"/>
      <c r="I2" s="409"/>
      <c r="J2" s="409"/>
    </row>
    <row r="3" spans="1:15" ht="44.1" customHeight="1">
      <c r="B3" s="130" t="str">
        <f>tytul</f>
        <v>Sprawozdanie finansowe sporządzone za rok obrotowy 2024</v>
      </c>
      <c r="C3" s="409"/>
      <c r="D3" s="409"/>
      <c r="E3" s="409"/>
      <c r="F3" s="409"/>
      <c r="G3" s="409"/>
      <c r="H3" s="409"/>
      <c r="I3" s="409"/>
      <c r="J3" s="409"/>
    </row>
    <row r="4" spans="1:15" s="159" customFormat="1" ht="20.25">
      <c r="B4" s="800" t="str">
        <f>"1.11 - 1.15 "&amp;CHOOSE(jezyk,n!A613,n!B613,n!C613,n!D611)</f>
        <v>1.11 - 1.15 DODATKOWE INFORMACJE I OBJAŚNIENIA</v>
      </c>
      <c r="C4" s="800"/>
      <c r="D4" s="800"/>
      <c r="E4" s="800"/>
      <c r="F4" s="800"/>
      <c r="G4" s="800"/>
      <c r="H4" s="800"/>
      <c r="I4" s="160"/>
      <c r="J4" s="160"/>
      <c r="K4" s="160"/>
      <c r="L4" s="160"/>
      <c r="M4" s="160"/>
      <c r="N4" s="160"/>
      <c r="O4" s="160"/>
    </row>
    <row r="5" spans="1:15" s="159" customFormat="1" ht="14.25" customHeight="1">
      <c r="B5" s="366"/>
      <c r="C5" s="368"/>
      <c r="D5" s="368"/>
      <c r="E5" s="368"/>
      <c r="F5" s="368"/>
      <c r="G5" s="368"/>
      <c r="H5" s="368"/>
      <c r="I5" s="368"/>
      <c r="J5" s="368"/>
      <c r="K5" s="368"/>
      <c r="L5" s="368"/>
      <c r="M5" s="368"/>
    </row>
    <row r="6" spans="1:15" s="159" customFormat="1" ht="14.25" customHeight="1">
      <c r="B6" s="76" t="s">
        <v>6246</v>
      </c>
      <c r="C6" s="895" t="str">
        <f>CHOOSE(jezyk,n!A707,n!B707,n!C707,n!D705)</f>
        <v>Rezerwy na zobowiązania</v>
      </c>
      <c r="D6" s="895"/>
      <c r="E6" s="895"/>
      <c r="F6" s="895"/>
      <c r="G6" s="895"/>
      <c r="H6" s="895"/>
      <c r="I6" s="368"/>
      <c r="J6" s="368"/>
      <c r="K6" s="368"/>
      <c r="L6" s="368"/>
      <c r="M6" s="368"/>
    </row>
    <row r="7" spans="1:15" s="159" customFormat="1" ht="12" customHeight="1">
      <c r="B7" s="76"/>
      <c r="C7" s="668"/>
      <c r="D7" s="668"/>
      <c r="E7" s="668"/>
      <c r="F7" s="668"/>
      <c r="G7" s="668"/>
      <c r="H7" s="668"/>
      <c r="I7" s="368"/>
      <c r="J7" s="368"/>
      <c r="K7" s="368"/>
      <c r="L7" s="368"/>
      <c r="M7" s="368"/>
    </row>
    <row r="8" spans="1:15" s="159" customFormat="1" ht="14.25" hidden="1" customHeight="1">
      <c r="B8" s="366"/>
      <c r="C8" s="896" t="str">
        <f>CHOOSE(jezyk,n!A643,n!B643,n!C643,n!D641)</f>
        <v>Pozycja nie wystąpiła zarówno w roku obrotowym 2024, jak i w roku poprzednim.</v>
      </c>
      <c r="D8" s="896"/>
      <c r="E8" s="896"/>
      <c r="F8" s="896"/>
      <c r="G8" s="896"/>
      <c r="H8" s="896"/>
      <c r="I8" s="131" t="s">
        <v>2186</v>
      </c>
      <c r="J8" s="368"/>
      <c r="K8" s="368"/>
      <c r="L8" s="368"/>
      <c r="M8" s="368"/>
    </row>
    <row r="9" spans="1:15" s="159" customFormat="1" ht="9" hidden="1" customHeight="1">
      <c r="B9" s="366"/>
      <c r="C9" s="367"/>
      <c r="D9" s="367"/>
      <c r="E9" s="367"/>
      <c r="F9" s="367"/>
      <c r="G9" s="367"/>
      <c r="H9" s="367"/>
      <c r="I9" s="131"/>
      <c r="J9" s="368"/>
      <c r="K9" s="368"/>
      <c r="L9" s="368"/>
      <c r="M9" s="368"/>
    </row>
    <row r="10" spans="1:15" s="159" customFormat="1" ht="15" customHeight="1">
      <c r="B10" s="366"/>
      <c r="C10" s="401" t="str">
        <f>CHOOSE(jezyk,n!A616,n!B616,n!C616,n!D614)</f>
        <v>Rok obrotowy 2024</v>
      </c>
      <c r="D10" s="368"/>
      <c r="E10" s="368"/>
      <c r="F10" s="368"/>
      <c r="G10" s="368"/>
      <c r="H10" s="368"/>
      <c r="I10" s="368"/>
      <c r="J10" s="368"/>
      <c r="K10" s="368"/>
      <c r="L10" s="368"/>
      <c r="M10" s="368"/>
    </row>
    <row r="11" spans="1:15" s="159" customFormat="1" ht="12" customHeight="1">
      <c r="B11" s="366"/>
      <c r="C11" s="368"/>
      <c r="D11" s="368"/>
      <c r="E11" s="368"/>
      <c r="F11" s="368"/>
      <c r="G11" s="368"/>
      <c r="H11" s="368"/>
      <c r="I11" s="368"/>
      <c r="J11" s="368"/>
      <c r="K11" s="368"/>
      <c r="L11" s="368"/>
      <c r="M11" s="368"/>
    </row>
    <row r="12" spans="1:15" s="159" customFormat="1" ht="15" customHeight="1">
      <c r="B12" s="366"/>
      <c r="C12" s="835" t="str">
        <f>CHOOSE(jezyk,n!A708,n!B708,n!C708,n!D706)</f>
        <v>Tytuł rezerwy</v>
      </c>
      <c r="D12" s="835" t="str">
        <f>CHOOSE(jezyk,n!A715,n!B715,n!C715,n!D713)</f>
        <v>Stan na 19.10.2023</v>
      </c>
      <c r="E12" s="835" t="str">
        <f>CHOOSE(jezyk,n!A710,n!B710,n!C710,n!D708)</f>
        <v>Zwiększenia</v>
      </c>
      <c r="F12" s="835" t="str">
        <f>CHOOSE(jezyk,n!A711,n!B711,n!C711,n!D709)</f>
        <v>Wykorzystanie</v>
      </c>
      <c r="G12" s="835" t="str">
        <f>CHOOSE(jezyk,n!A712,n!B712,n!C712,n!D710)</f>
        <v>Rozwiązanie</v>
      </c>
      <c r="H12" s="835" t="str">
        <f>CHOOSE(jezyk,n!A716,n!B716,n!C716,n!D714)</f>
        <v>Stan na 31.12.2024</v>
      </c>
      <c r="I12" s="277"/>
      <c r="J12" s="277"/>
      <c r="K12" s="368"/>
      <c r="L12" s="368"/>
      <c r="M12" s="368"/>
    </row>
    <row r="13" spans="1:15" s="159" customFormat="1" ht="15.75" customHeight="1">
      <c r="B13" s="366"/>
      <c r="C13" s="835"/>
      <c r="D13" s="835"/>
      <c r="E13" s="835"/>
      <c r="F13" s="835"/>
      <c r="G13" s="835"/>
      <c r="H13" s="835"/>
      <c r="I13" s="277"/>
      <c r="J13" s="277"/>
      <c r="K13" s="368"/>
      <c r="L13" s="368"/>
      <c r="M13" s="368"/>
    </row>
    <row r="14" spans="1:15" s="159" customFormat="1" ht="28.5" hidden="1" customHeight="1">
      <c r="B14" s="366"/>
      <c r="C14" s="369" t="str">
        <f>CHOOSE(jezyk,n!A719,n!B719,n!C719,n!D717)</f>
        <v>Rezerwa na podatek odroczony</v>
      </c>
      <c r="D14" s="404">
        <f>H28</f>
        <v>0</v>
      </c>
      <c r="E14" s="662">
        <v>0</v>
      </c>
      <c r="F14" s="662">
        <v>0</v>
      </c>
      <c r="G14" s="662">
        <v>0</v>
      </c>
      <c r="H14" s="663">
        <f>IF((D14+E14-F14-G14)&lt;&gt;0,D14+E14-F14-G14,0)</f>
        <v>0</v>
      </c>
      <c r="I14" s="164"/>
      <c r="J14" s="164"/>
      <c r="K14" s="368"/>
      <c r="L14" s="368"/>
      <c r="M14" s="368"/>
    </row>
    <row r="15" spans="1:15" s="159" customFormat="1" ht="28.5" customHeight="1">
      <c r="A15" s="370"/>
      <c r="B15" s="366"/>
      <c r="C15" s="369" t="str">
        <f>CHOOSE(jezyk,n!A720,n!B720,n!C720,n!D718)</f>
        <v>Rezerwa na odprawy emerytalne i rentowe</v>
      </c>
      <c r="D15" s="404">
        <f t="shared" ref="D15:D21" si="0">H29</f>
        <v>0</v>
      </c>
      <c r="E15" s="662">
        <v>26429</v>
      </c>
      <c r="F15" s="662">
        <v>0</v>
      </c>
      <c r="G15" s="662">
        <v>0</v>
      </c>
      <c r="H15" s="663">
        <f t="shared" ref="H15:H21" si="1">IF((D15+E15-F15-G15)&lt;&gt;0,D15+E15-F15-G15,0)</f>
        <v>26429</v>
      </c>
      <c r="I15" s="164"/>
      <c r="J15" s="164"/>
      <c r="K15" s="368"/>
      <c r="L15" s="368"/>
      <c r="M15" s="368"/>
    </row>
    <row r="16" spans="1:15" s="159" customFormat="1" ht="28.5" customHeight="1">
      <c r="B16" s="366"/>
      <c r="C16" s="369" t="str">
        <f>CHOOSE(jezyk,n!A721,n!B721,n!C721,n!D719)</f>
        <v>Rezerwa na świadczenia urlopowe</v>
      </c>
      <c r="D16" s="404">
        <f t="shared" si="0"/>
        <v>0</v>
      </c>
      <c r="E16" s="662">
        <v>97106.01</v>
      </c>
      <c r="F16" s="662">
        <v>0</v>
      </c>
      <c r="G16" s="662">
        <v>0</v>
      </c>
      <c r="H16" s="663">
        <f t="shared" si="1"/>
        <v>97106.01</v>
      </c>
      <c r="I16" s="164"/>
      <c r="J16" s="164"/>
      <c r="K16" s="368"/>
      <c r="L16" s="368"/>
      <c r="M16" s="368"/>
    </row>
    <row r="17" spans="1:13" s="159" customFormat="1" ht="28.5" customHeight="1">
      <c r="B17" s="366"/>
      <c r="C17" s="369" t="str">
        <f>CHOOSE(jezyk,n!A722,n!B722,n!C722,n!D720)</f>
        <v>Rezerwa na premie i wynagrodzenia</v>
      </c>
      <c r="D17" s="404">
        <f t="shared" si="0"/>
        <v>0</v>
      </c>
      <c r="E17" s="662">
        <v>183737.8</v>
      </c>
      <c r="F17" s="662">
        <v>0</v>
      </c>
      <c r="G17" s="662">
        <v>0</v>
      </c>
      <c r="H17" s="663">
        <f t="shared" si="1"/>
        <v>183737.8</v>
      </c>
      <c r="I17" s="164"/>
      <c r="J17" s="164"/>
      <c r="K17" s="368"/>
      <c r="L17" s="368"/>
      <c r="M17" s="368"/>
    </row>
    <row r="18" spans="1:13" s="159" customFormat="1" ht="28.5" hidden="1" customHeight="1">
      <c r="A18" s="370"/>
      <c r="B18" s="366"/>
      <c r="C18" s="369" t="str">
        <f>CHOOSE(jezyk,n!A723,n!B723,n!C723,n!D721)</f>
        <v>Badanie sprawozdania finansowego</v>
      </c>
      <c r="D18" s="404">
        <f t="shared" si="0"/>
        <v>0</v>
      </c>
      <c r="E18" s="662">
        <v>0</v>
      </c>
      <c r="F18" s="662">
        <v>0</v>
      </c>
      <c r="G18" s="662">
        <v>0</v>
      </c>
      <c r="H18" s="663">
        <f t="shared" si="1"/>
        <v>0</v>
      </c>
      <c r="I18" s="164"/>
      <c r="J18" s="164"/>
      <c r="K18" s="368"/>
      <c r="L18" s="368"/>
      <c r="M18" s="368"/>
    </row>
    <row r="19" spans="1:13" s="159" customFormat="1" ht="28.5" hidden="1" customHeight="1">
      <c r="A19" s="370"/>
      <c r="B19" s="366"/>
      <c r="C19" s="369" t="str">
        <f>CHOOSE(jezyk,n!A724,n!B724,n!C724,n!D722)</f>
        <v>Sporządzenie sprawozdania finansowego</v>
      </c>
      <c r="D19" s="404">
        <f t="shared" si="0"/>
        <v>0</v>
      </c>
      <c r="E19" s="662">
        <v>0</v>
      </c>
      <c r="F19" s="662">
        <v>0</v>
      </c>
      <c r="G19" s="662">
        <v>0</v>
      </c>
      <c r="H19" s="663">
        <f t="shared" si="1"/>
        <v>0</v>
      </c>
      <c r="I19" s="164"/>
      <c r="J19" s="164"/>
      <c r="K19" s="368"/>
      <c r="L19" s="368"/>
      <c r="M19" s="368"/>
    </row>
    <row r="20" spans="1:13" s="159" customFormat="1" ht="28.5" hidden="1" customHeight="1">
      <c r="B20" s="366"/>
      <c r="C20" s="369" t="str">
        <f>CHOOSE(jezyk,n!A725,n!B725,n!C725,n!D723)</f>
        <v>Rezerwa na naprawy gwarancyjne</v>
      </c>
      <c r="D20" s="404">
        <f t="shared" si="0"/>
        <v>0</v>
      </c>
      <c r="E20" s="662">
        <v>0</v>
      </c>
      <c r="F20" s="662">
        <v>0</v>
      </c>
      <c r="G20" s="662">
        <v>0</v>
      </c>
      <c r="H20" s="663">
        <f t="shared" si="1"/>
        <v>0</v>
      </c>
      <c r="I20" s="164"/>
      <c r="J20" s="164"/>
      <c r="K20" s="368"/>
      <c r="L20" s="368"/>
      <c r="M20" s="368"/>
    </row>
    <row r="21" spans="1:13" s="159" customFormat="1" ht="23.1" customHeight="1">
      <c r="B21" s="366"/>
      <c r="C21" s="369" t="str">
        <f>CHOOSE(jezyk,n!A726,n!B726,n!C726,n!D724)</f>
        <v>Pozostałe rezerwy</v>
      </c>
      <c r="D21" s="404">
        <f t="shared" si="0"/>
        <v>0</v>
      </c>
      <c r="E21" s="662">
        <v>2133.66</v>
      </c>
      <c r="F21" s="662">
        <v>0</v>
      </c>
      <c r="G21" s="662">
        <v>0</v>
      </c>
      <c r="H21" s="663">
        <f t="shared" si="1"/>
        <v>2133.66</v>
      </c>
      <c r="I21" s="339" t="str">
        <f>dzb</f>
        <v>31.12.2024</v>
      </c>
      <c r="J21" s="339" t="str">
        <f>pdz</f>
        <v>31.12.2023</v>
      </c>
      <c r="K21" s="368"/>
      <c r="L21" s="368"/>
      <c r="M21" s="368"/>
    </row>
    <row r="22" spans="1:13" s="159" customFormat="1" ht="23.1" customHeight="1">
      <c r="B22" s="366"/>
      <c r="C22" s="287" t="str">
        <f>CHOOSE(jezyk,n!A714,n!B714,n!C714,n!D712)</f>
        <v>Ogółem</v>
      </c>
      <c r="D22" s="404">
        <f>SUM(D14:D21)</f>
        <v>0</v>
      </c>
      <c r="E22" s="404">
        <f>SUM(E14:E21)</f>
        <v>309406.46999999997</v>
      </c>
      <c r="F22" s="404">
        <f>SUM(F14:F21)</f>
        <v>0</v>
      </c>
      <c r="G22" s="404">
        <f>SUM(G14:G21)</f>
        <v>0</v>
      </c>
      <c r="H22" s="404">
        <f>SUM(H14:H21)</f>
        <v>309406.46999999997</v>
      </c>
      <c r="I22" s="371">
        <f>ROUND(H22-Bilans!S28,2)</f>
        <v>0</v>
      </c>
      <c r="J22" s="372">
        <f>ROUND(D22-Bilans!T29,2)</f>
        <v>0</v>
      </c>
      <c r="K22" s="368"/>
      <c r="L22" s="368"/>
      <c r="M22" s="368"/>
    </row>
    <row r="23" spans="1:13" s="159" customFormat="1" ht="12" customHeight="1">
      <c r="B23" s="366"/>
      <c r="C23" s="368"/>
      <c r="D23" s="368"/>
      <c r="E23" s="368"/>
      <c r="F23" s="368"/>
      <c r="G23" s="368"/>
      <c r="H23" s="368"/>
      <c r="I23" s="368"/>
      <c r="J23" s="368"/>
      <c r="K23" s="368"/>
      <c r="L23" s="368"/>
      <c r="M23" s="368"/>
    </row>
    <row r="24" spans="1:13" s="159" customFormat="1" ht="15" hidden="1" customHeight="1">
      <c r="B24" s="366"/>
      <c r="C24" s="401" t="str">
        <f>CHOOSE(jezyk,n!A617,n!B617,n!C617,n!D615)</f>
        <v>Rok obrotowy 2023</v>
      </c>
      <c r="D24" s="373"/>
      <c r="E24" s="373"/>
      <c r="F24" s="373"/>
      <c r="G24" s="373"/>
      <c r="H24" s="373"/>
      <c r="I24" s="374"/>
      <c r="J24" s="368"/>
      <c r="K24" s="368"/>
      <c r="L24" s="368"/>
      <c r="M24" s="368"/>
    </row>
    <row r="25" spans="1:13" s="159" customFormat="1" ht="12" hidden="1" customHeight="1">
      <c r="B25" s="366"/>
      <c r="C25" s="375"/>
      <c r="D25" s="376"/>
      <c r="E25" s="376"/>
      <c r="F25" s="376"/>
      <c r="G25" s="375"/>
      <c r="H25" s="374"/>
      <c r="I25" s="374"/>
      <c r="J25" s="368"/>
      <c r="K25" s="368"/>
      <c r="L25" s="368"/>
      <c r="M25" s="368"/>
    </row>
    <row r="26" spans="1:13" s="159" customFormat="1" ht="14.25" hidden="1" customHeight="1">
      <c r="B26" s="366"/>
      <c r="C26" s="835" t="str">
        <f>CHOOSE(jezyk,n!A708,n!B708,n!C708,n!D706)</f>
        <v>Tytuł rezerwy</v>
      </c>
      <c r="D26" s="835" t="str">
        <f>CHOOSE(jezyk,n!A717,n!B717,n!C717,n!D715)</f>
        <v>Stan na 19.10.2022</v>
      </c>
      <c r="E26" s="835" t="str">
        <f>CHOOSE(jezyk,n!A710,n!B710,n!C710,n!D708)</f>
        <v>Zwiększenia</v>
      </c>
      <c r="F26" s="835" t="str">
        <f>CHOOSE(jezyk,n!A711,n!B711,n!C711,n!D709)</f>
        <v>Wykorzystanie</v>
      </c>
      <c r="G26" s="835" t="str">
        <f>CHOOSE(jezyk,n!A712,n!B712,n!C712,n!D710)</f>
        <v>Rozwiązanie</v>
      </c>
      <c r="H26" s="835" t="str">
        <f>CHOOSE(jezyk,n!A718,n!B718,n!C718,n!D716)</f>
        <v>Stan na 31.12.2023</v>
      </c>
      <c r="I26" s="277"/>
      <c r="J26" s="368"/>
      <c r="K26" s="368"/>
      <c r="L26" s="368"/>
      <c r="M26" s="368"/>
    </row>
    <row r="27" spans="1:13" s="159" customFormat="1" ht="14.25" hidden="1" customHeight="1">
      <c r="B27" s="366"/>
      <c r="C27" s="835"/>
      <c r="D27" s="835"/>
      <c r="E27" s="835"/>
      <c r="F27" s="835"/>
      <c r="G27" s="835"/>
      <c r="H27" s="835"/>
      <c r="I27" s="277"/>
      <c r="J27" s="368"/>
      <c r="K27" s="368"/>
      <c r="L27" s="368"/>
      <c r="M27" s="368"/>
    </row>
    <row r="28" spans="1:13" s="159" customFormat="1" ht="27.95" hidden="1" customHeight="1">
      <c r="B28" s="366"/>
      <c r="C28" s="369" t="str">
        <f>CHOOSE(jezyk,n!A719,n!B719,n!C719,n!D717)</f>
        <v>Rezerwa na podatek odroczony</v>
      </c>
      <c r="D28" s="662">
        <v>0</v>
      </c>
      <c r="E28" s="662">
        <v>0</v>
      </c>
      <c r="F28" s="662">
        <v>0</v>
      </c>
      <c r="G28" s="662">
        <v>0</v>
      </c>
      <c r="H28" s="404">
        <f>IF((D28+E28-F28-G28)&lt;&gt;0,D28+E28-F28-G28,0)</f>
        <v>0</v>
      </c>
      <c r="I28" s="164"/>
      <c r="J28" s="368"/>
      <c r="K28" s="368"/>
      <c r="L28" s="368"/>
      <c r="M28" s="368"/>
    </row>
    <row r="29" spans="1:13" s="159" customFormat="1" ht="27.95" hidden="1" customHeight="1">
      <c r="A29" s="370"/>
      <c r="B29" s="366"/>
      <c r="C29" s="369" t="str">
        <f>CHOOSE(jezyk,n!A720,n!B720,n!C720,n!D718)</f>
        <v>Rezerwa na odprawy emerytalne i rentowe</v>
      </c>
      <c r="D29" s="662">
        <v>0</v>
      </c>
      <c r="E29" s="662">
        <v>0</v>
      </c>
      <c r="F29" s="662">
        <v>0</v>
      </c>
      <c r="G29" s="662">
        <v>0</v>
      </c>
      <c r="H29" s="404">
        <f t="shared" ref="H29:H35" si="2">IF((D29+E29-F29-G29)&lt;&gt;0,D29+E29-F29-G29,0)</f>
        <v>0</v>
      </c>
      <c r="I29" s="164"/>
      <c r="J29" s="368"/>
      <c r="K29" s="368"/>
      <c r="L29" s="368"/>
      <c r="M29" s="368"/>
    </row>
    <row r="30" spans="1:13" s="159" customFormat="1" ht="27.95" hidden="1" customHeight="1">
      <c r="B30" s="366"/>
      <c r="C30" s="369" t="str">
        <f>CHOOSE(jezyk,n!A721,n!B721,n!C721,n!D719)</f>
        <v>Rezerwa na świadczenia urlopowe</v>
      </c>
      <c r="D30" s="662">
        <v>0</v>
      </c>
      <c r="E30" s="662">
        <v>0</v>
      </c>
      <c r="F30" s="662">
        <v>0</v>
      </c>
      <c r="G30" s="662">
        <v>0</v>
      </c>
      <c r="H30" s="404">
        <f t="shared" si="2"/>
        <v>0</v>
      </c>
      <c r="I30" s="164"/>
      <c r="J30" s="368"/>
      <c r="K30" s="368"/>
      <c r="L30" s="368"/>
      <c r="M30" s="368"/>
    </row>
    <row r="31" spans="1:13" s="159" customFormat="1" ht="27.75" hidden="1" customHeight="1">
      <c r="A31" s="370"/>
      <c r="B31" s="366"/>
      <c r="C31" s="369" t="str">
        <f>CHOOSE(jezyk,n!A722,n!B722,n!C722,n!D720)</f>
        <v>Rezerwa na premie i wynagrodzenia</v>
      </c>
      <c r="D31" s="662">
        <v>0</v>
      </c>
      <c r="E31" s="662">
        <v>0</v>
      </c>
      <c r="F31" s="662">
        <v>0</v>
      </c>
      <c r="G31" s="662">
        <v>0</v>
      </c>
      <c r="H31" s="404">
        <f t="shared" si="2"/>
        <v>0</v>
      </c>
      <c r="I31" s="164"/>
      <c r="J31" s="368"/>
      <c r="K31" s="368"/>
      <c r="L31" s="368"/>
      <c r="M31" s="368"/>
    </row>
    <row r="32" spans="1:13" s="159" customFormat="1" ht="27.95" hidden="1" customHeight="1">
      <c r="A32" s="370"/>
      <c r="B32" s="366"/>
      <c r="C32" s="369" t="str">
        <f>CHOOSE(jezyk,n!A723,n!B723,n!C723,n!D721)</f>
        <v>Badanie sprawozdania finansowego</v>
      </c>
      <c r="D32" s="662">
        <v>0</v>
      </c>
      <c r="E32" s="662">
        <v>0</v>
      </c>
      <c r="F32" s="662">
        <v>0</v>
      </c>
      <c r="G32" s="662">
        <v>0</v>
      </c>
      <c r="H32" s="404">
        <f t="shared" si="2"/>
        <v>0</v>
      </c>
      <c r="I32" s="164"/>
      <c r="J32" s="368"/>
      <c r="K32" s="368"/>
      <c r="L32" s="368"/>
      <c r="M32" s="368"/>
    </row>
    <row r="33" spans="1:17" s="159" customFormat="1" ht="27.95" hidden="1" customHeight="1">
      <c r="A33" s="370"/>
      <c r="B33" s="366"/>
      <c r="C33" s="369" t="str">
        <f>CHOOSE(jezyk,n!A724,n!B724,n!C724,n!D722)</f>
        <v>Sporządzenie sprawozdania finansowego</v>
      </c>
      <c r="D33" s="662">
        <v>0</v>
      </c>
      <c r="E33" s="662">
        <v>0</v>
      </c>
      <c r="F33" s="662">
        <v>0</v>
      </c>
      <c r="G33" s="662">
        <v>0</v>
      </c>
      <c r="H33" s="404">
        <f t="shared" si="2"/>
        <v>0</v>
      </c>
      <c r="I33" s="164"/>
      <c r="J33" s="368"/>
      <c r="K33" s="368"/>
      <c r="L33" s="368"/>
      <c r="M33" s="368"/>
    </row>
    <row r="34" spans="1:17" s="159" customFormat="1" ht="27.95" hidden="1" customHeight="1">
      <c r="B34" s="366"/>
      <c r="C34" s="369" t="str">
        <f>CHOOSE(jezyk,n!A725,n!B725,n!C725,n!D723)</f>
        <v>Rezerwa na naprawy gwarancyjne</v>
      </c>
      <c r="D34" s="662">
        <v>0</v>
      </c>
      <c r="E34" s="662">
        <v>0</v>
      </c>
      <c r="F34" s="662">
        <v>0</v>
      </c>
      <c r="G34" s="662">
        <v>0</v>
      </c>
      <c r="H34" s="404">
        <f t="shared" si="2"/>
        <v>0</v>
      </c>
      <c r="I34" s="164"/>
      <c r="J34" s="368"/>
      <c r="K34" s="368"/>
      <c r="L34" s="368"/>
      <c r="M34" s="368"/>
    </row>
    <row r="35" spans="1:17" s="159" customFormat="1" ht="23.1" hidden="1" customHeight="1">
      <c r="B35" s="366"/>
      <c r="C35" s="369" t="str">
        <f>CHOOSE(jezyk,n!A726,n!B726,n!C726,n!D724)</f>
        <v>Pozostałe rezerwy</v>
      </c>
      <c r="D35" s="662">
        <v>0</v>
      </c>
      <c r="E35" s="662">
        <v>0</v>
      </c>
      <c r="F35" s="662">
        <v>0</v>
      </c>
      <c r="G35" s="662">
        <v>0</v>
      </c>
      <c r="H35" s="404">
        <f t="shared" si="2"/>
        <v>0</v>
      </c>
      <c r="I35" s="339" t="str">
        <f>J21</f>
        <v>31.12.2023</v>
      </c>
      <c r="J35" s="368"/>
      <c r="K35" s="368"/>
      <c r="L35" s="368"/>
      <c r="M35" s="368"/>
    </row>
    <row r="36" spans="1:17" s="159" customFormat="1" ht="23.1" hidden="1" customHeight="1">
      <c r="B36" s="366"/>
      <c r="C36" s="287" t="str">
        <f>CHOOSE(jezyk,n!A714,n!B714,n!C714,n!D712)</f>
        <v>Ogółem</v>
      </c>
      <c r="D36" s="404">
        <f>SUM(D28:D35)</f>
        <v>0</v>
      </c>
      <c r="E36" s="404">
        <f>SUM(E28:E35)</f>
        <v>0</v>
      </c>
      <c r="F36" s="404">
        <f>SUM(F28:F35)</f>
        <v>0</v>
      </c>
      <c r="G36" s="404">
        <f>SUM(G28:G35)</f>
        <v>0</v>
      </c>
      <c r="H36" s="404">
        <f>SUM(H28:H35)</f>
        <v>0</v>
      </c>
      <c r="I36" s="371">
        <f>H36-D22</f>
        <v>0</v>
      </c>
      <c r="J36" s="368"/>
      <c r="K36" s="368"/>
      <c r="L36" s="368"/>
      <c r="M36" s="368"/>
    </row>
    <row r="37" spans="1:17" s="159" customFormat="1" ht="11.25" hidden="1" customHeight="1">
      <c r="B37" s="366"/>
      <c r="C37" s="368"/>
      <c r="D37" s="368"/>
      <c r="E37" s="368"/>
      <c r="F37" s="368"/>
      <c r="G37" s="368"/>
      <c r="H37" s="368"/>
      <c r="I37" s="368"/>
      <c r="J37" s="368"/>
      <c r="K37" s="368"/>
      <c r="L37" s="368"/>
      <c r="M37" s="368"/>
    </row>
    <row r="38" spans="1:17" ht="12.75" customHeight="1">
      <c r="B38" s="76" t="s">
        <v>4651</v>
      </c>
      <c r="C38" s="895" t="str">
        <f>CHOOSE(jezyk,n!A775,n!B775,n!C775,n!D773)</f>
        <v>Zobowiązania długoterminowe</v>
      </c>
      <c r="D38" s="895"/>
      <c r="E38" s="895"/>
      <c r="F38" s="895"/>
      <c r="G38" s="895"/>
      <c r="H38" s="895"/>
      <c r="I38" s="377"/>
      <c r="J38" s="377"/>
    </row>
    <row r="39" spans="1:17" ht="9" customHeight="1">
      <c r="C39" s="378"/>
    </row>
    <row r="40" spans="1:17" ht="15" hidden="1" customHeight="1">
      <c r="C40" s="401" t="str">
        <f>CHOOSE(jezyk,n!A616,n!B616,n!C616,n!D614)</f>
        <v>Rok obrotowy 2024</v>
      </c>
    </row>
    <row r="41" spans="1:17" ht="9.9499999999999993" hidden="1" customHeight="1"/>
    <row r="42" spans="1:17" s="277" customFormat="1" ht="15" hidden="1" customHeight="1">
      <c r="B42" s="379"/>
      <c r="C42" s="859" t="str">
        <f>CHOOSE(jezyk,n!A776,n!B776,n!C776,n!D774)</f>
        <v>Zobowiązania długoterminowe według pozycji bilansu</v>
      </c>
      <c r="D42" s="888" t="str">
        <f>CHOOSE(jezyk,n!A785,n!B785,n!C785,n!D783)</f>
        <v>Okres spłaty</v>
      </c>
      <c r="E42" s="889"/>
      <c r="F42" s="889"/>
      <c r="G42" s="890"/>
      <c r="H42" s="667" t="str">
        <f>CHOOSE(jezyk,n!A794,n!B794,n!C794,n!D789)</f>
        <v>Razem:</v>
      </c>
    </row>
    <row r="43" spans="1:17" s="277" customFormat="1" ht="56.25" hidden="1" customHeight="1">
      <c r="B43" s="379"/>
      <c r="C43" s="860"/>
      <c r="D43" s="380" t="str">
        <f>CHOOSE(jezyk,n!A786,n!B786,n!C786,n!D784)</f>
        <v>do 1 roku 
(do spłaty w kolejnym roku obrotowym)</v>
      </c>
      <c r="E43" s="380" t="str">
        <f>CHOOSE(jezyk,n!A787,n!B787,n!C787,n!D785)</f>
        <v>powyżej 1 roku do 3 lat(do spłaty w latach 2026 - 2027)</v>
      </c>
      <c r="F43" s="380" t="str">
        <f>CHOOSE(jezyk,n!A789,n!B789,n!C789,n!D786)</f>
        <v>od 3 do 5 lat(do spłaty w latach 2028 - 2029)</v>
      </c>
      <c r="G43" s="380" t="str">
        <f>CHOOSE(jezyk,n!A791,n!B791,n!C791,n!D787)</f>
        <v>powyżej 5 lat(do spłaty po 2029 roku)</v>
      </c>
      <c r="H43" s="381"/>
      <c r="I43" s="172"/>
    </row>
    <row r="44" spans="1:17" ht="27" hidden="1" customHeight="1">
      <c r="C44" s="287" t="str">
        <f>CHOOSE(jezyk,n!A777,n!B777,n!C777,n!D775)</f>
        <v>Wobec jednostek powiązanych</v>
      </c>
      <c r="D44" s="404">
        <f>Bilans!S57</f>
        <v>808100.8</v>
      </c>
      <c r="E44" s="662">
        <v>0</v>
      </c>
      <c r="F44" s="662">
        <v>0</v>
      </c>
      <c r="G44" s="662">
        <v>0</v>
      </c>
      <c r="H44" s="404">
        <f>SUM(D44:G44)</f>
        <v>808100.8</v>
      </c>
      <c r="I44" s="172"/>
    </row>
    <row r="45" spans="1:17" ht="42.75" hidden="1" customHeight="1">
      <c r="A45" s="370"/>
      <c r="C45" s="287" t="str">
        <f>CHOOSE(jezyk,n!A386,n!B386,n!C386,n!D386)</f>
        <v>Wobec jednostek, w których jednostka posiada zaangażowanie w kapitale</v>
      </c>
      <c r="D45" s="404">
        <f>Bilans!S66</f>
        <v>0</v>
      </c>
      <c r="E45" s="662">
        <v>0</v>
      </c>
      <c r="F45" s="662">
        <v>0</v>
      </c>
      <c r="G45" s="662">
        <v>0</v>
      </c>
      <c r="H45" s="404">
        <f>SUM(D45:G45)</f>
        <v>0</v>
      </c>
      <c r="I45" s="172"/>
      <c r="M45" s="745"/>
      <c r="N45" s="745"/>
      <c r="O45" s="745"/>
      <c r="P45" s="745"/>
      <c r="Q45" s="745"/>
    </row>
    <row r="46" spans="1:17" ht="27.75" hidden="1" customHeight="1">
      <c r="C46" s="287" t="str">
        <f>CHOOSE(jezyk,n!A778,n!B778,n!C778,n!D776)</f>
        <v>Wobec pozostałych jednostek</v>
      </c>
      <c r="D46" s="404">
        <f>SUM(D47:D51)</f>
        <v>201380.84</v>
      </c>
      <c r="E46" s="404">
        <f>SUM(E47:E51)</f>
        <v>0</v>
      </c>
      <c r="F46" s="404">
        <f>SUM(F47:F51)</f>
        <v>0</v>
      </c>
      <c r="G46" s="404">
        <f>SUM(G47:G51)</f>
        <v>0</v>
      </c>
      <c r="H46" s="404">
        <f>SUM(H47:H51)</f>
        <v>201380.84</v>
      </c>
      <c r="I46" s="172"/>
      <c r="M46" s="745"/>
      <c r="N46" s="745"/>
      <c r="O46" s="745"/>
      <c r="P46" s="745"/>
      <c r="Q46" s="745"/>
    </row>
    <row r="47" spans="1:17" ht="18" hidden="1" customHeight="1">
      <c r="C47" s="287" t="str">
        <f>"   "&amp;CHOOSE(jezyk,n!A779,n!B779,n!C779,n!D777)</f>
        <v xml:space="preserve">   Kredyty i pożyczki</v>
      </c>
      <c r="D47" s="404">
        <f>Bilans!S76</f>
        <v>0</v>
      </c>
      <c r="E47" s="662">
        <v>0</v>
      </c>
      <c r="F47" s="662">
        <v>0</v>
      </c>
      <c r="G47" s="662">
        <v>0</v>
      </c>
      <c r="H47" s="404">
        <f>SUM(D47:G47)</f>
        <v>0</v>
      </c>
      <c r="I47" s="868" t="s">
        <v>394</v>
      </c>
      <c r="J47" s="868" t="str">
        <f>C45</f>
        <v>Wobec jednostek, w których jednostka posiada zaangażowanie w kapitale</v>
      </c>
      <c r="K47" s="868" t="s">
        <v>395</v>
      </c>
      <c r="L47" s="868" t="s">
        <v>970</v>
      </c>
      <c r="M47" s="745"/>
      <c r="N47" s="745"/>
      <c r="O47" s="745"/>
      <c r="P47" s="745"/>
      <c r="Q47" s="745"/>
    </row>
    <row r="48" spans="1:17" ht="26.25" hidden="1" customHeight="1">
      <c r="A48" s="370"/>
      <c r="C48" s="287" t="str">
        <f>"   "&amp;CHOOSE(jezyk,n!A780,n!B780,n!C780,n!D778)</f>
        <v xml:space="preserve">   Z tytułu emisji dłużnych
   papierów wartościowych</v>
      </c>
      <c r="D48" s="404">
        <f>Bilans!S77</f>
        <v>0</v>
      </c>
      <c r="E48" s="662">
        <v>0</v>
      </c>
      <c r="F48" s="662">
        <v>0</v>
      </c>
      <c r="G48" s="662">
        <v>0</v>
      </c>
      <c r="H48" s="404">
        <f>SUM(D48:G48)</f>
        <v>0</v>
      </c>
      <c r="I48" s="868"/>
      <c r="J48" s="868"/>
      <c r="K48" s="868"/>
      <c r="L48" s="868"/>
      <c r="M48" s="745"/>
      <c r="N48" s="745"/>
      <c r="O48" s="745"/>
      <c r="P48" s="745"/>
      <c r="Q48" s="745"/>
    </row>
    <row r="49" spans="3:17" ht="25.5" hidden="1" customHeight="1">
      <c r="C49" s="287" t="str">
        <f>"   "&amp;CHOOSE(jezyk,n!A781,n!B781,n!C781,n!D779)</f>
        <v xml:space="preserve">   Inne zobowiązania 
   finansowe</v>
      </c>
      <c r="D49" s="404">
        <f>Bilans!S78</f>
        <v>0</v>
      </c>
      <c r="E49" s="662">
        <v>0</v>
      </c>
      <c r="F49" s="662">
        <v>0</v>
      </c>
      <c r="G49" s="662">
        <v>0</v>
      </c>
      <c r="H49" s="404">
        <f>SUM(D49:G49)</f>
        <v>0</v>
      </c>
      <c r="I49" s="868"/>
      <c r="J49" s="868"/>
      <c r="K49" s="868"/>
      <c r="L49" s="868"/>
      <c r="M49" s="745"/>
      <c r="N49" s="745"/>
      <c r="O49" s="745"/>
      <c r="P49" s="745"/>
      <c r="Q49" s="745"/>
    </row>
    <row r="50" spans="3:17" ht="18" hidden="1" customHeight="1">
      <c r="C50" s="287" t="str">
        <f>"   "&amp;CHOOSE(jezyk,n!A782,n!B782,n!C782,n!D780)</f>
        <v xml:space="preserve">   Zobowiązania wekslowe</v>
      </c>
      <c r="D50" s="404">
        <f>Bilans!S84</f>
        <v>201380.84</v>
      </c>
      <c r="E50" s="662">
        <v>0</v>
      </c>
      <c r="F50" s="662">
        <v>0</v>
      </c>
      <c r="G50" s="662">
        <v>0</v>
      </c>
      <c r="H50" s="404">
        <f>SUM(D50:G50)</f>
        <v>201380.84</v>
      </c>
      <c r="I50" s="868"/>
      <c r="J50" s="868"/>
      <c r="K50" s="868"/>
      <c r="L50" s="868"/>
    </row>
    <row r="51" spans="3:17" ht="18" hidden="1" customHeight="1">
      <c r="C51" s="287" t="str">
        <f>"   "&amp;CHOOSE(jezyk,n!A783,n!B783,n!C783,n!D781)</f>
        <v xml:space="preserve">   Inne</v>
      </c>
      <c r="D51" s="382">
        <v>0</v>
      </c>
      <c r="E51" s="662">
        <v>0</v>
      </c>
      <c r="F51" s="662">
        <v>0</v>
      </c>
      <c r="G51" s="662">
        <v>0</v>
      </c>
      <c r="H51" s="404">
        <f>SUM(D51:G51)</f>
        <v>0</v>
      </c>
      <c r="I51" s="868"/>
      <c r="J51" s="868"/>
      <c r="K51" s="868"/>
      <c r="L51" s="868"/>
    </row>
    <row r="52" spans="3:17" ht="18" hidden="1" customHeight="1">
      <c r="C52" s="287" t="str">
        <f>CHOOSE(jezyk,n!A784,n!B784,n!C784,n!D782)</f>
        <v xml:space="preserve">Suma </v>
      </c>
      <c r="D52" s="404">
        <f>D44+D45+D46</f>
        <v>1009481.64</v>
      </c>
      <c r="E52" s="404">
        <f>E44+E45+E46</f>
        <v>0</v>
      </c>
      <c r="F52" s="404">
        <f>F44+F45+F46</f>
        <v>0</v>
      </c>
      <c r="G52" s="404">
        <f>G44+G45+G46</f>
        <v>0</v>
      </c>
      <c r="H52" s="404">
        <f>H44+H45+H46</f>
        <v>1009481.64</v>
      </c>
      <c r="I52" s="372">
        <f>ROUND(H44-D44-Bilans!S44,2)</f>
        <v>0</v>
      </c>
      <c r="J52" s="372">
        <f>ROUND(H45-D45-Bilans!S45,2)</f>
        <v>0</v>
      </c>
      <c r="K52" s="372">
        <f>ROUND(H46-D46-Bilans!S53,2)</f>
        <v>0</v>
      </c>
      <c r="L52" s="372">
        <f>SUM(I52:K52)</f>
        <v>0</v>
      </c>
    </row>
    <row r="53" spans="3:17" ht="9.9499999999999993" hidden="1" customHeight="1">
      <c r="C53" s="172"/>
      <c r="D53" s="172"/>
      <c r="E53" s="172"/>
      <c r="F53" s="172"/>
      <c r="G53" s="172"/>
      <c r="H53" s="172"/>
    </row>
    <row r="54" spans="3:17" ht="15" hidden="1" customHeight="1">
      <c r="C54" s="401" t="str">
        <f>CHOOSE(jezyk,n!A617,n!B617,n!C617,n!D615)</f>
        <v>Rok obrotowy 2023</v>
      </c>
      <c r="D54" s="172"/>
      <c r="E54" s="172"/>
      <c r="F54" s="172"/>
      <c r="G54" s="172"/>
      <c r="H54" s="172"/>
    </row>
    <row r="55" spans="3:17" ht="9.9499999999999993" hidden="1" customHeight="1">
      <c r="C55" s="172"/>
      <c r="D55" s="172"/>
      <c r="E55" s="172"/>
      <c r="F55" s="172"/>
      <c r="G55" s="172"/>
      <c r="H55" s="172"/>
    </row>
    <row r="56" spans="3:17" hidden="1">
      <c r="C56" s="859" t="str">
        <f>C42</f>
        <v>Zobowiązania długoterminowe według pozycji bilansu</v>
      </c>
      <c r="D56" s="888" t="str">
        <f>D42</f>
        <v>Okres spłaty</v>
      </c>
      <c r="E56" s="889"/>
      <c r="F56" s="889"/>
      <c r="G56" s="890"/>
      <c r="H56" s="891" t="str">
        <f>H42</f>
        <v>Razem:</v>
      </c>
    </row>
    <row r="57" spans="3:17" ht="60.75" hidden="1" customHeight="1">
      <c r="C57" s="860"/>
      <c r="D57" s="380" t="str">
        <f>D43</f>
        <v>do 1 roku 
(do spłaty w kolejnym roku obrotowym)</v>
      </c>
      <c r="E57" s="380" t="str">
        <f>CHOOSE(jezyk,n!A788,n!B788,n!C788,n!D788)</f>
        <v>powyżej 1 roku do 3 lat(do spłaty w latach 2025 - 2026)</v>
      </c>
      <c r="F57" s="380" t="str">
        <f>CHOOSE(jezyk,n!A790,n!B790,n!C790,n!D790)</f>
        <v>od 3 do 5 lat(do spłaty w latach 2027 - 2028)</v>
      </c>
      <c r="G57" s="380" t="str">
        <f>CHOOSE(jezyk,n!A792,n!B792,n!C792,n!D792)</f>
        <v>powyżej 5 lat(do spłaty po 2028 roku)</v>
      </c>
      <c r="H57" s="892"/>
    </row>
    <row r="58" spans="3:17" ht="28.5" hidden="1" customHeight="1">
      <c r="C58" s="287" t="str">
        <f>C44</f>
        <v>Wobec jednostek powiązanych</v>
      </c>
      <c r="D58" s="404">
        <f>Bilans!T58</f>
        <v>0</v>
      </c>
      <c r="E58" s="662">
        <v>0</v>
      </c>
      <c r="F58" s="662">
        <v>0</v>
      </c>
      <c r="G58" s="662">
        <v>0</v>
      </c>
      <c r="H58" s="404">
        <f>SUM(D58:G58)</f>
        <v>0</v>
      </c>
    </row>
    <row r="59" spans="3:17" ht="46.5" hidden="1" customHeight="1">
      <c r="C59" s="287" t="str">
        <f t="shared" ref="C59:C66" si="3">C45</f>
        <v>Wobec jednostek, w których jednostka posiada zaangażowanie w kapitale</v>
      </c>
      <c r="D59" s="404">
        <f>Bilans!T66</f>
        <v>0</v>
      </c>
      <c r="E59" s="662">
        <v>0</v>
      </c>
      <c r="F59" s="662">
        <v>0</v>
      </c>
      <c r="G59" s="662">
        <v>0</v>
      </c>
      <c r="H59" s="404">
        <f>SUM(D59:G59)</f>
        <v>0</v>
      </c>
    </row>
    <row r="60" spans="3:17" ht="25.5" hidden="1">
      <c r="C60" s="287" t="str">
        <f t="shared" si="3"/>
        <v>Wobec pozostałych jednostek</v>
      </c>
      <c r="D60" s="404">
        <f>SUM(D61:D65)</f>
        <v>0</v>
      </c>
      <c r="E60" s="404">
        <f>SUM(E61:E65)</f>
        <v>0</v>
      </c>
      <c r="F60" s="404">
        <f>SUM(F61:F65)</f>
        <v>0</v>
      </c>
      <c r="G60" s="404">
        <f>SUM(G61:G65)</f>
        <v>0</v>
      </c>
      <c r="H60" s="404">
        <f>SUM(H61:H65)</f>
        <v>0</v>
      </c>
    </row>
    <row r="61" spans="3:17" ht="18" hidden="1" customHeight="1">
      <c r="C61" s="287" t="str">
        <f t="shared" si="3"/>
        <v xml:space="preserve">   Kredyty i pożyczki</v>
      </c>
      <c r="D61" s="404">
        <f>Bilans!T76</f>
        <v>0</v>
      </c>
      <c r="E61" s="382">
        <v>0</v>
      </c>
      <c r="F61" s="382">
        <v>0</v>
      </c>
      <c r="G61" s="382">
        <v>0</v>
      </c>
      <c r="H61" s="404">
        <f>SUM(D61:G61)</f>
        <v>0</v>
      </c>
      <c r="I61" s="868" t="s">
        <v>394</v>
      </c>
      <c r="J61" s="868" t="str">
        <f>C59</f>
        <v>Wobec jednostek, w których jednostka posiada zaangażowanie w kapitale</v>
      </c>
      <c r="K61" s="868" t="s">
        <v>395</v>
      </c>
      <c r="L61" s="868" t="str">
        <f>L47</f>
        <v>Razem</v>
      </c>
    </row>
    <row r="62" spans="3:17" ht="30.75" hidden="1" customHeight="1">
      <c r="C62" s="287" t="str">
        <f t="shared" si="3"/>
        <v xml:space="preserve">   Z tytułu emisji dłużnych
   papierów wartościowych</v>
      </c>
      <c r="D62" s="404">
        <f>Bilans!T77</f>
        <v>0</v>
      </c>
      <c r="E62" s="382">
        <v>0</v>
      </c>
      <c r="F62" s="382">
        <v>0</v>
      </c>
      <c r="G62" s="382">
        <v>0</v>
      </c>
      <c r="H62" s="404">
        <f>SUM(D62:G62)</f>
        <v>0</v>
      </c>
      <c r="I62" s="868"/>
      <c r="J62" s="868"/>
      <c r="K62" s="868"/>
      <c r="L62" s="868"/>
    </row>
    <row r="63" spans="3:17" ht="25.5" hidden="1">
      <c r="C63" s="287" t="str">
        <f t="shared" si="3"/>
        <v xml:space="preserve">   Inne zobowiązania 
   finansowe</v>
      </c>
      <c r="D63" s="404">
        <f>Bilans!T78</f>
        <v>0</v>
      </c>
      <c r="E63" s="382">
        <v>0</v>
      </c>
      <c r="F63" s="382">
        <v>0</v>
      </c>
      <c r="G63" s="382">
        <v>0</v>
      </c>
      <c r="H63" s="404">
        <f>SUM(D63:G63)</f>
        <v>0</v>
      </c>
      <c r="I63" s="868"/>
      <c r="J63" s="868"/>
      <c r="K63" s="868"/>
      <c r="L63" s="868"/>
    </row>
    <row r="64" spans="3:17" ht="18" hidden="1" customHeight="1">
      <c r="C64" s="287" t="str">
        <f t="shared" si="3"/>
        <v xml:space="preserve">   Zobowiązania wekslowe</v>
      </c>
      <c r="D64" s="404">
        <f>Bilans!T84</f>
        <v>0</v>
      </c>
      <c r="E64" s="382">
        <v>0</v>
      </c>
      <c r="F64" s="382">
        <v>0</v>
      </c>
      <c r="G64" s="382">
        <v>0</v>
      </c>
      <c r="H64" s="404">
        <f>SUM(D64:G64)</f>
        <v>0</v>
      </c>
      <c r="I64" s="868"/>
      <c r="J64" s="868"/>
      <c r="K64" s="868"/>
      <c r="L64" s="868"/>
    </row>
    <row r="65" spans="1:12" ht="18" hidden="1" customHeight="1">
      <c r="C65" s="287" t="str">
        <f t="shared" si="3"/>
        <v xml:space="preserve">   Inne</v>
      </c>
      <c r="D65" s="382">
        <v>0</v>
      </c>
      <c r="E65" s="382">
        <v>0</v>
      </c>
      <c r="F65" s="382">
        <v>0</v>
      </c>
      <c r="G65" s="382">
        <v>0</v>
      </c>
      <c r="H65" s="404">
        <f>SUM(D65:G65)</f>
        <v>0</v>
      </c>
      <c r="I65" s="868"/>
      <c r="J65" s="868"/>
      <c r="K65" s="868"/>
      <c r="L65" s="868"/>
    </row>
    <row r="66" spans="1:12" ht="18" hidden="1" customHeight="1">
      <c r="C66" s="287" t="str">
        <f t="shared" si="3"/>
        <v xml:space="preserve">Suma </v>
      </c>
      <c r="D66" s="404">
        <f>D58+D59+D60</f>
        <v>0</v>
      </c>
      <c r="E66" s="404">
        <f>E58+E59+E60</f>
        <v>0</v>
      </c>
      <c r="F66" s="404">
        <f>F58+F59+F60</f>
        <v>0</v>
      </c>
      <c r="G66" s="404">
        <f>G58+G59+G60</f>
        <v>0</v>
      </c>
      <c r="H66" s="404">
        <f>H58+H59+H60</f>
        <v>0</v>
      </c>
      <c r="I66" s="372">
        <f>ROUND(H58-D58-Bilans!T44,2)</f>
        <v>0</v>
      </c>
      <c r="J66" s="372">
        <f>ROUND(H59-D59-Bilans!T45,2)</f>
        <v>0</v>
      </c>
      <c r="K66" s="372">
        <f>ROUND(H60-Bilans!T53,2)</f>
        <v>0</v>
      </c>
      <c r="L66" s="372">
        <f>SUM(I66:K66)</f>
        <v>0</v>
      </c>
    </row>
    <row r="67" spans="1:12" ht="9.9499999999999993" hidden="1" customHeight="1">
      <c r="C67" s="172"/>
      <c r="D67" s="172"/>
      <c r="E67" s="172"/>
      <c r="F67" s="172"/>
      <c r="G67" s="172"/>
      <c r="H67" s="172"/>
    </row>
    <row r="68" spans="1:12">
      <c r="C68" s="801" t="str">
        <f>CHOOSE(jezyk,n!A643,n!B643,n!C643,n!D641)</f>
        <v>Pozycja nie wystąpiła zarówno w roku obrotowym 2024, jak i w roku poprzednim.</v>
      </c>
      <c r="D68" s="801"/>
      <c r="E68" s="801"/>
      <c r="F68" s="801"/>
      <c r="G68" s="801"/>
      <c r="H68" s="801"/>
      <c r="I68" s="131" t="s">
        <v>2186</v>
      </c>
      <c r="J68" s="383"/>
    </row>
    <row r="69" spans="1:12">
      <c r="C69" s="172"/>
      <c r="D69" s="172"/>
      <c r="E69" s="172"/>
      <c r="F69" s="172"/>
      <c r="G69" s="172"/>
      <c r="H69" s="172"/>
    </row>
    <row r="70" spans="1:12" ht="25.5" customHeight="1">
      <c r="A70" s="370"/>
      <c r="B70" s="80" t="s">
        <v>248</v>
      </c>
      <c r="C70" s="854" t="str">
        <f>CHOOSE(jezyk,n!A826,n!B826,n!C826,n!D824)</f>
        <v>Łączna kwota zobowiązań zabezpieczonych na majątku jednostki (ze wskazaniem charakteru i formy tych zabezpieczeń)</v>
      </c>
      <c r="D70" s="854"/>
      <c r="E70" s="854"/>
      <c r="F70" s="854"/>
      <c r="G70" s="854"/>
      <c r="H70" s="854"/>
      <c r="I70" s="384"/>
      <c r="J70" s="384"/>
    </row>
    <row r="71" spans="1:12" ht="2.25" customHeight="1">
      <c r="C71" s="854"/>
      <c r="D71" s="854"/>
      <c r="E71" s="854"/>
      <c r="F71" s="854"/>
      <c r="G71" s="854"/>
      <c r="H71" s="854"/>
      <c r="I71" s="410"/>
      <c r="J71" s="410"/>
      <c r="K71" s="131"/>
    </row>
    <row r="72" spans="1:12">
      <c r="C72" s="745" t="str">
        <f>CHOOSE(jezyk,n!A827,n!B827,n!C827,n!D825)</f>
        <v>Spółka nie posiada zobowiązań zabezpieczonych na majątku.</v>
      </c>
      <c r="D72" s="745"/>
      <c r="E72" s="745"/>
      <c r="F72" s="745"/>
      <c r="G72" s="745"/>
      <c r="H72" s="745"/>
      <c r="I72" s="131" t="s">
        <v>2186</v>
      </c>
      <c r="J72" s="383"/>
    </row>
    <row r="73" spans="1:12" hidden="1"/>
    <row r="74" spans="1:12" ht="20.25" hidden="1" customHeight="1">
      <c r="C74" s="623" t="str">
        <f>CHOOSE(jezyk,n!A829,n!B829,n!C829,n!D826)</f>
        <v>Rodzaj zobowiązania</v>
      </c>
      <c r="D74" s="893" t="str">
        <f>CHOOSE(jezyk,n!A830,n!B830,n!C830,n!D827)</f>
        <v>Wartość na dzień bilansowy</v>
      </c>
      <c r="E74" s="893"/>
      <c r="F74" s="893" t="str">
        <f>CHOOSE(jezyk,n!A831,n!B831,n!C831,n!D829)</f>
        <v>Rodzaj zabezpieczenia</v>
      </c>
      <c r="G74" s="893"/>
      <c r="H74" s="893"/>
    </row>
    <row r="75" spans="1:12" ht="20.25" hidden="1" customHeight="1">
      <c r="C75" s="385"/>
      <c r="D75" s="883"/>
      <c r="E75" s="884"/>
      <c r="F75" s="885"/>
      <c r="G75" s="886"/>
      <c r="H75" s="887"/>
    </row>
    <row r="76" spans="1:12" ht="22.5" hidden="1" customHeight="1">
      <c r="C76" s="385"/>
      <c r="D76" s="883"/>
      <c r="E76" s="884"/>
      <c r="F76" s="885"/>
      <c r="G76" s="886"/>
      <c r="H76" s="887"/>
    </row>
    <row r="77" spans="1:12" ht="21" hidden="1" customHeight="1">
      <c r="C77" s="385"/>
      <c r="D77" s="883"/>
      <c r="E77" s="884"/>
      <c r="F77" s="885"/>
      <c r="G77" s="886"/>
      <c r="H77" s="887"/>
    </row>
    <row r="78" spans="1:12" ht="22.5" hidden="1" customHeight="1">
      <c r="C78" s="385"/>
      <c r="D78" s="883"/>
      <c r="E78" s="884"/>
      <c r="F78" s="885"/>
      <c r="G78" s="886"/>
      <c r="H78" s="887"/>
    </row>
    <row r="80" spans="1:12">
      <c r="B80" s="120" t="s">
        <v>5573</v>
      </c>
      <c r="C80" s="861" t="str">
        <f>CHOOSE(jezyk,n!A796,n!B796,n!C796,n!D794)</f>
        <v>Wykaz istotnych czynnych i biernych rozliczeń międzyokresowych</v>
      </c>
      <c r="D80" s="861"/>
      <c r="E80" s="861"/>
      <c r="F80" s="861"/>
      <c r="G80" s="861"/>
      <c r="H80" s="861"/>
    </row>
    <row r="81" spans="3:10">
      <c r="C81" s="861"/>
      <c r="D81" s="861"/>
      <c r="E81" s="861"/>
      <c r="F81" s="861"/>
      <c r="G81" s="861"/>
      <c r="H81" s="861"/>
    </row>
    <row r="82" spans="3:10">
      <c r="C82" s="882" t="str">
        <f>"1.14.a. "&amp;CHOOSE(jezyk,n!A797,n!B797,n!C797,n!D795)</f>
        <v>1.14.a. Czynne rozliczenia międzyokresowe</v>
      </c>
      <c r="D82" s="882"/>
      <c r="E82" s="882"/>
      <c r="F82" s="882"/>
      <c r="G82" s="882"/>
      <c r="H82" s="882"/>
    </row>
    <row r="83" spans="3:10">
      <c r="C83" s="861"/>
      <c r="D83" s="861"/>
      <c r="E83" s="861"/>
      <c r="F83" s="861"/>
      <c r="G83" s="861"/>
      <c r="H83" s="861"/>
    </row>
    <row r="84" spans="3:10" hidden="1">
      <c r="C84" s="745" t="str">
        <f>CHOOSE(jezyk,n!A643,n!B643,n!C643,n!D641)</f>
        <v>Pozycja nie wystąpiła zarówno w roku obrotowym 2024, jak i w roku poprzednim.</v>
      </c>
      <c r="D84" s="745"/>
      <c r="E84" s="745"/>
      <c r="F84" s="745"/>
      <c r="G84" s="745"/>
      <c r="H84" s="745"/>
      <c r="I84" s="131" t="s">
        <v>2186</v>
      </c>
    </row>
    <row r="85" spans="3:10" hidden="1"/>
    <row r="86" spans="3:10" ht="12.75" customHeight="1">
      <c r="C86" s="835" t="str">
        <f>CHOOSE(jezyk,n!A798,n!B798,n!C798,n!D796)</f>
        <v>Tytuł czynnych rozliczeń międzyokresowych</v>
      </c>
      <c r="D86" s="835"/>
      <c r="E86" s="835" t="str">
        <f>dzb</f>
        <v>31.12.2024</v>
      </c>
      <c r="F86" s="835"/>
      <c r="G86" s="835" t="str">
        <f>pdz</f>
        <v>31.12.2023</v>
      </c>
      <c r="H86" s="835"/>
    </row>
    <row r="87" spans="3:10">
      <c r="C87" s="835"/>
      <c r="D87" s="835"/>
      <c r="E87" s="835"/>
      <c r="F87" s="835"/>
      <c r="G87" s="835"/>
      <c r="H87" s="835"/>
    </row>
    <row r="88" spans="3:10" ht="25.35" customHeight="1">
      <c r="C88" s="875" t="str">
        <f>CHOOSE(jezyk,n!A325,n!B325,n!C325,n!D325)</f>
        <v>Aktywa z tytułu odroczonego podatku dochodowego</v>
      </c>
      <c r="D88" s="875"/>
      <c r="E88" s="840">
        <f>Bilans!J65</f>
        <v>81150</v>
      </c>
      <c r="F88" s="840"/>
      <c r="G88" s="840">
        <f>Bilans!K65</f>
        <v>0</v>
      </c>
      <c r="H88" s="840"/>
    </row>
    <row r="89" spans="3:10" ht="24.95" hidden="1" customHeight="1">
      <c r="C89" s="875" t="str">
        <f>CHOOSE(jezyk,n!A803,n!B803,n!C803,n!D801)</f>
        <v>Koszty remontów</v>
      </c>
      <c r="D89" s="875"/>
      <c r="E89" s="878">
        <v>0</v>
      </c>
      <c r="F89" s="878"/>
      <c r="G89" s="878">
        <v>0</v>
      </c>
      <c r="H89" s="878"/>
    </row>
    <row r="90" spans="3:10" ht="24.95" customHeight="1">
      <c r="C90" s="875" t="str">
        <f>CHOOSE(jezyk,n!A804,n!B804,n!C804,n!D802)</f>
        <v>Opłacone z góry prenumeraty, czynsze</v>
      </c>
      <c r="D90" s="875"/>
      <c r="E90" s="879">
        <v>7955.78</v>
      </c>
      <c r="F90" s="879"/>
      <c r="G90" s="878">
        <v>0</v>
      </c>
      <c r="H90" s="878"/>
    </row>
    <row r="91" spans="3:10" ht="25.35" hidden="1" customHeight="1">
      <c r="C91" s="875" t="str">
        <f>CHOOSE(jezyk,n!A805,n!B805,n!C805,n!D803)</f>
        <v>Koszty ubezpieczeń majątkowych i osobowych</v>
      </c>
      <c r="D91" s="875"/>
      <c r="E91" s="879">
        <v>0</v>
      </c>
      <c r="F91" s="879"/>
      <c r="G91" s="878">
        <v>0</v>
      </c>
      <c r="H91" s="878"/>
    </row>
    <row r="92" spans="3:10" ht="51" hidden="1" customHeight="1">
      <c r="C92" s="875" t="str">
        <f>CHOOSE(jezyk,n!A808,n!B808,n!C808,n!D806)</f>
        <v>Różnica między poniesionymi a zarachowanymi na wynik finansowy kosztami umów długoterminowych, w tym budowlanych</v>
      </c>
      <c r="D92" s="875"/>
      <c r="E92" s="879">
        <v>0</v>
      </c>
      <c r="F92" s="879"/>
      <c r="G92" s="878">
        <v>0</v>
      </c>
      <c r="H92" s="878"/>
    </row>
    <row r="93" spans="3:10" ht="57" hidden="1" customHeight="1">
      <c r="C93" s="875" t="str">
        <f>CHOOSE(jezyk,n!A809,n!B809,n!C809,n!D807)</f>
        <v>Różnice między niższymi przychodami zafakturowanymi a przychodami faktycznie ustalonymi z umów długoterminowych, w tym budowlanych</v>
      </c>
      <c r="D93" s="875"/>
      <c r="E93" s="879">
        <v>0</v>
      </c>
      <c r="F93" s="879"/>
      <c r="G93" s="878">
        <v>0</v>
      </c>
      <c r="H93" s="878"/>
    </row>
    <row r="94" spans="3:10" ht="52.5" hidden="1" customHeight="1">
      <c r="C94" s="875" t="str">
        <f>CHOOSE(jezyk,n!A810,n!B810,n!C810,n!D808)</f>
        <v>Różnica między wartością otrzymanych finansowych składników aktywów a zobowiązaniem zapłaty za nie</v>
      </c>
      <c r="D94" s="875"/>
      <c r="E94" s="879">
        <v>0</v>
      </c>
      <c r="F94" s="879"/>
      <c r="G94" s="878">
        <v>0</v>
      </c>
      <c r="H94" s="878"/>
    </row>
    <row r="95" spans="3:10" ht="24.95" customHeight="1">
      <c r="C95" s="875" t="str">
        <f>CHOOSE(jezyk,n!A811,n!B811,n!C811,n!D809)</f>
        <v>Pozostałe</v>
      </c>
      <c r="D95" s="875"/>
      <c r="E95" s="879">
        <v>611541.12</v>
      </c>
      <c r="F95" s="879"/>
      <c r="G95" s="878">
        <v>0</v>
      </c>
      <c r="H95" s="878"/>
      <c r="I95" s="339" t="str">
        <f>dzb</f>
        <v>31.12.2024</v>
      </c>
      <c r="J95" s="386" t="str">
        <f>pdz</f>
        <v>31.12.2023</v>
      </c>
    </row>
    <row r="96" spans="3:10" ht="22.5" customHeight="1">
      <c r="C96" s="834" t="str">
        <f>CHOOSE(jezyk,n!A813,n!B813,n!C813,n!D811)</f>
        <v>Ogółem</v>
      </c>
      <c r="D96" s="834"/>
      <c r="E96" s="840">
        <f>SUM(E88:F95)</f>
        <v>700646.9</v>
      </c>
      <c r="F96" s="840"/>
      <c r="G96" s="840">
        <f>SUM(G88:H95)</f>
        <v>0</v>
      </c>
      <c r="H96" s="840"/>
      <c r="I96" s="371">
        <f>ROUND('nota 1.11-1.15'!E96-Bilans!J130-Bilans!J65,2)</f>
        <v>0</v>
      </c>
      <c r="J96" s="371">
        <f>ROUND(G96-Bilans!K131-Bilans!K64,2)</f>
        <v>0</v>
      </c>
    </row>
    <row r="98" spans="3:9">
      <c r="C98" s="882" t="str">
        <f>"1.14.b. "&amp;CHOOSE(jezyk,n!A814,n!B814,n!C814,n!D812)</f>
        <v>1.14.b. Bierne rozliczenia międzyokresowe</v>
      </c>
      <c r="D98" s="882"/>
      <c r="E98" s="882"/>
    </row>
    <row r="99" spans="3:9">
      <c r="C99" s="666"/>
      <c r="D99" s="666"/>
      <c r="E99" s="666"/>
    </row>
    <row r="100" spans="3:9">
      <c r="C100" s="745" t="str">
        <f>CHOOSE(jezyk,n!A643,n!B643,n!C643,n!D641)</f>
        <v>Pozycja nie wystąpiła zarówno w roku obrotowym 2024, jak i w roku poprzednim.</v>
      </c>
      <c r="D100" s="745"/>
      <c r="E100" s="745"/>
      <c r="F100" s="745"/>
      <c r="G100" s="745"/>
      <c r="H100" s="745"/>
      <c r="I100" s="131" t="s">
        <v>2186</v>
      </c>
    </row>
    <row r="101" spans="3:9" ht="14.25" hidden="1">
      <c r="C101" s="378"/>
      <c r="I101" s="131"/>
    </row>
    <row r="102" spans="3:9" ht="12.75" hidden="1" customHeight="1">
      <c r="C102" s="855" t="str">
        <f>CHOOSE(jezyk,n!A815,n!B815,n!C815,n!D813)</f>
        <v>Tytuł biernych rozliczeń międzyokresowych</v>
      </c>
      <c r="D102" s="856"/>
      <c r="E102" s="835" t="str">
        <f>E86</f>
        <v>31.12.2024</v>
      </c>
      <c r="F102" s="835"/>
      <c r="G102" s="835" t="str">
        <f>G86</f>
        <v>31.12.2023</v>
      </c>
      <c r="H102" s="835"/>
      <c r="I102" s="131"/>
    </row>
    <row r="103" spans="3:9" hidden="1">
      <c r="C103" s="857"/>
      <c r="D103" s="858"/>
      <c r="E103" s="835"/>
      <c r="F103" s="835"/>
      <c r="G103" s="835"/>
      <c r="H103" s="835"/>
      <c r="I103" s="131" t="s">
        <v>4559</v>
      </c>
    </row>
    <row r="104" spans="3:9" ht="22.5" hidden="1" customHeight="1">
      <c r="C104" s="880" t="str">
        <f>CHOOSE(jezyk,n!A816,n!B816,n!C816,n!D814)</f>
        <v>Bierne rozliczenia kosztów</v>
      </c>
      <c r="D104" s="881"/>
      <c r="E104" s="878">
        <v>0</v>
      </c>
      <c r="F104" s="878"/>
      <c r="G104" s="878">
        <v>0</v>
      </c>
      <c r="H104" s="878"/>
    </row>
    <row r="105" spans="3:9" ht="23.25" hidden="1" customHeight="1">
      <c r="C105" s="880"/>
      <c r="D105" s="881"/>
      <c r="E105" s="879">
        <v>0</v>
      </c>
      <c r="F105" s="879"/>
      <c r="G105" s="878">
        <v>0</v>
      </c>
      <c r="H105" s="878"/>
    </row>
    <row r="106" spans="3:9" ht="21.75" hidden="1" customHeight="1">
      <c r="C106" s="876" t="str">
        <f>CHOOSE(jezyk,n!A813,n!B813,n!C813,n!D811)</f>
        <v>Ogółem</v>
      </c>
      <c r="D106" s="877"/>
      <c r="E106" s="840">
        <f>SUM(E104:F105)</f>
        <v>0</v>
      </c>
      <c r="F106" s="840"/>
      <c r="G106" s="840">
        <f>SUM(G104:H105)</f>
        <v>0</v>
      </c>
      <c r="H106" s="840"/>
    </row>
    <row r="108" spans="3:9">
      <c r="C108" s="882" t="str">
        <f>"1.14.c. "&amp;CHOOSE(jezyk,n!A817,n!B817,n!C817,n!D815)</f>
        <v xml:space="preserve">1.14.c. Rozliczenia międzyokresowe </v>
      </c>
      <c r="D108" s="882"/>
      <c r="E108" s="882"/>
      <c r="I108" s="131" t="s">
        <v>4562</v>
      </c>
    </row>
    <row r="109" spans="3:9" ht="14.25">
      <c r="C109" s="378"/>
    </row>
    <row r="110" spans="3:9" hidden="1">
      <c r="C110" s="801" t="str">
        <f>CHOOSE(jezyk,n!A643,n!B643,n!C643,n!D641)</f>
        <v>Pozycja nie wystąpiła zarówno w roku obrotowym 2024, jak i w roku poprzednim.</v>
      </c>
      <c r="D110" s="801"/>
      <c r="E110" s="801"/>
      <c r="F110" s="801"/>
      <c r="G110" s="801"/>
      <c r="H110" s="801"/>
      <c r="I110" s="131" t="s">
        <v>2186</v>
      </c>
    </row>
    <row r="111" spans="3:9" ht="14.25" hidden="1">
      <c r="C111" s="378"/>
    </row>
    <row r="112" spans="3:9" ht="12.75" customHeight="1">
      <c r="C112" s="855" t="str">
        <f>CHOOSE(jezyk,n!A818,n!B818,n!C818,n!D816)</f>
        <v xml:space="preserve">Tytuł rozliczeń międzyokresowych </v>
      </c>
      <c r="D112" s="856"/>
      <c r="E112" s="835" t="str">
        <f>E102</f>
        <v>31.12.2024</v>
      </c>
      <c r="F112" s="835"/>
      <c r="G112" s="835" t="str">
        <f>G102</f>
        <v>31.12.2023</v>
      </c>
      <c r="H112" s="835"/>
    </row>
    <row r="113" spans="1:12">
      <c r="C113" s="857"/>
      <c r="D113" s="858"/>
      <c r="E113" s="835"/>
      <c r="F113" s="835"/>
      <c r="G113" s="835"/>
      <c r="H113" s="835"/>
    </row>
    <row r="114" spans="1:12" ht="30.75" hidden="1" customHeight="1">
      <c r="C114" s="880" t="str">
        <f>CHOOSE(jezyk,n!A820,n!B820,n!C820,n!D818)</f>
        <v>Dotacja na budowę środków trwałych i prac rozwojowych</v>
      </c>
      <c r="D114" s="881"/>
      <c r="E114" s="878"/>
      <c r="F114" s="878"/>
      <c r="G114" s="878"/>
      <c r="H114" s="878"/>
    </row>
    <row r="115" spans="1:12" ht="51" hidden="1" customHeight="1">
      <c r="C115" s="880" t="str">
        <f>CHOOSE(jezyk,n!A821,n!B821,n!C821,n!D819)</f>
        <v>Nieodpłatnie otrzymane środki trwałe, środki trwałe w budowie oraz wartości niematerialne i prawne</v>
      </c>
      <c r="D115" s="881"/>
      <c r="E115" s="879"/>
      <c r="F115" s="879"/>
      <c r="G115" s="878"/>
      <c r="H115" s="878"/>
    </row>
    <row r="116" spans="1:12" ht="25.5" customHeight="1">
      <c r="C116" s="880" t="str">
        <f>CHOOSE(jezyk,n!A822,n!B822,n!C822,n!D820)</f>
        <v xml:space="preserve">Pozostałe </v>
      </c>
      <c r="D116" s="881"/>
      <c r="E116" s="879">
        <v>783526.04</v>
      </c>
      <c r="F116" s="879"/>
      <c r="G116" s="878">
        <v>0</v>
      </c>
      <c r="H116" s="878"/>
      <c r="I116" s="339" t="str">
        <f>dzb</f>
        <v>31.12.2024</v>
      </c>
      <c r="J116" s="386" t="str">
        <f>pdz</f>
        <v>31.12.2023</v>
      </c>
    </row>
    <row r="117" spans="1:12" ht="24.75" customHeight="1">
      <c r="C117" s="876" t="str">
        <f>CHOOSE(jezyk,n!A813,n!B813,n!C813,n!D811)</f>
        <v>Ogółem</v>
      </c>
      <c r="D117" s="877"/>
      <c r="E117" s="840">
        <f>SUM(E114:F116)</f>
        <v>783526.04</v>
      </c>
      <c r="F117" s="840"/>
      <c r="G117" s="840">
        <f>SUM(G114:H116)</f>
        <v>0</v>
      </c>
      <c r="H117" s="840"/>
      <c r="I117" s="371">
        <f>ROUND('nota 1.11-1.15'!E117-Bilans!S92,2)</f>
        <v>0</v>
      </c>
      <c r="J117" s="371">
        <f>ROUND(G117-Bilans!T94,2)</f>
        <v>0</v>
      </c>
    </row>
    <row r="119" spans="1:12" ht="20.25">
      <c r="B119" s="387" t="s">
        <v>5574</v>
      </c>
      <c r="C119" s="854" t="str">
        <f>CHOOSE(jezyk,n!A731,n!B731,n!C731,n!D729)</f>
        <v>Należności i zobowiązania wykazywane w więcej niż jednej pozycji bilansu</v>
      </c>
      <c r="D119" s="854"/>
      <c r="E119" s="854"/>
      <c r="F119" s="854"/>
      <c r="G119" s="854"/>
      <c r="H119" s="854"/>
      <c r="I119" s="388"/>
      <c r="J119" s="368"/>
      <c r="K119" s="368"/>
      <c r="L119" s="368"/>
    </row>
    <row r="120" spans="1:12" ht="6" customHeight="1"/>
    <row r="121" spans="1:12">
      <c r="C121" s="805" t="str">
        <f>CHOOSE(jezyk,n!A643,n!B643,n!C643,n!D641)</f>
        <v>Pozycja nie wystąpiła zarówno w roku obrotowym 2024, jak i w roku poprzednim.</v>
      </c>
      <c r="D121" s="805"/>
      <c r="E121" s="805"/>
      <c r="F121" s="805"/>
      <c r="G121" s="805"/>
      <c r="H121" s="805"/>
      <c r="I121" s="131" t="s">
        <v>2186</v>
      </c>
    </row>
    <row r="123" spans="1:12" ht="15" hidden="1" customHeight="1">
      <c r="C123" s="401" t="str">
        <f>dzb</f>
        <v>31.12.2024</v>
      </c>
    </row>
    <row r="124" spans="1:12" hidden="1"/>
    <row r="125" spans="1:12" s="172" customFormat="1" ht="12.75" hidden="1" customHeight="1">
      <c r="A125" s="370"/>
      <c r="B125" s="171"/>
      <c r="C125" s="866" t="str">
        <f>CHOOSE(jezyk,n!A292,n!B292,n!C292,n!D292)</f>
        <v>AKTYWA</v>
      </c>
      <c r="D125" s="868" t="str">
        <f>CHOOSE(jezyk,n!A734,n!B734,n!C734,n!D732)</f>
        <v>część krótkoterminowa</v>
      </c>
      <c r="E125" s="868"/>
      <c r="F125" s="868" t="str">
        <f>CHOOSE(jezyk,n!A735,n!B735,n!C735,n!D733)</f>
        <v>część długoterminowa</v>
      </c>
      <c r="G125" s="868"/>
      <c r="H125" s="868" t="str">
        <f>CHOOSE(jezyk,n!A753,n!B753,n!C753,n!D751)</f>
        <v>Ogółem</v>
      </c>
    </row>
    <row r="126" spans="1:12" s="172" customFormat="1" hidden="1">
      <c r="A126" s="370"/>
      <c r="B126" s="171"/>
      <c r="C126" s="867"/>
      <c r="D126" s="868"/>
      <c r="E126" s="868"/>
      <c r="F126" s="868"/>
      <c r="G126" s="868"/>
      <c r="H126" s="874"/>
      <c r="I126" s="169"/>
      <c r="J126" s="169"/>
      <c r="K126" s="169"/>
      <c r="L126" s="169"/>
    </row>
    <row r="127" spans="1:12" s="172" customFormat="1" ht="24.95" hidden="1" customHeight="1">
      <c r="A127" s="370"/>
      <c r="B127" s="171"/>
      <c r="C127" s="385"/>
      <c r="D127" s="864"/>
      <c r="E127" s="865"/>
      <c r="F127" s="864"/>
      <c r="G127" s="865"/>
      <c r="H127" s="404">
        <f>D127+F127</f>
        <v>0</v>
      </c>
      <c r="K127" s="868"/>
      <c r="L127" s="868"/>
    </row>
    <row r="128" spans="1:12" s="172" customFormat="1" ht="24.95" hidden="1" customHeight="1">
      <c r="A128" s="370"/>
      <c r="B128" s="171"/>
      <c r="C128" s="385"/>
      <c r="D128" s="864"/>
      <c r="E128" s="865"/>
      <c r="F128" s="864"/>
      <c r="G128" s="865"/>
      <c r="H128" s="404">
        <f>D128+F128</f>
        <v>0</v>
      </c>
      <c r="K128" s="868"/>
      <c r="L128" s="868"/>
    </row>
    <row r="129" spans="1:8" s="172" customFormat="1" ht="24.95" hidden="1" customHeight="1">
      <c r="A129" s="370"/>
      <c r="B129" s="171"/>
      <c r="C129" s="385"/>
      <c r="D129" s="864"/>
      <c r="E129" s="865"/>
      <c r="F129" s="864"/>
      <c r="G129" s="865"/>
      <c r="H129" s="404">
        <f>D129+F129</f>
        <v>0</v>
      </c>
    </row>
    <row r="130" spans="1:8" s="172" customFormat="1" ht="24.95" hidden="1" customHeight="1">
      <c r="A130" s="370"/>
      <c r="B130" s="171"/>
      <c r="C130" s="385"/>
      <c r="D130" s="864"/>
      <c r="E130" s="865"/>
      <c r="F130" s="864"/>
      <c r="G130" s="865"/>
      <c r="H130" s="404">
        <f>D130+F130</f>
        <v>0</v>
      </c>
    </row>
    <row r="131" spans="1:8" s="172" customFormat="1" ht="12.75" hidden="1" customHeight="1">
      <c r="A131" s="370"/>
      <c r="B131" s="171"/>
      <c r="C131" s="866" t="str">
        <f>CHOOSE(jezyk,n!A360,n!B360,n!C360,n!D360)</f>
        <v>PASYWA</v>
      </c>
      <c r="D131" s="868" t="str">
        <f>D125</f>
        <v>część krótkoterminowa</v>
      </c>
      <c r="E131" s="868"/>
      <c r="F131" s="869" t="str">
        <f>F125</f>
        <v>część długoterminowa</v>
      </c>
      <c r="G131" s="870"/>
      <c r="H131" s="873" t="str">
        <f>CHOOSE(jezyk,n!A753,n!B753,n!C753,n!D751)</f>
        <v>Ogółem</v>
      </c>
    </row>
    <row r="132" spans="1:8" s="172" customFormat="1" hidden="1">
      <c r="A132" s="370"/>
      <c r="B132" s="171"/>
      <c r="C132" s="867"/>
      <c r="D132" s="868"/>
      <c r="E132" s="868"/>
      <c r="F132" s="871"/>
      <c r="G132" s="872"/>
      <c r="H132" s="874"/>
    </row>
    <row r="133" spans="1:8" s="172" customFormat="1" ht="24.95" hidden="1" customHeight="1">
      <c r="A133" s="370"/>
      <c r="B133" s="171"/>
      <c r="C133" s="389"/>
      <c r="D133" s="864"/>
      <c r="E133" s="865"/>
      <c r="F133" s="864"/>
      <c r="G133" s="865"/>
      <c r="H133" s="404">
        <f>D133+F133</f>
        <v>0</v>
      </c>
    </row>
    <row r="134" spans="1:8" s="172" customFormat="1" ht="24.95" hidden="1" customHeight="1">
      <c r="A134" s="370"/>
      <c r="B134" s="171"/>
      <c r="C134" s="389"/>
      <c r="D134" s="864"/>
      <c r="E134" s="865"/>
      <c r="F134" s="864"/>
      <c r="G134" s="865"/>
      <c r="H134" s="404">
        <f>D134+F134</f>
        <v>0</v>
      </c>
    </row>
    <row r="135" spans="1:8" s="172" customFormat="1" ht="24.95" hidden="1" customHeight="1">
      <c r="A135" s="370"/>
      <c r="B135" s="171"/>
      <c r="C135" s="389"/>
      <c r="D135" s="864"/>
      <c r="E135" s="865"/>
      <c r="F135" s="864"/>
      <c r="G135" s="865"/>
      <c r="H135" s="404">
        <f>D135+F135</f>
        <v>0</v>
      </c>
    </row>
    <row r="136" spans="1:8" s="172" customFormat="1" ht="24.95" hidden="1" customHeight="1">
      <c r="A136" s="370"/>
      <c r="B136" s="171"/>
      <c r="C136" s="389"/>
      <c r="D136" s="864"/>
      <c r="E136" s="865"/>
      <c r="F136" s="864"/>
      <c r="G136" s="865"/>
      <c r="H136" s="404">
        <f>D136+F136</f>
        <v>0</v>
      </c>
    </row>
    <row r="137" spans="1:8" s="172" customFormat="1" hidden="1">
      <c r="A137" s="370"/>
      <c r="B137" s="171"/>
    </row>
    <row r="138" spans="1:8" ht="15" hidden="1" customHeight="1">
      <c r="C138" s="401" t="str">
        <f>pdz</f>
        <v>31.12.2023</v>
      </c>
    </row>
    <row r="139" spans="1:8" hidden="1"/>
    <row r="140" spans="1:8" hidden="1">
      <c r="C140" s="866" t="str">
        <f>C125</f>
        <v>AKTYWA</v>
      </c>
      <c r="D140" s="868" t="str">
        <f>D125</f>
        <v>część krótkoterminowa</v>
      </c>
      <c r="E140" s="868"/>
      <c r="F140" s="868" t="str">
        <f>F125</f>
        <v>część długoterminowa</v>
      </c>
      <c r="G140" s="868"/>
      <c r="H140" s="868" t="str">
        <f>H125</f>
        <v>Ogółem</v>
      </c>
    </row>
    <row r="141" spans="1:8" hidden="1">
      <c r="C141" s="867"/>
      <c r="D141" s="868"/>
      <c r="E141" s="868"/>
      <c r="F141" s="868"/>
      <c r="G141" s="868"/>
      <c r="H141" s="874"/>
    </row>
    <row r="142" spans="1:8" ht="24.95" hidden="1" customHeight="1">
      <c r="C142" s="389"/>
      <c r="D142" s="864"/>
      <c r="E142" s="865"/>
      <c r="F142" s="864"/>
      <c r="G142" s="865"/>
      <c r="H142" s="404">
        <f>D142+F142</f>
        <v>0</v>
      </c>
    </row>
    <row r="143" spans="1:8" ht="24.95" hidden="1" customHeight="1">
      <c r="C143" s="389"/>
      <c r="D143" s="864"/>
      <c r="E143" s="865"/>
      <c r="F143" s="864"/>
      <c r="G143" s="865"/>
      <c r="H143" s="404">
        <f>D143+F143</f>
        <v>0</v>
      </c>
    </row>
    <row r="144" spans="1:8" ht="24.95" hidden="1" customHeight="1">
      <c r="C144" s="389"/>
      <c r="D144" s="864"/>
      <c r="E144" s="865"/>
      <c r="F144" s="864"/>
      <c r="G144" s="865"/>
      <c r="H144" s="404">
        <f>D144+F144</f>
        <v>0</v>
      </c>
    </row>
    <row r="145" spans="3:8" ht="24.95" hidden="1" customHeight="1">
      <c r="C145" s="389"/>
      <c r="D145" s="864"/>
      <c r="E145" s="865"/>
      <c r="F145" s="864"/>
      <c r="G145" s="865"/>
      <c r="H145" s="404">
        <f>D145+F145</f>
        <v>0</v>
      </c>
    </row>
    <row r="146" spans="3:8" hidden="1">
      <c r="C146" s="866" t="str">
        <f>C131</f>
        <v>PASYWA</v>
      </c>
      <c r="D146" s="868" t="str">
        <f>D140</f>
        <v>część krótkoterminowa</v>
      </c>
      <c r="E146" s="868"/>
      <c r="F146" s="869" t="str">
        <f>F140</f>
        <v>część długoterminowa</v>
      </c>
      <c r="G146" s="870"/>
      <c r="H146" s="873" t="str">
        <f>H131</f>
        <v>Ogółem</v>
      </c>
    </row>
    <row r="147" spans="3:8" hidden="1">
      <c r="C147" s="867"/>
      <c r="D147" s="868"/>
      <c r="E147" s="868"/>
      <c r="F147" s="871"/>
      <c r="G147" s="872"/>
      <c r="H147" s="874"/>
    </row>
    <row r="148" spans="3:8" ht="24.95" hidden="1" customHeight="1">
      <c r="C148" s="389"/>
      <c r="D148" s="864"/>
      <c r="E148" s="865"/>
      <c r="F148" s="864"/>
      <c r="G148" s="865"/>
      <c r="H148" s="404">
        <f>D148+F148</f>
        <v>0</v>
      </c>
    </row>
    <row r="149" spans="3:8" ht="24.95" hidden="1" customHeight="1">
      <c r="C149" s="389"/>
      <c r="D149" s="864"/>
      <c r="E149" s="865"/>
      <c r="F149" s="864"/>
      <c r="G149" s="865"/>
      <c r="H149" s="404">
        <f>D149+F149</f>
        <v>0</v>
      </c>
    </row>
    <row r="150" spans="3:8" ht="24.95" hidden="1" customHeight="1">
      <c r="C150" s="389"/>
      <c r="D150" s="864"/>
      <c r="E150" s="865"/>
      <c r="F150" s="864"/>
      <c r="G150" s="865"/>
      <c r="H150" s="404">
        <f>D150+F150</f>
        <v>0</v>
      </c>
    </row>
    <row r="151" spans="3:8" ht="24.95" hidden="1" customHeight="1">
      <c r="C151" s="389"/>
      <c r="D151" s="864"/>
      <c r="E151" s="865"/>
      <c r="F151" s="864"/>
      <c r="G151" s="865"/>
      <c r="H151" s="404">
        <f>D151+F151</f>
        <v>0</v>
      </c>
    </row>
    <row r="152" spans="3:8" hidden="1"/>
  </sheetData>
  <sheetProtection formatCells="0" formatColumns="0" formatRows="0" insertRows="0" insertHyperlinks="0" sort="0" autoFilter="0" pivotTables="0"/>
  <mergeCells count="165">
    <mergeCell ref="L47:L51"/>
    <mergeCell ref="M45:Q45"/>
    <mergeCell ref="M46:Q46"/>
    <mergeCell ref="M47:Q47"/>
    <mergeCell ref="M48:Q48"/>
    <mergeCell ref="M49:Q49"/>
    <mergeCell ref="B4:H4"/>
    <mergeCell ref="C38:H38"/>
    <mergeCell ref="F75:H75"/>
    <mergeCell ref="L61:L65"/>
    <mergeCell ref="C1:J1"/>
    <mergeCell ref="C42:C43"/>
    <mergeCell ref="D42:G42"/>
    <mergeCell ref="C68:H68"/>
    <mergeCell ref="I47:I51"/>
    <mergeCell ref="J47:J51"/>
    <mergeCell ref="K47:K51"/>
    <mergeCell ref="C6:H6"/>
    <mergeCell ref="C12:C13"/>
    <mergeCell ref="D12:D13"/>
    <mergeCell ref="E12:E13"/>
    <mergeCell ref="F12:F13"/>
    <mergeCell ref="G12:G13"/>
    <mergeCell ref="H12:H13"/>
    <mergeCell ref="C8:H8"/>
    <mergeCell ref="C26:C27"/>
    <mergeCell ref="D26:D27"/>
    <mergeCell ref="E26:E27"/>
    <mergeCell ref="F26:F27"/>
    <mergeCell ref="G26:G27"/>
    <mergeCell ref="H26:H27"/>
    <mergeCell ref="I61:I65"/>
    <mergeCell ref="J61:J65"/>
    <mergeCell ref="K61:K65"/>
    <mergeCell ref="F76:H76"/>
    <mergeCell ref="C72:H72"/>
    <mergeCell ref="C56:C57"/>
    <mergeCell ref="D56:G56"/>
    <mergeCell ref="H56:H57"/>
    <mergeCell ref="F77:H77"/>
    <mergeCell ref="F78:H78"/>
    <mergeCell ref="D74:E74"/>
    <mergeCell ref="F74:H74"/>
    <mergeCell ref="D75:E75"/>
    <mergeCell ref="D76:E76"/>
    <mergeCell ref="D77:E77"/>
    <mergeCell ref="C70:H71"/>
    <mergeCell ref="E86:F87"/>
    <mergeCell ref="G86:H87"/>
    <mergeCell ref="C86:D87"/>
    <mergeCell ref="C80:H80"/>
    <mergeCell ref="C81:H81"/>
    <mergeCell ref="C83:H83"/>
    <mergeCell ref="C84:H84"/>
    <mergeCell ref="C82:H82"/>
    <mergeCell ref="D78:E78"/>
    <mergeCell ref="C92:D92"/>
    <mergeCell ref="C93:D93"/>
    <mergeCell ref="C94:D94"/>
    <mergeCell ref="C95:D95"/>
    <mergeCell ref="C96:D96"/>
    <mergeCell ref="C89:D89"/>
    <mergeCell ref="C90:D90"/>
    <mergeCell ref="C91:D91"/>
    <mergeCell ref="G96:H96"/>
    <mergeCell ref="E90:F90"/>
    <mergeCell ref="E91:F91"/>
    <mergeCell ref="E92:F92"/>
    <mergeCell ref="E93:F93"/>
    <mergeCell ref="E94:F94"/>
    <mergeCell ref="E95:F95"/>
    <mergeCell ref="E96:F96"/>
    <mergeCell ref="G92:H92"/>
    <mergeCell ref="G93:H93"/>
    <mergeCell ref="G94:H94"/>
    <mergeCell ref="G95:H95"/>
    <mergeCell ref="E89:F89"/>
    <mergeCell ref="G89:H89"/>
    <mergeCell ref="G90:H90"/>
    <mergeCell ref="G91:H91"/>
    <mergeCell ref="C115:D115"/>
    <mergeCell ref="C116:D116"/>
    <mergeCell ref="C98:E98"/>
    <mergeCell ref="C108:E108"/>
    <mergeCell ref="C100:H100"/>
    <mergeCell ref="E102:F103"/>
    <mergeCell ref="G102:H103"/>
    <mergeCell ref="E104:F104"/>
    <mergeCell ref="G104:H104"/>
    <mergeCell ref="E105:F105"/>
    <mergeCell ref="G105:H105"/>
    <mergeCell ref="E106:F106"/>
    <mergeCell ref="D127:E127"/>
    <mergeCell ref="D128:E128"/>
    <mergeCell ref="C131:C132"/>
    <mergeCell ref="D125:E126"/>
    <mergeCell ref="D131:E132"/>
    <mergeCell ref="C104:D104"/>
    <mergeCell ref="C105:D105"/>
    <mergeCell ref="C106:D106"/>
    <mergeCell ref="H125:H126"/>
    <mergeCell ref="C119:H119"/>
    <mergeCell ref="C125:C126"/>
    <mergeCell ref="D129:E129"/>
    <mergeCell ref="D130:E130"/>
    <mergeCell ref="F128:G128"/>
    <mergeCell ref="F129:G129"/>
    <mergeCell ref="F130:G130"/>
    <mergeCell ref="C110:H110"/>
    <mergeCell ref="C121:H121"/>
    <mergeCell ref="E116:F116"/>
    <mergeCell ref="G116:H116"/>
    <mergeCell ref="E117:F117"/>
    <mergeCell ref="G117:H117"/>
    <mergeCell ref="C112:D113"/>
    <mergeCell ref="C114:D114"/>
    <mergeCell ref="H140:H141"/>
    <mergeCell ref="D142:E142"/>
    <mergeCell ref="F142:G142"/>
    <mergeCell ref="D140:E141"/>
    <mergeCell ref="F140:G141"/>
    <mergeCell ref="K127:L128"/>
    <mergeCell ref="H131:H132"/>
    <mergeCell ref="D143:E143"/>
    <mergeCell ref="C88:D88"/>
    <mergeCell ref="E88:F88"/>
    <mergeCell ref="G88:H88"/>
    <mergeCell ref="G106:H106"/>
    <mergeCell ref="C102:D103"/>
    <mergeCell ref="F125:G126"/>
    <mergeCell ref="F131:G132"/>
    <mergeCell ref="F127:G127"/>
    <mergeCell ref="C117:D117"/>
    <mergeCell ref="E112:F113"/>
    <mergeCell ref="G112:H113"/>
    <mergeCell ref="E114:F114"/>
    <mergeCell ref="G114:H114"/>
    <mergeCell ref="E115:F115"/>
    <mergeCell ref="G115:H115"/>
    <mergeCell ref="F136:G136"/>
    <mergeCell ref="C140:C141"/>
    <mergeCell ref="F143:G143"/>
    <mergeCell ref="D144:E144"/>
    <mergeCell ref="F144:G144"/>
    <mergeCell ref="D133:E133"/>
    <mergeCell ref="D134:E134"/>
    <mergeCell ref="D135:E135"/>
    <mergeCell ref="D145:E145"/>
    <mergeCell ref="F145:G145"/>
    <mergeCell ref="D136:E136"/>
    <mergeCell ref="F133:G133"/>
    <mergeCell ref="F134:G134"/>
    <mergeCell ref="F135:G135"/>
    <mergeCell ref="D150:E150"/>
    <mergeCell ref="F150:G150"/>
    <mergeCell ref="D151:E151"/>
    <mergeCell ref="F151:G151"/>
    <mergeCell ref="C146:C147"/>
    <mergeCell ref="D146:E147"/>
    <mergeCell ref="F146:G147"/>
    <mergeCell ref="H146:H147"/>
    <mergeCell ref="D148:E148"/>
    <mergeCell ref="F148:G148"/>
    <mergeCell ref="D149:E149"/>
    <mergeCell ref="F149:G149"/>
  </mergeCells>
  <hyperlinks>
    <hyperlink ref="C1:J1" location="'spis treści'!A1" display="SPIS TREŚCI" xr:uid="{00000000-0004-0000-26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1.11.-1.15</oddFooter>
  </headerFooter>
  <rowBreaks count="1" manualBreakCount="1">
    <brk id="107" min="1" max="7"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19">
    <pageSetUpPr fitToPage="1"/>
  </sheetPr>
  <dimension ref="A1:O57"/>
  <sheetViews>
    <sheetView showGridLines="0" view="pageBreakPreview" zoomScaleNormal="100" zoomScaleSheetLayoutView="100" workbookViewId="0">
      <selection activeCell="C55" sqref="C55:I55"/>
    </sheetView>
  </sheetViews>
  <sheetFormatPr defaultColWidth="9.140625" defaultRowHeight="12.75"/>
  <cols>
    <col min="1" max="1" width="21.140625" style="164" bestFit="1" customWidth="1"/>
    <col min="2" max="2" width="6.140625" style="170" bestFit="1" customWidth="1"/>
    <col min="3" max="5" width="15.42578125" style="164" customWidth="1"/>
    <col min="6" max="6" width="4.5703125" style="164" customWidth="1"/>
    <col min="7" max="7" width="3.5703125" style="164" customWidth="1"/>
    <col min="8" max="9" width="18.7109375" style="164" customWidth="1"/>
    <col min="10" max="11" width="12.28515625" style="164" customWidth="1"/>
    <col min="12" max="16384" width="9.140625" style="164"/>
  </cols>
  <sheetData>
    <row r="1" spans="1:15">
      <c r="B1" s="894" t="s">
        <v>1257</v>
      </c>
      <c r="C1" s="894"/>
      <c r="D1" s="894"/>
      <c r="E1" s="894"/>
      <c r="F1" s="894"/>
      <c r="G1" s="894"/>
      <c r="H1" s="894"/>
      <c r="I1" s="894"/>
    </row>
    <row r="2" spans="1:15">
      <c r="B2" s="393" t="str">
        <f>nazwa_spolki</f>
        <v>Rhenus Digital Workforce Sp. z o.o.</v>
      </c>
      <c r="C2" s="409"/>
      <c r="D2" s="409"/>
      <c r="E2" s="409"/>
      <c r="F2" s="409"/>
      <c r="G2" s="409"/>
      <c r="H2" s="409"/>
      <c r="I2" s="409"/>
    </row>
    <row r="3" spans="1:15" ht="45.95" customHeight="1">
      <c r="B3" s="130" t="str">
        <f>tytul</f>
        <v>Sprawozdanie finansowe sporządzone za rok obrotowy 2024</v>
      </c>
      <c r="C3" s="409"/>
      <c r="D3" s="409"/>
      <c r="E3" s="409"/>
      <c r="F3" s="409"/>
      <c r="G3" s="409"/>
      <c r="H3" s="409"/>
      <c r="I3" s="409"/>
    </row>
    <row r="4" spans="1:15" s="159" customFormat="1" ht="20.25">
      <c r="B4" s="800" t="str">
        <f>"1.16 - 1.19 "&amp;CHOOSE(jezyk,n!A613,n!B613,n!C613,n!D611)</f>
        <v>1.16 - 1.19 DODATKOWE INFORMACJE I OBJAŚNIENIA</v>
      </c>
      <c r="C4" s="800"/>
      <c r="D4" s="800"/>
      <c r="E4" s="800"/>
      <c r="F4" s="800"/>
      <c r="G4" s="800"/>
      <c r="H4" s="800"/>
      <c r="I4" s="800"/>
      <c r="J4" s="160"/>
      <c r="K4" s="160"/>
      <c r="L4" s="160"/>
      <c r="N4" s="160"/>
    </row>
    <row r="5" spans="1:15" s="159" customFormat="1" ht="23.25" customHeight="1">
      <c r="B5" s="161"/>
      <c r="C5" s="368"/>
      <c r="D5" s="368"/>
      <c r="E5" s="368"/>
      <c r="F5" s="368"/>
      <c r="G5" s="368"/>
      <c r="H5" s="368"/>
      <c r="I5" s="368"/>
      <c r="J5" s="368"/>
      <c r="K5" s="368"/>
      <c r="L5" s="368"/>
    </row>
    <row r="6" spans="1:15" s="159" customFormat="1" ht="38.25" customHeight="1">
      <c r="A6" s="72"/>
      <c r="B6" s="111" t="s">
        <v>2115</v>
      </c>
      <c r="C6" s="762" t="str">
        <f>CHOOSE(jezyk,n!A832,n!B832,n!C832,n!D830)</f>
        <v>Łączna kwota zobowiązań warunkowych, w tym również udzielonych przez jednostkę gwarancji i poręczeń, także wekslowych, niewykazanych w bilansie, ze wskazaniem zobowiązań zabezpieczonych na majątku jednostki oraz charakteru i formy tych zabezpieczeń</v>
      </c>
      <c r="D6" s="762"/>
      <c r="E6" s="762"/>
      <c r="F6" s="762"/>
      <c r="G6" s="762"/>
      <c r="H6" s="762"/>
      <c r="I6" s="762"/>
      <c r="J6" s="66"/>
      <c r="K6" s="368"/>
      <c r="L6" s="368"/>
    </row>
    <row r="7" spans="1:15">
      <c r="B7" s="111"/>
      <c r="C7" s="762"/>
      <c r="D7" s="762"/>
      <c r="E7" s="762"/>
      <c r="F7" s="762"/>
      <c r="G7" s="762"/>
      <c r="H7" s="762"/>
      <c r="I7" s="762"/>
      <c r="J7" s="66"/>
    </row>
    <row r="8" spans="1:15">
      <c r="B8" s="111"/>
      <c r="C8" s="747" t="str">
        <f>IF(GA!F67="nie",CHOOSE(jezyk,n!A833,n!B833,n!C833,n!D831),CHOOSE(jezyk,n!A834,n!B834,n!C834,n!D834))</f>
        <v>Spółka na dzień bilansowy nie posiada zobowiązań warunkowych.</v>
      </c>
      <c r="D8" s="747"/>
      <c r="E8" s="747"/>
      <c r="F8" s="747"/>
      <c r="G8" s="747"/>
      <c r="H8" s="747"/>
      <c r="I8" s="747"/>
      <c r="J8" s="131" t="s">
        <v>2186</v>
      </c>
    </row>
    <row r="9" spans="1:15" ht="12.75" hidden="1" customHeight="1">
      <c r="B9" s="111"/>
      <c r="C9" s="162"/>
      <c r="D9" s="66"/>
      <c r="E9" s="66"/>
      <c r="F9" s="66"/>
      <c r="G9" s="66"/>
      <c r="H9" s="66"/>
      <c r="I9" s="66"/>
      <c r="J9" s="66"/>
    </row>
    <row r="10" spans="1:15" ht="12.75" hidden="1" customHeight="1">
      <c r="B10" s="72"/>
      <c r="C10" s="151"/>
      <c r="D10" s="66"/>
      <c r="E10" s="66"/>
      <c r="H10" s="163" t="str">
        <f>dzb</f>
        <v>31.12.2024</v>
      </c>
      <c r="I10" s="163" t="str">
        <f>pdz</f>
        <v>31.12.2023</v>
      </c>
      <c r="J10" s="66"/>
    </row>
    <row r="11" spans="1:15" hidden="1">
      <c r="B11" s="72"/>
      <c r="C11" s="906" t="str">
        <f>CHOOSE(jezyk,n!A1599,n!B1599,n!C1599,n!D1592)</f>
        <v>Zobowiązania warunkowe wobec jednostek powiązanych:</v>
      </c>
      <c r="D11" s="907"/>
      <c r="E11" s="907"/>
      <c r="F11" s="907"/>
      <c r="G11" s="908"/>
      <c r="H11" s="404">
        <f>SUM(H12:H15)</f>
        <v>0</v>
      </c>
      <c r="I11" s="404">
        <f>SUM(I12:I15)</f>
        <v>0</v>
      </c>
      <c r="J11" s="66"/>
    </row>
    <row r="12" spans="1:15" hidden="1">
      <c r="B12" s="72"/>
      <c r="C12" s="847"/>
      <c r="D12" s="848"/>
      <c r="E12" s="848"/>
      <c r="F12" s="848"/>
      <c r="G12" s="849"/>
      <c r="H12" s="405"/>
      <c r="I12" s="405"/>
      <c r="J12" s="66"/>
      <c r="L12" s="917"/>
      <c r="M12" s="917"/>
      <c r="N12" s="917"/>
      <c r="O12" s="917"/>
    </row>
    <row r="13" spans="1:15" hidden="1">
      <c r="B13" s="72"/>
      <c r="C13" s="920"/>
      <c r="D13" s="921"/>
      <c r="E13" s="921"/>
      <c r="F13" s="921"/>
      <c r="G13" s="922"/>
      <c r="H13" s="165"/>
      <c r="I13" s="165"/>
      <c r="J13" s="66"/>
    </row>
    <row r="14" spans="1:15" ht="27" hidden="1" customHeight="1">
      <c r="B14" s="72"/>
      <c r="C14" s="918" t="str">
        <f>CHOOSE(jezyk,n!A1606,n!B1606,n!C1606,n!D1602)</f>
        <v>w tym: dotyczące zobowiązań warunkowych w zakresie emerytur i podobnych świadczeń:</v>
      </c>
      <c r="D14" s="919"/>
      <c r="E14" s="919"/>
      <c r="F14" s="919"/>
      <c r="G14" s="919"/>
      <c r="H14" s="166"/>
      <c r="I14" s="167"/>
      <c r="J14" s="66"/>
    </row>
    <row r="15" spans="1:15" hidden="1">
      <c r="B15" s="72"/>
      <c r="C15" s="920"/>
      <c r="D15" s="921"/>
      <c r="E15" s="921"/>
      <c r="F15" s="921"/>
      <c r="G15" s="922"/>
      <c r="H15" s="168"/>
      <c r="I15" s="168"/>
      <c r="J15" s="66"/>
    </row>
    <row r="16" spans="1:15" ht="27" hidden="1" customHeight="1">
      <c r="B16" s="72"/>
      <c r="C16" s="903" t="str">
        <f>CHOOSE(jezyk,n!A1605,n!B1605,n!C1605,n!D1601)</f>
        <v>Zobowiązania warunkowe wobec pozostałych jednostek, w których jednostka posiada zaangażowanie w kapitale:</v>
      </c>
      <c r="D16" s="904"/>
      <c r="E16" s="904"/>
      <c r="F16" s="904"/>
      <c r="G16" s="905"/>
      <c r="H16" s="404">
        <f>SUM(H17:H20)</f>
        <v>0</v>
      </c>
      <c r="I16" s="404">
        <f>SUM(I17:I20)</f>
        <v>0</v>
      </c>
      <c r="J16" s="66"/>
    </row>
    <row r="17" spans="1:10" s="169" customFormat="1" hidden="1">
      <c r="A17" s="277"/>
      <c r="B17" s="72"/>
      <c r="C17" s="909"/>
      <c r="D17" s="910"/>
      <c r="E17" s="910"/>
      <c r="F17" s="910"/>
      <c r="G17" s="911"/>
      <c r="H17" s="405"/>
      <c r="I17" s="405"/>
      <c r="J17" s="66"/>
    </row>
    <row r="18" spans="1:10" hidden="1">
      <c r="B18" s="72"/>
      <c r="C18" s="912"/>
      <c r="D18" s="913"/>
      <c r="E18" s="913"/>
      <c r="F18" s="913"/>
      <c r="G18" s="914"/>
      <c r="H18" s="165"/>
      <c r="I18" s="165"/>
      <c r="J18" s="66"/>
    </row>
    <row r="19" spans="1:10" ht="29.25" hidden="1" customHeight="1">
      <c r="B19" s="72"/>
      <c r="C19" s="918" t="str">
        <f>CHOOSE(jezyk,n!A1606,n!B1606,n!C1606,n!D1602)</f>
        <v>w tym: dotyczące zobowiązań warunkowych w zakresie emerytur i podobnych świadczeń:</v>
      </c>
      <c r="D19" s="919"/>
      <c r="E19" s="919"/>
      <c r="F19" s="919"/>
      <c r="G19" s="919"/>
      <c r="H19" s="166"/>
      <c r="I19" s="167"/>
      <c r="J19" s="66"/>
    </row>
    <row r="20" spans="1:10" hidden="1">
      <c r="B20" s="72"/>
      <c r="C20" s="912"/>
      <c r="D20" s="913"/>
      <c r="E20" s="913"/>
      <c r="F20" s="913"/>
      <c r="G20" s="914"/>
      <c r="H20" s="168"/>
      <c r="I20" s="168"/>
      <c r="J20" s="66"/>
    </row>
    <row r="21" spans="1:10" hidden="1">
      <c r="B21" s="72"/>
      <c r="C21" s="906" t="str">
        <f>CHOOSE(jezyk,n!A1607,n!B1607,n!C1607,n!D1603)</f>
        <v>Zobowiązania warunkowe wobec jednostek pozostałych:</v>
      </c>
      <c r="D21" s="907"/>
      <c r="E21" s="907"/>
      <c r="F21" s="907"/>
      <c r="G21" s="908"/>
      <c r="H21" s="404">
        <f>SUM(H22:H25)</f>
        <v>0</v>
      </c>
      <c r="I21" s="404">
        <f>SUM(I22:I25)</f>
        <v>0</v>
      </c>
      <c r="J21" s="66"/>
    </row>
    <row r="22" spans="1:10" hidden="1">
      <c r="C22" s="909"/>
      <c r="D22" s="910"/>
      <c r="E22" s="910"/>
      <c r="F22" s="910"/>
      <c r="G22" s="911"/>
      <c r="H22" s="405"/>
      <c r="I22" s="405"/>
    </row>
    <row r="23" spans="1:10" hidden="1">
      <c r="C23" s="909"/>
      <c r="D23" s="910"/>
      <c r="E23" s="910"/>
      <c r="F23" s="910"/>
      <c r="G23" s="911"/>
      <c r="H23" s="165"/>
      <c r="I23" s="165"/>
    </row>
    <row r="24" spans="1:10" ht="27.75" hidden="1" customHeight="1">
      <c r="C24" s="915" t="str">
        <f>CHOOSE(jezyk,n!A1606,n!B1606,n!C1606,n!D1602)</f>
        <v>w tym: dotyczące zobowiązań warunkowych w zakresie emerytur i podobnych świadczeń:</v>
      </c>
      <c r="D24" s="916"/>
      <c r="E24" s="916"/>
      <c r="F24" s="916"/>
      <c r="G24" s="916"/>
      <c r="H24" s="166"/>
      <c r="I24" s="167"/>
    </row>
    <row r="25" spans="1:10" hidden="1">
      <c r="B25" s="171"/>
      <c r="C25" s="912"/>
      <c r="D25" s="913"/>
      <c r="E25" s="913"/>
      <c r="F25" s="913"/>
      <c r="G25" s="914"/>
      <c r="H25" s="168"/>
      <c r="I25" s="168"/>
    </row>
    <row r="26" spans="1:10" hidden="1">
      <c r="C26" s="821" t="str">
        <f>CHOOSE(jezyk,n!A1608,n!B1608,n!C1608,n!D1604)</f>
        <v>Ogółem</v>
      </c>
      <c r="D26" s="822"/>
      <c r="E26" s="822"/>
      <c r="F26" s="822"/>
      <c r="G26" s="823"/>
      <c r="H26" s="404">
        <f>H21+H11</f>
        <v>0</v>
      </c>
      <c r="I26" s="404">
        <f>I21+I11</f>
        <v>0</v>
      </c>
    </row>
    <row r="28" spans="1:10" ht="12.75" customHeight="1">
      <c r="B28" s="111" t="s">
        <v>2125</v>
      </c>
      <c r="C28" s="854" t="str">
        <f>CHOOSE(jezyk,n!A835,n!B835,n!C835,n!D832)</f>
        <v>Aktywa niebędące instrumentami finansowymi, wyceniane wg wartości godziwej</v>
      </c>
      <c r="D28" s="854"/>
      <c r="E28" s="854"/>
      <c r="F28" s="854"/>
      <c r="G28" s="854"/>
      <c r="H28" s="854"/>
      <c r="I28" s="854"/>
    </row>
    <row r="29" spans="1:10" ht="12.75" customHeight="1">
      <c r="B29" s="111"/>
      <c r="C29" s="410"/>
      <c r="D29" s="410"/>
      <c r="E29" s="410"/>
      <c r="F29" s="410"/>
      <c r="G29" s="410"/>
      <c r="H29" s="410"/>
      <c r="I29" s="410"/>
    </row>
    <row r="30" spans="1:10">
      <c r="C30" s="805" t="str">
        <f>CHOOSE(jezyk,n!A643,n!B643,n!C643,n!D641)</f>
        <v>Pozycja nie wystąpiła zarówno w roku obrotowym 2024, jak i w roku poprzednim.</v>
      </c>
      <c r="D30" s="805"/>
      <c r="E30" s="805"/>
      <c r="F30" s="805"/>
      <c r="G30" s="805"/>
      <c r="H30" s="805"/>
      <c r="I30" s="805"/>
      <c r="J30" s="131" t="s">
        <v>2186</v>
      </c>
    </row>
    <row r="31" spans="1:10">
      <c r="C31" s="172"/>
      <c r="D31" s="172"/>
      <c r="E31" s="172"/>
      <c r="F31" s="172"/>
      <c r="G31" s="172"/>
    </row>
    <row r="32" spans="1:10" ht="43.5" customHeight="1">
      <c r="B32" s="624" t="s">
        <v>6500</v>
      </c>
      <c r="C32" s="901" t="str">
        <f>CHOOSE(jezyk,n!A836,n!B836,n!C836,n!D836)</f>
        <v>Informacje o dochodach z tytułu ukrytych zysków w rozumieniu art. 28m ust. 1 pkt 2 ustawy z dnia 15.02.1992 r. o podatku dochodowym od osób prawnych - w przypadku spółek opodatkowanych ryczałtem od dochodów spółek</v>
      </c>
      <c r="D32" s="901"/>
      <c r="E32" s="901"/>
      <c r="F32" s="901"/>
      <c r="G32" s="901"/>
      <c r="H32" s="901"/>
      <c r="I32" s="901"/>
      <c r="J32" s="629"/>
    </row>
    <row r="33" spans="1:9">
      <c r="C33" s="172"/>
      <c r="D33" s="172"/>
      <c r="E33" s="172"/>
      <c r="F33" s="172"/>
      <c r="G33" s="172"/>
    </row>
    <row r="34" spans="1:9">
      <c r="C34" s="741" t="str">
        <f>CHOOSE(jezyk,n!A1131,n!B1131,n!C1131,n!D1129)</f>
        <v>Nie dotyczy</v>
      </c>
      <c r="D34" s="741"/>
      <c r="E34" s="741"/>
      <c r="F34" s="741"/>
      <c r="G34" s="741"/>
      <c r="H34" s="741"/>
      <c r="I34" s="741"/>
    </row>
    <row r="35" spans="1:9" hidden="1">
      <c r="C35" s="172"/>
      <c r="D35" s="172"/>
      <c r="E35" s="172"/>
      <c r="F35" s="172"/>
      <c r="G35" s="172"/>
    </row>
    <row r="36" spans="1:9" hidden="1">
      <c r="C36" s="172"/>
      <c r="D36" s="172"/>
      <c r="E36" s="172"/>
      <c r="F36" s="172"/>
      <c r="G36" s="172"/>
      <c r="H36" s="623" t="str">
        <f>dzb</f>
        <v>31.12.2024</v>
      </c>
      <c r="I36" s="622" t="str">
        <f>pdz</f>
        <v>31.12.2023</v>
      </c>
    </row>
    <row r="37" spans="1:9" ht="39" hidden="1" customHeight="1">
      <c r="A37" s="170"/>
      <c r="C37" s="897" t="str">
        <f>IF(GA!H16=2,CHOOSE(jezyk,n!A838,n!B838,n!C838,n!D838),CHOOSE(jezyk,n!A837,n!B837,n!C837,n!D837))</f>
        <v>Kwota pożyczki (kredytu) udzielonej udziałowcowi lub podmiotowi powiązanemu z udziałowcem oraz odsetki, prowizje, wynagrodzenia i opłaty od pożyczki (kredytu) udzielonej przez te podmioty</v>
      </c>
      <c r="D37" s="898"/>
      <c r="E37" s="898"/>
      <c r="F37" s="898"/>
      <c r="G37" s="899"/>
      <c r="H37" s="405"/>
      <c r="I37" s="405"/>
    </row>
    <row r="38" spans="1:9" s="370" customFormat="1" ht="15" hidden="1" customHeight="1">
      <c r="C38" s="876" t="str">
        <f>CHOOSE(jezyk,n!A839,n!B839,n!C839,n!D839)</f>
        <v>Świadczenia wykonane na rzecz:</v>
      </c>
      <c r="D38" s="900"/>
      <c r="E38" s="900"/>
      <c r="F38" s="900"/>
      <c r="G38" s="877"/>
      <c r="H38" s="404">
        <f>H39+H40</f>
        <v>0</v>
      </c>
      <c r="I38" s="404">
        <f>I39+I40</f>
        <v>0</v>
      </c>
    </row>
    <row r="39" spans="1:9" ht="38.25" hidden="1" customHeight="1">
      <c r="A39" s="170"/>
      <c r="C39" s="897" t="str">
        <f>CHOOSE(jezyk,n!A840,n!B840,n!C840,n!D840)</f>
        <v xml:space="preserve">   fundacji prywatnej lub rodzinnej, podmiotu równoważnego takiej 
   fundacji lub przedsiębiorstwa prowadzonego przez taką fundację 
   albo taki podmiot, lub na rzecz ich beneficjentów</v>
      </c>
      <c r="D39" s="898"/>
      <c r="E39" s="898"/>
      <c r="F39" s="898"/>
      <c r="G39" s="899"/>
      <c r="H39" s="405"/>
      <c r="I39" s="405"/>
    </row>
    <row r="40" spans="1:9" ht="25.5" hidden="1" customHeight="1">
      <c r="C40" s="897" t="str">
        <f>CHOOSE(jezyk,n!A841,n!B841,n!C841,n!D841)</f>
        <v xml:space="preserve">   trustu lub innego podmiotu albo stosunku prawnego o charakterze powierniczym</v>
      </c>
      <c r="D40" s="898"/>
      <c r="E40" s="898"/>
      <c r="F40" s="898"/>
      <c r="G40" s="899"/>
      <c r="H40" s="405"/>
      <c r="I40" s="405"/>
    </row>
    <row r="41" spans="1:9" ht="25.5" hidden="1" customHeight="1">
      <c r="A41" s="170"/>
      <c r="C41" s="897" t="str">
        <f>CHOOSE(jezyk,n!A842,n!B842,n!C842,n!D842)</f>
        <v>Nadwyżka wartości rynkowej transakcji określonej zgodnie z art. 11c ponad ustaloną cenę tej transakcji</v>
      </c>
      <c r="D41" s="898"/>
      <c r="E41" s="898"/>
      <c r="F41" s="898"/>
      <c r="G41" s="899"/>
      <c r="H41" s="405"/>
      <c r="I41" s="405"/>
    </row>
    <row r="42" spans="1:9" ht="25.5" hidden="1" customHeight="1">
      <c r="A42" s="170"/>
      <c r="C42" s="897" t="str">
        <f>CHOOSE(jezyk,n!A843,n!B843,n!C843,n!D843)</f>
        <v>Nadwyżka zwróconej kwoty dopłaty, wniesionej do spółki zgodnie z odrębnymi przepisami, ponad kwotę wniesionej dopłaty</v>
      </c>
      <c r="D42" s="898"/>
      <c r="E42" s="898"/>
      <c r="F42" s="898"/>
      <c r="G42" s="899"/>
      <c r="H42" s="405"/>
      <c r="I42" s="405"/>
    </row>
    <row r="43" spans="1:9" ht="25.5" hidden="1" customHeight="1">
      <c r="C43" s="897" t="str">
        <f>IF(GA!H16=2,CHOOSE(jezyk,n!A845,n!B845,n!C845,n!D845),CHOOSE(jezyk,n!A844,n!B844,n!C844,n!D844))</f>
        <v>Wypłacone z zysku wynagrodzenie z tytułu umorzenia udziałów lub ze zmniejszenia ich wartości</v>
      </c>
      <c r="D43" s="898"/>
      <c r="E43" s="898"/>
      <c r="F43" s="898"/>
      <c r="G43" s="899"/>
      <c r="H43" s="405"/>
      <c r="I43" s="405"/>
    </row>
    <row r="44" spans="1:9" ht="25.5" hidden="1" customHeight="1">
      <c r="C44" s="897" t="str">
        <f>CHOOSE(jezyk,n!A846,n!B846,n!C846,n!D846)</f>
        <v>Równowartość zysku przeznaczonego na podwyższenie kapitału zakładowego</v>
      </c>
      <c r="D44" s="898"/>
      <c r="E44" s="898"/>
      <c r="F44" s="898"/>
      <c r="G44" s="899"/>
      <c r="H44" s="405"/>
      <c r="I44" s="405"/>
    </row>
    <row r="45" spans="1:9" s="370" customFormat="1" ht="20.100000000000001" hidden="1" customHeight="1">
      <c r="C45" s="876" t="str">
        <f>CHOOSE(jezyk,n!A847,n!B847,n!C847,n!D847)</f>
        <v>Darowizny, w tym prezenty i ofiary wszelkiego rodzaju</v>
      </c>
      <c r="D45" s="900"/>
      <c r="E45" s="900"/>
      <c r="F45" s="900"/>
      <c r="G45" s="877"/>
      <c r="H45" s="405"/>
      <c r="I45" s="405"/>
    </row>
    <row r="46" spans="1:9" s="370" customFormat="1" ht="20.100000000000001" hidden="1" customHeight="1">
      <c r="C46" s="876" t="str">
        <f>CHOOSE(jezyk,n!A848,n!B848,n!C848,n!D848)</f>
        <v>Wydatki na reprezentację</v>
      </c>
      <c r="D46" s="900"/>
      <c r="E46" s="900"/>
      <c r="F46" s="900"/>
      <c r="G46" s="877"/>
      <c r="H46" s="405"/>
      <c r="I46" s="405"/>
    </row>
    <row r="47" spans="1:9">
      <c r="C47" s="172"/>
      <c r="D47" s="172"/>
      <c r="E47" s="172"/>
      <c r="F47" s="172"/>
      <c r="G47" s="172"/>
    </row>
    <row r="48" spans="1:9" ht="24.75" customHeight="1">
      <c r="B48" s="173" t="s">
        <v>2456</v>
      </c>
      <c r="C48" s="854" t="str">
        <f>CHOOSE(jezyk,n!A849,n!B849,n!C849,n!D833)</f>
        <v>Środki pieniężne zgromadzone na rachunku VAT, o którym mowa w art. 62a ust.1 ustawy z dn. 29.08.1997 - Prawo bankowe</v>
      </c>
      <c r="D48" s="854"/>
      <c r="E48" s="854"/>
      <c r="F48" s="854"/>
      <c r="G48" s="854"/>
      <c r="H48" s="854"/>
      <c r="I48" s="854"/>
    </row>
    <row r="49" spans="1:10">
      <c r="B49" s="173"/>
      <c r="C49" s="854"/>
      <c r="D49" s="854"/>
      <c r="E49" s="854"/>
      <c r="F49" s="854"/>
      <c r="G49" s="854"/>
      <c r="H49" s="854"/>
      <c r="I49" s="854"/>
    </row>
    <row r="50" spans="1:10" ht="12.75" hidden="1" customHeight="1">
      <c r="A50" s="170"/>
      <c r="C50" s="741" t="str">
        <f>CHOOSE(jezyk,n!A850,n!B850,n!C850,n!D835)</f>
        <v>Spółka nie posiada na dzień bilansowy środków pieniężnych zgromadzonych na rachunku VAT.</v>
      </c>
      <c r="D50" s="741"/>
      <c r="E50" s="741"/>
      <c r="F50" s="741"/>
      <c r="G50" s="741"/>
      <c r="H50" s="741"/>
      <c r="I50" s="741"/>
      <c r="J50" s="131" t="s">
        <v>2186</v>
      </c>
    </row>
    <row r="51" spans="1:10" s="174" customFormat="1" hidden="1">
      <c r="B51" s="175"/>
      <c r="C51" s="176"/>
      <c r="D51" s="176"/>
      <c r="E51" s="176"/>
      <c r="F51" s="176"/>
      <c r="G51" s="176"/>
      <c r="H51" s="176"/>
      <c r="I51" s="176"/>
      <c r="J51" s="177"/>
    </row>
    <row r="52" spans="1:10">
      <c r="C52" s="151"/>
      <c r="D52" s="66"/>
      <c r="E52" s="66"/>
      <c r="H52" s="163" t="str">
        <f>dzb</f>
        <v>31.12.2024</v>
      </c>
      <c r="I52" s="163" t="str">
        <f>pdz</f>
        <v>31.12.2023</v>
      </c>
    </row>
    <row r="53" spans="1:10" ht="24" customHeight="1">
      <c r="C53" s="903" t="str">
        <f>CHOOSE(jezyk,n!A852,n!B852,n!C852,n!D849)</f>
        <v>Stan środków pieniężnych zgromadzonych na rachunku VAT</v>
      </c>
      <c r="D53" s="904"/>
      <c r="E53" s="904"/>
      <c r="F53" s="904"/>
      <c r="G53" s="905"/>
      <c r="H53" s="729">
        <v>9050.15</v>
      </c>
      <c r="I53" s="729">
        <v>0</v>
      </c>
    </row>
    <row r="54" spans="1:10">
      <c r="C54" s="902"/>
      <c r="D54" s="902"/>
      <c r="E54" s="902"/>
      <c r="F54" s="902"/>
      <c r="G54" s="902"/>
    </row>
    <row r="55" spans="1:10" ht="28.5" customHeight="1">
      <c r="A55" s="170"/>
      <c r="B55" s="178" t="s">
        <v>5481</v>
      </c>
      <c r="C55" s="854" t="str">
        <f>CHOOSE(jezyk,n!A853,n!B853,n!C853,n!D850)</f>
        <v>Liczba akcji obejmowanych przez akcjonariuszy w prostej spółce akcyjnej w zamian za wkłady niepieniężne, których przedmiotem jest prawo niezbywalne lub swiadczenie pracy, lub usług.</v>
      </c>
      <c r="D55" s="854"/>
      <c r="E55" s="854"/>
      <c r="F55" s="854"/>
      <c r="G55" s="854"/>
      <c r="H55" s="854"/>
      <c r="I55" s="854"/>
    </row>
    <row r="56" spans="1:10">
      <c r="B56" s="173"/>
      <c r="C56" s="179"/>
      <c r="D56" s="179"/>
      <c r="E56" s="179"/>
      <c r="F56" s="179"/>
      <c r="G56" s="179"/>
      <c r="H56" s="179"/>
      <c r="I56" s="179"/>
    </row>
    <row r="57" spans="1:10">
      <c r="C57" s="741" t="str">
        <f>CHOOSE(jezyk,n!A1131,n!B1131,n!C1131,n!D1129)</f>
        <v>Nie dotyczy</v>
      </c>
      <c r="D57" s="741"/>
      <c r="E57" s="741"/>
      <c r="F57" s="741"/>
      <c r="G57" s="741"/>
      <c r="H57" s="741"/>
      <c r="I57" s="741"/>
    </row>
  </sheetData>
  <mergeCells count="43">
    <mergeCell ref="B1:I1"/>
    <mergeCell ref="L12:O12"/>
    <mergeCell ref="B4:I4"/>
    <mergeCell ref="C6:I6"/>
    <mergeCell ref="C25:G25"/>
    <mergeCell ref="C11:G11"/>
    <mergeCell ref="C14:G14"/>
    <mergeCell ref="C13:G13"/>
    <mergeCell ref="C12:G12"/>
    <mergeCell ref="C15:G15"/>
    <mergeCell ref="C16:G16"/>
    <mergeCell ref="C17:G17"/>
    <mergeCell ref="C23:G23"/>
    <mergeCell ref="C8:I8"/>
    <mergeCell ref="C19:G19"/>
    <mergeCell ref="C20:G20"/>
    <mergeCell ref="C7:I7"/>
    <mergeCell ref="C49:I49"/>
    <mergeCell ref="C55:I55"/>
    <mergeCell ref="C57:I57"/>
    <mergeCell ref="C54:G54"/>
    <mergeCell ref="C53:G53"/>
    <mergeCell ref="C48:I48"/>
    <mergeCell ref="C50:I50"/>
    <mergeCell ref="C21:G21"/>
    <mergeCell ref="C22:G22"/>
    <mergeCell ref="C18:G18"/>
    <mergeCell ref="C24:G24"/>
    <mergeCell ref="C28:I28"/>
    <mergeCell ref="C30:I30"/>
    <mergeCell ref="C26:G26"/>
    <mergeCell ref="C46:G46"/>
    <mergeCell ref="C32:I32"/>
    <mergeCell ref="C37:G37"/>
    <mergeCell ref="C38:G38"/>
    <mergeCell ref="C39:G39"/>
    <mergeCell ref="C40:G40"/>
    <mergeCell ref="C34:I34"/>
    <mergeCell ref="C41:G41"/>
    <mergeCell ref="C42:G42"/>
    <mergeCell ref="C43:G43"/>
    <mergeCell ref="C44:G44"/>
    <mergeCell ref="C45:G45"/>
  </mergeCells>
  <phoneticPr fontId="0" type="noConversion"/>
  <hyperlinks>
    <hyperlink ref="B1:I1" location="'spis treści'!A1" display="SPIS TREŚCI" xr:uid="{00000000-0004-0000-2700-000000000000}"/>
  </hyperlinks>
  <printOptions horizontalCentered="1"/>
  <pageMargins left="0.39370078740157483" right="0.39370078740157483" top="0.35433070866141736" bottom="0.98425196850393704" header="0.27559055118110237" footer="0.27559055118110237"/>
  <pageSetup fitToHeight="0" orientation="portrait" blackAndWhite="1" r:id="rId1"/>
  <headerFooter>
    <oddFooter>&amp;Lnota 1.16.-1.19</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23">
    <pageSetUpPr fitToPage="1"/>
  </sheetPr>
  <dimension ref="A1:P395"/>
  <sheetViews>
    <sheetView showGridLines="0" view="pageBreakPreview" topLeftCell="A302" zoomScaleNormal="100" zoomScaleSheetLayoutView="100" workbookViewId="0">
      <selection activeCell="C352" sqref="C352:K352"/>
    </sheetView>
  </sheetViews>
  <sheetFormatPr defaultColWidth="9.140625" defaultRowHeight="12.75"/>
  <cols>
    <col min="1" max="1" width="21.140625" style="106" bestFit="1" customWidth="1"/>
    <col min="2" max="2" width="4.42578125" style="72" customWidth="1"/>
    <col min="3" max="3" width="9.7109375" style="66" bestFit="1" customWidth="1"/>
    <col min="4" max="4" width="9.140625" style="66" customWidth="1"/>
    <col min="5" max="5" width="8.28515625" style="66" customWidth="1"/>
    <col min="6" max="6" width="9.140625" style="66"/>
    <col min="7" max="7" width="9.85546875" style="66" customWidth="1"/>
    <col min="8" max="8" width="8.140625" style="66" customWidth="1"/>
    <col min="9" max="9" width="13.42578125" style="66" customWidth="1"/>
    <col min="10" max="10" width="12.85546875" style="66" customWidth="1"/>
    <col min="11" max="11" width="16.28515625" style="66" customWidth="1"/>
    <col min="12" max="12" width="13" style="66" customWidth="1"/>
    <col min="13" max="13" width="16" style="66" customWidth="1"/>
    <col min="14" max="14" width="9.140625" style="66"/>
    <col min="15" max="15" width="10.140625" style="66" bestFit="1" customWidth="1"/>
    <col min="16" max="16384" width="9.140625" style="66"/>
  </cols>
  <sheetData>
    <row r="1" spans="1:12">
      <c r="B1" s="773" t="s">
        <v>1257</v>
      </c>
      <c r="C1" s="773"/>
      <c r="D1" s="773"/>
      <c r="E1" s="773"/>
      <c r="F1" s="773"/>
      <c r="G1" s="773"/>
      <c r="H1" s="773"/>
      <c r="I1" s="773"/>
      <c r="J1" s="773"/>
      <c r="K1" s="773"/>
    </row>
    <row r="2" spans="1:12">
      <c r="B2" s="393" t="str">
        <f>nazwa_spolki</f>
        <v>Rhenus Digital Workforce Sp. z o.o.</v>
      </c>
      <c r="C2" s="397"/>
      <c r="D2" s="397"/>
      <c r="E2" s="397"/>
      <c r="F2" s="397"/>
      <c r="G2" s="397"/>
      <c r="H2" s="397"/>
      <c r="I2" s="397"/>
      <c r="J2" s="397"/>
      <c r="K2" s="397"/>
    </row>
    <row r="3" spans="1:12" ht="45.95" customHeight="1">
      <c r="B3" s="130" t="str">
        <f>tytul</f>
        <v>Sprawozdanie finansowe sporządzone za rok obrotowy 2024</v>
      </c>
      <c r="C3" s="397"/>
      <c r="D3" s="397"/>
      <c r="E3" s="397"/>
      <c r="F3" s="397"/>
      <c r="G3" s="397"/>
      <c r="H3" s="397"/>
      <c r="I3" s="397"/>
      <c r="J3" s="397"/>
      <c r="K3" s="397"/>
    </row>
    <row r="4" spans="1:12" s="180" customFormat="1" ht="20.25">
      <c r="A4" s="276"/>
      <c r="B4" s="800" t="str">
        <f>"2. "&amp;CHOOSE(jezyk,n!A613,n!B613,n!C613,n!D611)</f>
        <v>2. DODATKOWE INFORMACJE I OBJAŚNIENIA</v>
      </c>
      <c r="C4" s="800"/>
      <c r="D4" s="800"/>
      <c r="E4" s="800"/>
      <c r="F4" s="800"/>
      <c r="G4" s="800"/>
      <c r="H4" s="800"/>
      <c r="I4" s="800"/>
      <c r="J4" s="800"/>
      <c r="K4" s="800"/>
    </row>
    <row r="6" spans="1:12">
      <c r="A6" s="753"/>
      <c r="B6" s="111" t="s">
        <v>966</v>
      </c>
      <c r="C6" s="762" t="str">
        <f>CHOOSE(jezyk,n!A855,n!B855,n!C855,n!D853)</f>
        <v>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v>
      </c>
      <c r="D6" s="762"/>
      <c r="E6" s="762"/>
      <c r="F6" s="762"/>
      <c r="G6" s="762"/>
      <c r="H6" s="762"/>
      <c r="I6" s="762"/>
      <c r="J6" s="762"/>
      <c r="K6" s="762"/>
    </row>
    <row r="7" spans="1:12">
      <c r="A7" s="753"/>
      <c r="B7" s="111"/>
      <c r="C7" s="762"/>
      <c r="D7" s="762"/>
      <c r="E7" s="762"/>
      <c r="F7" s="762"/>
      <c r="G7" s="762"/>
      <c r="H7" s="762"/>
      <c r="I7" s="762"/>
      <c r="J7" s="762"/>
      <c r="K7" s="762"/>
    </row>
    <row r="8" spans="1:12">
      <c r="A8" s="753"/>
      <c r="B8" s="111"/>
      <c r="C8" s="762"/>
      <c r="D8" s="762"/>
      <c r="E8" s="762"/>
      <c r="F8" s="762"/>
      <c r="G8" s="762"/>
      <c r="H8" s="762"/>
      <c r="I8" s="762"/>
      <c r="J8" s="762"/>
      <c r="K8" s="762"/>
    </row>
    <row r="9" spans="1:12" ht="11.25" customHeight="1"/>
    <row r="10" spans="1:12" s="151" customFormat="1" ht="15" customHeight="1">
      <c r="A10" s="252"/>
      <c r="C10" s="976" t="str">
        <f>CHOOSE(jezyk,n!A616,n!B616,n!C616,n!D614)</f>
        <v>Rok obrotowy 2024</v>
      </c>
      <c r="D10" s="976"/>
    </row>
    <row r="12" spans="1:12" ht="25.5" customHeight="1">
      <c r="C12" s="932" t="str">
        <f>CHOOSE(jezyk,n!A860,n!B860,n!C860,n!D855)</f>
        <v>Pozycja</v>
      </c>
      <c r="D12" s="933"/>
      <c r="E12" s="932" t="str">
        <f>CHOOSE(jezyk,n!A863,n!B863,n!C863,n!D861)</f>
        <v>Kraj</v>
      </c>
      <c r="F12" s="933"/>
      <c r="G12" s="932" t="str">
        <f>CHOOSE(jezyk,n!A865,n!B865,n!C865,n!D863)</f>
        <v>Kraje UE</v>
      </c>
      <c r="H12" s="933"/>
      <c r="I12" s="932" t="str">
        <f>CHOOSE(jezyk,n!A864,n!B864,n!C864,n!D862)</f>
        <v>Eksport</v>
      </c>
      <c r="J12" s="933"/>
      <c r="K12" s="407" t="str">
        <f>CHOOSE(jezyk,n!A866,n!B866,n!C866,n!D864)</f>
        <v>Razem:</v>
      </c>
    </row>
    <row r="13" spans="1:12" ht="36" customHeight="1">
      <c r="A13" s="84"/>
      <c r="C13" s="903" t="str">
        <f>CHOOSE(jezyk,n!A861,n!B861,n!C861,n!D856)</f>
        <v>Przychody ze sprzedaży produktów</v>
      </c>
      <c r="D13" s="905"/>
      <c r="E13" s="934">
        <v>4987779.82</v>
      </c>
      <c r="F13" s="935"/>
      <c r="G13" s="934">
        <v>1871564.09</v>
      </c>
      <c r="H13" s="935"/>
      <c r="I13" s="934">
        <v>375017.28</v>
      </c>
      <c r="J13" s="935"/>
      <c r="K13" s="427">
        <f>SUM(E13:J13)</f>
        <v>7234361.1900000004</v>
      </c>
      <c r="L13" s="181">
        <f>IF(wrach=1,ROUND(K13-'RZiS Por. '!E15,2),ROUND(K13-'RZiS Kal.'!F15,2))</f>
        <v>0</v>
      </c>
    </row>
    <row r="14" spans="1:12" ht="37.5" customHeight="1">
      <c r="A14" s="84"/>
      <c r="C14" s="903" t="str">
        <f>CHOOSE(jezyk,n!A862,n!B862,n!C862,n!D860)</f>
        <v>Przychody ze sprzedaży towarów</v>
      </c>
      <c r="D14" s="905"/>
      <c r="E14" s="966">
        <v>0</v>
      </c>
      <c r="F14" s="967"/>
      <c r="G14" s="966">
        <v>0</v>
      </c>
      <c r="H14" s="967"/>
      <c r="I14" s="966">
        <v>0</v>
      </c>
      <c r="J14" s="967"/>
      <c r="K14" s="427">
        <f>SUM(E14:J14)</f>
        <v>0</v>
      </c>
      <c r="L14" s="181">
        <f>IF(wrach=1,ROUND(K14-'RZiS Por. '!E18,2),ROUND(K14-'RZiS Kal.'!F16,2))</f>
        <v>0</v>
      </c>
    </row>
    <row r="15" spans="1:12" ht="15" customHeight="1">
      <c r="A15" s="84"/>
      <c r="E15" s="970">
        <f>SUM(E13:F14)</f>
        <v>4987779.82</v>
      </c>
      <c r="F15" s="971"/>
      <c r="G15" s="970">
        <f>SUM(G13:H14)</f>
        <v>1871564.09</v>
      </c>
      <c r="H15" s="971"/>
      <c r="I15" s="970">
        <f>SUM(I13:J14)</f>
        <v>375017.28</v>
      </c>
      <c r="J15" s="971"/>
      <c r="K15" s="427">
        <f>SUM(K13:K14)</f>
        <v>7234361.1900000004</v>
      </c>
      <c r="L15" s="181">
        <f>SUM(L13:L14)</f>
        <v>0</v>
      </c>
    </row>
    <row r="16" spans="1:12" ht="9.75" hidden="1" customHeight="1"/>
    <row r="17" spans="1:12" s="151" customFormat="1" ht="15" hidden="1" customHeight="1">
      <c r="A17" s="252"/>
      <c r="C17" s="976" t="str">
        <f>CHOOSE(jezyk,n!A617,n!B617,n!C617,n!D615)</f>
        <v>Rok obrotowy 2023</v>
      </c>
      <c r="D17" s="976"/>
    </row>
    <row r="18" spans="1:12" hidden="1"/>
    <row r="19" spans="1:12" ht="25.5" hidden="1" customHeight="1">
      <c r="C19" s="932" t="str">
        <f>C12</f>
        <v>Pozycja</v>
      </c>
      <c r="D19" s="933"/>
      <c r="E19" s="932" t="str">
        <f>E12</f>
        <v>Kraj</v>
      </c>
      <c r="F19" s="933"/>
      <c r="G19" s="932" t="str">
        <f>G12</f>
        <v>Kraje UE</v>
      </c>
      <c r="H19" s="933"/>
      <c r="I19" s="932" t="str">
        <f>I12</f>
        <v>Eksport</v>
      </c>
      <c r="J19" s="933"/>
      <c r="K19" s="407" t="str">
        <f>K12</f>
        <v>Razem:</v>
      </c>
    </row>
    <row r="20" spans="1:12" ht="36" hidden="1" customHeight="1">
      <c r="A20" s="84"/>
      <c r="C20" s="903" t="str">
        <f>C13</f>
        <v>Przychody ze sprzedaży produktów</v>
      </c>
      <c r="D20" s="905"/>
      <c r="E20" s="964">
        <v>0</v>
      </c>
      <c r="F20" s="965"/>
      <c r="G20" s="964">
        <v>0</v>
      </c>
      <c r="H20" s="965"/>
      <c r="I20" s="964">
        <v>0</v>
      </c>
      <c r="J20" s="965"/>
      <c r="K20" s="427">
        <f>SUM(E20:J20)</f>
        <v>0</v>
      </c>
      <c r="L20" s="181">
        <f>IF(wrach=1,ROUND(K20-'RZiS Por. '!F15,2),ROUND(K20-'RZiS Kal.'!G15,2))</f>
        <v>0</v>
      </c>
    </row>
    <row r="21" spans="1:12" ht="42.75" hidden="1" customHeight="1">
      <c r="A21" s="84"/>
      <c r="C21" s="903" t="str">
        <f>C14</f>
        <v>Przychody ze sprzedaży towarów</v>
      </c>
      <c r="D21" s="905"/>
      <c r="E21" s="968">
        <v>0</v>
      </c>
      <c r="F21" s="969"/>
      <c r="G21" s="968">
        <v>0</v>
      </c>
      <c r="H21" s="969"/>
      <c r="I21" s="968">
        <v>0</v>
      </c>
      <c r="J21" s="969"/>
      <c r="K21" s="427">
        <f>SUM(E21:J21)</f>
        <v>0</v>
      </c>
      <c r="L21" s="181">
        <f>IF(wrach=1,ROUND(K21-'RZiS Por. '!F18,2),ROUND(K21-'RZiS Kal.'!G16,2))</f>
        <v>0</v>
      </c>
    </row>
    <row r="22" spans="1:12" ht="15" hidden="1" customHeight="1">
      <c r="A22" s="84"/>
      <c r="E22" s="970">
        <f>SUM(E20:F21)</f>
        <v>0</v>
      </c>
      <c r="F22" s="971"/>
      <c r="G22" s="970">
        <f>SUM(G20:H21)</f>
        <v>0</v>
      </c>
      <c r="H22" s="971"/>
      <c r="I22" s="970">
        <f>SUM(I20:J21)</f>
        <v>0</v>
      </c>
      <c r="J22" s="971"/>
      <c r="K22" s="427">
        <f>SUM(K20:K21)</f>
        <v>0</v>
      </c>
      <c r="L22" s="181">
        <f>SUM(L20:L21)</f>
        <v>0</v>
      </c>
    </row>
    <row r="23" spans="1:12" hidden="1">
      <c r="E23" s="182"/>
      <c r="F23" s="182"/>
      <c r="G23" s="182"/>
      <c r="H23" s="182"/>
      <c r="I23" s="182"/>
      <c r="J23" s="182"/>
      <c r="K23" s="182"/>
    </row>
    <row r="24" spans="1:12" hidden="1">
      <c r="C24" s="957" t="str">
        <f>IF(GA!F67="nie",IF(GA!F73="nie",CHOOSE(jezyk,n!A856,n!B856,n!C856,n!D854),CHOOSE(jezyk,n!A858,n!B858,n!C858,n!D855)),IF(GA!F73="nie",CHOOSE(jezyk,n!A857,n!B857,n!C857,n!D857),CHOOSE(jezyk,n!A859,n!B859,n!C859,n!D859)))</f>
        <v>Spółka nie osiągnęła przychodów ze sprzedaży zarówno w bieżącym roku obrotowym, jak i w roku poprzednim.</v>
      </c>
      <c r="D24" s="957"/>
      <c r="E24" s="957"/>
      <c r="F24" s="957"/>
      <c r="G24" s="957"/>
      <c r="H24" s="957"/>
      <c r="I24" s="957"/>
      <c r="J24" s="957"/>
      <c r="K24" s="957"/>
      <c r="L24" s="131" t="s">
        <v>2186</v>
      </c>
    </row>
    <row r="25" spans="1:12" ht="12.75" customHeight="1">
      <c r="C25" s="977"/>
      <c r="D25" s="977"/>
      <c r="E25" s="977"/>
      <c r="F25" s="977"/>
      <c r="G25" s="977"/>
      <c r="H25" s="977"/>
      <c r="I25" s="977"/>
      <c r="J25" s="977"/>
      <c r="K25" s="977"/>
    </row>
    <row r="26" spans="1:12" ht="25.5" customHeight="1">
      <c r="B26" s="111" t="s">
        <v>781</v>
      </c>
      <c r="C26" s="762" t="str">
        <f>CHOOSE(jezyk,n!A923,n!B923,n!C923,n!D921)</f>
        <v>Koszt wytworzenia produktów na własne potrzeby oraz koszty rodzajowe (tylko w przypadku, gdy jednostka sporządza rachunek zysków i strat w wariancie kalkulacyjnym)</v>
      </c>
      <c r="D26" s="762"/>
      <c r="E26" s="762"/>
      <c r="F26" s="762"/>
      <c r="G26" s="762"/>
      <c r="H26" s="762"/>
      <c r="I26" s="762"/>
      <c r="J26" s="762"/>
      <c r="K26" s="762"/>
    </row>
    <row r="28" spans="1:12">
      <c r="C28" s="851" t="str">
        <f>IF(GA!F67="nie",CHOOSE(jezyk,n!A924,n!B924,n!C924,n!D922),CHOOSE(jezyk,n!A925,n!B925,n!C925,n!D925))</f>
        <v>Spółka sporządza rachunek zysków i strat w wariancie porównawczym.</v>
      </c>
      <c r="D28" s="851"/>
      <c r="E28" s="851"/>
      <c r="F28" s="851"/>
      <c r="G28" s="851"/>
      <c r="H28" s="851"/>
      <c r="I28" s="851"/>
      <c r="J28" s="851"/>
      <c r="K28" s="851"/>
      <c r="L28" s="131" t="s">
        <v>2186</v>
      </c>
    </row>
    <row r="29" spans="1:12">
      <c r="C29" s="741" t="str">
        <f>IF(GA!F67="nie",IF(GA!F73="nie",CHOOSE(jezyk,n!A926,n!B926,n!C926,n!D923),CHOOSE(jezyk,n!A928,n!B928,n!C928,n!D924)),IF(GA!F73="nie",CHOOSE(jezyk,n!A927,n!B927,n!C927,n!D927),CHOOSE(jezyk,n!A929,n!B929,n!C929,n!D929)))</f>
        <v>Spółka nie wytworzyła produktów na własne potrzeby, zarówno w bieżącym roku obrotowym jak i w roku poprzednim.</v>
      </c>
      <c r="D29" s="741"/>
      <c r="E29" s="741"/>
      <c r="F29" s="741"/>
      <c r="G29" s="741"/>
      <c r="H29" s="741"/>
      <c r="I29" s="741"/>
      <c r="J29" s="741"/>
      <c r="K29" s="741"/>
      <c r="L29" s="131"/>
    </row>
    <row r="30" spans="1:12" ht="9" hidden="1" customHeight="1">
      <c r="C30" s="743"/>
      <c r="D30" s="743"/>
      <c r="E30" s="743"/>
      <c r="F30" s="743"/>
      <c r="G30" s="743"/>
      <c r="H30" s="743"/>
      <c r="I30" s="743"/>
      <c r="J30" s="743"/>
      <c r="K30" s="743"/>
      <c r="L30" s="131"/>
    </row>
    <row r="31" spans="1:12" ht="3.75" hidden="1" customHeight="1">
      <c r="H31" s="974">
        <f>ro</f>
        <v>2024</v>
      </c>
      <c r="I31" s="974"/>
      <c r="J31" s="974">
        <f>IF(LEN(ro)&gt;4,_xlfn.TEXTBEFORE(ro,"/")-1&amp;"/"&amp;_xlfn.TEXTAFTER(ro,"/")-1,ro-1)</f>
        <v>2023</v>
      </c>
      <c r="K31" s="974"/>
    </row>
    <row r="32" spans="1:12" hidden="1">
      <c r="H32" s="974"/>
      <c r="I32" s="974"/>
      <c r="J32" s="974"/>
      <c r="K32" s="974"/>
    </row>
    <row r="33" spans="1:12" ht="18" hidden="1" customHeight="1">
      <c r="C33" s="903" t="str">
        <f>CHOOSE(jezyk,n!A930,n!B930,n!C930,n!D924)</f>
        <v>Koszty wytworzenia produktów na własne potrzeby</v>
      </c>
      <c r="D33" s="904"/>
      <c r="E33" s="904"/>
      <c r="F33" s="904"/>
      <c r="G33" s="905"/>
      <c r="H33" s="975"/>
      <c r="I33" s="975"/>
      <c r="J33" s="975"/>
      <c r="K33" s="975"/>
    </row>
    <row r="34" spans="1:12" ht="12.75" hidden="1" customHeight="1">
      <c r="C34" s="846" t="str">
        <f>CHOOSE(jezyk,n!A931,n!B931,n!C931,n!D926)</f>
        <v>Koszty rodzajowe</v>
      </c>
      <c r="D34" s="846"/>
      <c r="E34" s="846"/>
      <c r="F34" s="846"/>
      <c r="G34" s="846"/>
      <c r="H34" s="846"/>
      <c r="I34" s="846"/>
      <c r="J34" s="846"/>
      <c r="K34" s="846"/>
    </row>
    <row r="35" spans="1:12" ht="6.75" hidden="1" customHeight="1">
      <c r="C35" s="846"/>
      <c r="D35" s="846"/>
      <c r="E35" s="846"/>
      <c r="F35" s="846"/>
      <c r="G35" s="846"/>
      <c r="H35" s="846"/>
      <c r="I35" s="846"/>
      <c r="J35" s="846"/>
      <c r="K35" s="846"/>
    </row>
    <row r="36" spans="1:12" ht="18" hidden="1" customHeight="1">
      <c r="C36" s="903" t="str">
        <f>CHOOSE(jezyk,n!A932,n!B932,n!C932,n!D930)</f>
        <v>a) amortyzacja</v>
      </c>
      <c r="D36" s="904"/>
      <c r="E36" s="904"/>
      <c r="F36" s="904"/>
      <c r="G36" s="905"/>
      <c r="H36" s="963"/>
      <c r="I36" s="963"/>
      <c r="J36" s="963"/>
      <c r="K36" s="963"/>
    </row>
    <row r="37" spans="1:12" ht="18" hidden="1" customHeight="1">
      <c r="A37" s="84"/>
      <c r="C37" s="903" t="str">
        <f>CHOOSE(jezyk,n!A933,n!B933,n!C933,n!D931)</f>
        <v>b) zużycie materiałów i energii</v>
      </c>
      <c r="D37" s="904"/>
      <c r="E37" s="904"/>
      <c r="F37" s="904"/>
      <c r="G37" s="905"/>
      <c r="H37" s="963"/>
      <c r="I37" s="963"/>
      <c r="J37" s="963"/>
      <c r="K37" s="963"/>
    </row>
    <row r="38" spans="1:12" ht="18" hidden="1" customHeight="1">
      <c r="C38" s="903" t="str">
        <f>CHOOSE(jezyk,n!A934,n!B934,n!C934,n!D932)</f>
        <v>c) usługi obce</v>
      </c>
      <c r="D38" s="904"/>
      <c r="E38" s="904"/>
      <c r="F38" s="904"/>
      <c r="G38" s="905"/>
      <c r="H38" s="963"/>
      <c r="I38" s="963"/>
      <c r="J38" s="963"/>
      <c r="K38" s="963"/>
    </row>
    <row r="39" spans="1:12" ht="18" hidden="1" customHeight="1">
      <c r="C39" s="903" t="str">
        <f>CHOOSE(jezyk,n!A935,n!B935,n!C935,n!D933)</f>
        <v>d) podatki i opłaty</v>
      </c>
      <c r="D39" s="904"/>
      <c r="E39" s="904"/>
      <c r="F39" s="904"/>
      <c r="G39" s="905"/>
      <c r="H39" s="963"/>
      <c r="I39" s="963"/>
      <c r="J39" s="963"/>
      <c r="K39" s="963"/>
    </row>
    <row r="40" spans="1:12" ht="18" hidden="1" customHeight="1">
      <c r="C40" s="903" t="str">
        <f>CHOOSE(jezyk,n!A936,n!B936,n!C936,n!D934)</f>
        <v>e) wynagrodzenia</v>
      </c>
      <c r="D40" s="904"/>
      <c r="E40" s="904"/>
      <c r="F40" s="904"/>
      <c r="G40" s="905"/>
      <c r="H40" s="963"/>
      <c r="I40" s="963"/>
      <c r="J40" s="963"/>
      <c r="K40" s="963"/>
    </row>
    <row r="41" spans="1:12" ht="18" hidden="1" customHeight="1">
      <c r="C41" s="903" t="str">
        <f>CHOOSE(jezyk,n!A937,n!B937,n!C937,n!D935)</f>
        <v>f) ubezpieczenia społeczne i inne świadczenia, w tym:</v>
      </c>
      <c r="D41" s="904"/>
      <c r="E41" s="904"/>
      <c r="F41" s="904"/>
      <c r="G41" s="905"/>
      <c r="H41" s="963"/>
      <c r="I41" s="963"/>
      <c r="J41" s="963"/>
      <c r="K41" s="963"/>
    </row>
    <row r="42" spans="1:12" ht="18" hidden="1" customHeight="1">
      <c r="C42" s="183"/>
      <c r="D42" s="937" t="str">
        <f>"- "&amp;CHOOSE(jezyk,n!A434,n!B434,n!C434,n!D434)</f>
        <v>- emerytalne</v>
      </c>
      <c r="E42" s="937"/>
      <c r="F42" s="937"/>
      <c r="H42" s="963"/>
      <c r="I42" s="963"/>
      <c r="J42" s="963"/>
      <c r="K42" s="963"/>
    </row>
    <row r="43" spans="1:12" ht="18" hidden="1" customHeight="1">
      <c r="C43" s="903" t="str">
        <f>CHOOSE(jezyk,n!A938,n!B938,n!C938,n!D936)</f>
        <v>g) pozostałe koszty rodzajowe</v>
      </c>
      <c r="D43" s="904"/>
      <c r="E43" s="904"/>
      <c r="F43" s="904"/>
      <c r="G43" s="905"/>
      <c r="H43" s="963"/>
      <c r="I43" s="963"/>
      <c r="J43" s="963"/>
      <c r="K43" s="963"/>
    </row>
    <row r="44" spans="1:12" ht="20.25" hidden="1" customHeight="1">
      <c r="C44" s="106"/>
      <c r="D44" s="106"/>
      <c r="E44" s="106"/>
      <c r="F44" s="106"/>
      <c r="H44" s="923">
        <f>SUM(H36:I43)-H42</f>
        <v>0</v>
      </c>
      <c r="I44" s="924"/>
      <c r="J44" s="923">
        <f>SUM(J36:K43)-J42</f>
        <v>0</v>
      </c>
      <c r="K44" s="924"/>
    </row>
    <row r="46" spans="1:12">
      <c r="B46" s="111" t="s">
        <v>986</v>
      </c>
      <c r="C46" s="762" t="str">
        <f>CHOOSE(jezyk,n!A867,n!B867,n!C867,n!D865)</f>
        <v>Wysokość i wyjaśnienie przyczyn odpisów aktualizujących środki trwałe</v>
      </c>
      <c r="D46" s="762"/>
      <c r="E46" s="762"/>
      <c r="F46" s="762"/>
      <c r="G46" s="762"/>
      <c r="H46" s="762"/>
      <c r="I46" s="762"/>
      <c r="J46" s="762"/>
      <c r="K46" s="762"/>
    </row>
    <row r="47" spans="1:12">
      <c r="C47" s="762"/>
      <c r="D47" s="762"/>
      <c r="E47" s="762"/>
      <c r="F47" s="762"/>
      <c r="G47" s="762"/>
      <c r="H47" s="762"/>
      <c r="I47" s="762"/>
      <c r="J47" s="762"/>
      <c r="K47" s="762"/>
    </row>
    <row r="48" spans="1:12" ht="24.75" customHeight="1">
      <c r="A48" s="84"/>
      <c r="C48" s="745" t="str">
        <f>IF(GA!F67="nie",IF(GA!F73="nie",CHOOSE(jezyk,n!A868,n!B868,n!C868,n!D866),CHOOSE(jezyk,n!A870,n!B870,n!C870,n!D867)),IF(GA!F73="nie",CHOOSE(jezyk,n!A869,n!B869,n!C869,n!D869),CHOOSE(jezyk,n!A871,n!B871,n!C871,n!D871)))</f>
        <v>Spółka nie dokonywała odpisów aktualizujących środki trwałe zarówno w bieżącym roku obrotowym, jak i w roku poprzednim.</v>
      </c>
      <c r="D48" s="745"/>
      <c r="E48" s="745"/>
      <c r="F48" s="745"/>
      <c r="G48" s="745"/>
      <c r="H48" s="745"/>
      <c r="I48" s="745"/>
      <c r="J48" s="745"/>
      <c r="K48" s="745"/>
      <c r="L48" s="131" t="s">
        <v>2186</v>
      </c>
    </row>
    <row r="49" spans="1:12" s="186" customFormat="1" ht="10.5" customHeight="1">
      <c r="A49" s="176"/>
      <c r="B49" s="96"/>
      <c r="C49" s="743"/>
      <c r="D49" s="743"/>
      <c r="E49" s="743"/>
      <c r="F49" s="743"/>
      <c r="G49" s="743"/>
      <c r="H49" s="743"/>
      <c r="I49" s="743"/>
      <c r="J49" s="743"/>
      <c r="K49" s="743"/>
      <c r="L49" s="177"/>
    </row>
    <row r="50" spans="1:12" s="186" customFormat="1" ht="15" hidden="1" customHeight="1">
      <c r="A50" s="176"/>
      <c r="B50" s="96"/>
      <c r="C50" s="976" t="str">
        <f>CHOOSE(jezyk,n!A616,n!B616,n!C616,n!D614)</f>
        <v>Rok obrotowy 2024</v>
      </c>
      <c r="D50" s="976"/>
      <c r="E50" s="184"/>
      <c r="F50" s="184"/>
      <c r="G50" s="184"/>
      <c r="H50" s="184"/>
      <c r="I50" s="184"/>
      <c r="J50" s="184"/>
      <c r="K50" s="184"/>
      <c r="L50" s="177"/>
    </row>
    <row r="51" spans="1:12" s="186" customFormat="1" ht="10.5" hidden="1" customHeight="1">
      <c r="A51" s="176"/>
      <c r="B51" s="96"/>
      <c r="C51" s="185"/>
      <c r="D51" s="184"/>
      <c r="E51" s="184"/>
      <c r="F51" s="184"/>
      <c r="G51" s="184"/>
      <c r="H51" s="184"/>
      <c r="I51" s="184"/>
      <c r="J51" s="184"/>
      <c r="K51" s="184"/>
      <c r="L51" s="177"/>
    </row>
    <row r="52" spans="1:12" ht="12.75" hidden="1" customHeight="1">
      <c r="C52" s="982" t="str">
        <f>CHOOSE(jezyk,n!A626,n!B626,n!C626,n!D623)</f>
        <v>Stan na 
19.10.2023</v>
      </c>
      <c r="D52" s="983"/>
      <c r="E52" s="951" t="str">
        <f>CHOOSE(jezyk,n!A764,n!B764,n!C764,n!D762)</f>
        <v>Zwiększenia</v>
      </c>
      <c r="F52" s="951"/>
      <c r="G52" s="951" t="str">
        <f>CHOOSE(jezyk,n!A765,n!B765,n!C765,n!D763)</f>
        <v>Wykorzystanie</v>
      </c>
      <c r="H52" s="951"/>
      <c r="I52" s="951" t="str">
        <f>CHOOSE(jezyk,n!A766,n!B766,n!C766,n!D764)</f>
        <v>Rozwiązanie</v>
      </c>
      <c r="J52" s="951"/>
      <c r="K52" s="951" t="str">
        <f>CHOOSE(jezyk,n!A639,n!B639,n!C639,n!D635)</f>
        <v>Stan na 
31.12.2024</v>
      </c>
      <c r="L52" s="131"/>
    </row>
    <row r="53" spans="1:12" ht="29.25" hidden="1" customHeight="1">
      <c r="C53" s="984"/>
      <c r="D53" s="985"/>
      <c r="E53" s="951"/>
      <c r="F53" s="951"/>
      <c r="G53" s="951"/>
      <c r="H53" s="951"/>
      <c r="I53" s="951"/>
      <c r="J53" s="951"/>
      <c r="K53" s="951"/>
    </row>
    <row r="54" spans="1:12" ht="12.75" hidden="1" customHeight="1">
      <c r="C54" s="878">
        <v>0</v>
      </c>
      <c r="D54" s="878"/>
      <c r="E54" s="878">
        <v>0</v>
      </c>
      <c r="F54" s="878"/>
      <c r="G54" s="878">
        <v>0</v>
      </c>
      <c r="H54" s="878"/>
      <c r="I54" s="878">
        <v>0</v>
      </c>
      <c r="J54" s="878"/>
      <c r="K54" s="972">
        <f>C54+E54-G54-I54</f>
        <v>0</v>
      </c>
      <c r="L54" s="131" t="s">
        <v>6784</v>
      </c>
    </row>
    <row r="55" spans="1:12" hidden="1">
      <c r="C55" s="878"/>
      <c r="D55" s="878"/>
      <c r="E55" s="878"/>
      <c r="F55" s="878"/>
      <c r="G55" s="878"/>
      <c r="H55" s="878"/>
      <c r="I55" s="878"/>
      <c r="J55" s="878"/>
      <c r="K55" s="973"/>
    </row>
    <row r="56" spans="1:12" hidden="1">
      <c r="C56" s="169"/>
      <c r="D56" s="169"/>
      <c r="E56" s="169"/>
      <c r="F56" s="169"/>
      <c r="G56" s="169"/>
      <c r="H56" s="169"/>
    </row>
    <row r="57" spans="1:12" ht="15" hidden="1" customHeight="1">
      <c r="C57" s="976" t="str">
        <f>CHOOSE(jezyk,n!A617,n!B617,n!C617,n!D615)</f>
        <v>Rok obrotowy 2023</v>
      </c>
      <c r="D57" s="976"/>
      <c r="E57" s="169"/>
      <c r="F57" s="169"/>
      <c r="G57" s="169"/>
      <c r="H57" s="169"/>
    </row>
    <row r="58" spans="1:12" hidden="1">
      <c r="C58" s="169"/>
      <c r="D58" s="169"/>
      <c r="E58" s="169"/>
      <c r="F58" s="169"/>
      <c r="G58" s="169"/>
      <c r="H58" s="169"/>
    </row>
    <row r="59" spans="1:12" ht="30" hidden="1" customHeight="1">
      <c r="C59" s="982" t="str">
        <f>CHOOSE(jezyk,n!A627,n!B627,n!C627,n!D627)</f>
        <v>Stan na 
19.10.2022</v>
      </c>
      <c r="D59" s="983"/>
      <c r="E59" s="951" t="str">
        <f>E52</f>
        <v>Zwiększenia</v>
      </c>
      <c r="F59" s="951"/>
      <c r="G59" s="951" t="str">
        <f>G52</f>
        <v>Wykorzystanie</v>
      </c>
      <c r="H59" s="951"/>
      <c r="I59" s="951" t="str">
        <f>I52</f>
        <v>Rozwiązanie</v>
      </c>
      <c r="J59" s="951"/>
      <c r="K59" s="951" t="str">
        <f>CHOOSE(jezyk,n!A638,n!B638,n!C638,n!D638)</f>
        <v>Stan na 
31.12.2023</v>
      </c>
    </row>
    <row r="60" spans="1:12" hidden="1">
      <c r="C60" s="984"/>
      <c r="D60" s="985"/>
      <c r="E60" s="951"/>
      <c r="F60" s="951"/>
      <c r="G60" s="951"/>
      <c r="H60" s="951"/>
      <c r="I60" s="951"/>
      <c r="J60" s="951"/>
      <c r="K60" s="951"/>
    </row>
    <row r="61" spans="1:12" hidden="1">
      <c r="C61" s="878">
        <v>0</v>
      </c>
      <c r="D61" s="878"/>
      <c r="E61" s="878">
        <v>0</v>
      </c>
      <c r="F61" s="878"/>
      <c r="G61" s="878">
        <v>0</v>
      </c>
      <c r="H61" s="878"/>
      <c r="I61" s="878">
        <v>0</v>
      </c>
      <c r="J61" s="878"/>
      <c r="K61" s="972">
        <f>C61+E61-G61-I61</f>
        <v>0</v>
      </c>
    </row>
    <row r="62" spans="1:12" hidden="1">
      <c r="C62" s="878"/>
      <c r="D62" s="878"/>
      <c r="E62" s="878"/>
      <c r="F62" s="878"/>
      <c r="G62" s="878"/>
      <c r="H62" s="878"/>
      <c r="I62" s="878"/>
      <c r="J62" s="878"/>
      <c r="K62" s="973"/>
    </row>
    <row r="63" spans="1:12" hidden="1">
      <c r="C63" s="169"/>
      <c r="D63" s="169"/>
      <c r="E63" s="169"/>
      <c r="F63" s="169"/>
      <c r="G63" s="169"/>
      <c r="H63" s="169"/>
    </row>
    <row r="64" spans="1:12">
      <c r="B64" s="111" t="s">
        <v>987</v>
      </c>
      <c r="C64" s="762" t="str">
        <f>CHOOSE(jezyk,n!A872,n!B872,n!C872,n!D867)</f>
        <v>Wysokość odpisów aktualizujących wartość zapasów</v>
      </c>
      <c r="D64" s="762"/>
      <c r="E64" s="762"/>
      <c r="F64" s="762"/>
      <c r="G64" s="762"/>
      <c r="H64" s="762"/>
      <c r="I64" s="762"/>
      <c r="J64" s="762"/>
      <c r="K64" s="762"/>
    </row>
    <row r="65" spans="1:16">
      <c r="C65" s="762"/>
      <c r="D65" s="762"/>
      <c r="E65" s="762"/>
      <c r="F65" s="762"/>
      <c r="G65" s="762"/>
      <c r="H65" s="762"/>
      <c r="I65" s="762"/>
      <c r="J65" s="762"/>
      <c r="K65" s="762"/>
    </row>
    <row r="66" spans="1:16" ht="25.5" customHeight="1">
      <c r="A66" s="84"/>
      <c r="C66" s="745" t="str">
        <f>IF(GA!F67="nie",IF(GA!F73="nie",CHOOSE(jezyk,n!A873,n!B873,n!C873,n!A885),CHOOSE(jezyk,n!A875,n!B875,n!C875,n!A875)),IF(GA!F73="nie",CHOOSE(jezyk,n!A874,n!B874,n!C874,n!A874),CHOOSE(jezyk,n!A876,n!B876,n!C876,n!A876)))</f>
        <v>Spółka nie dokonywała odpisów aktualizujących zapasy zarówno w bieżącym roku obrotowym, jak i w roku poprzednim.</v>
      </c>
      <c r="D66" s="745"/>
      <c r="E66" s="745"/>
      <c r="F66" s="745"/>
      <c r="G66" s="745"/>
      <c r="H66" s="745"/>
      <c r="I66" s="745"/>
      <c r="J66" s="745"/>
      <c r="K66" s="745"/>
      <c r="L66" s="131" t="s">
        <v>2186</v>
      </c>
    </row>
    <row r="67" spans="1:16" ht="9" hidden="1" customHeight="1">
      <c r="C67" s="746"/>
      <c r="D67" s="746"/>
      <c r="E67" s="746"/>
      <c r="F67" s="746"/>
      <c r="G67" s="746"/>
      <c r="H67" s="746"/>
      <c r="I67" s="746"/>
      <c r="J67" s="746"/>
      <c r="K67" s="746"/>
      <c r="L67" s="131"/>
    </row>
    <row r="68" spans="1:16" hidden="1">
      <c r="C68" s="746" t="str">
        <f>CHOOSE(jezyk,n!A885,n!B885,n!C885,n!A886)</f>
        <v>Zmiany stanu odpisów aktualizujących zapasy w ciągu roku obrotowego 2024</v>
      </c>
      <c r="D68" s="746"/>
      <c r="E68" s="746"/>
      <c r="F68" s="746"/>
      <c r="G68" s="746"/>
      <c r="H68" s="746"/>
      <c r="I68" s="746"/>
      <c r="J68" s="746"/>
      <c r="K68" s="746"/>
      <c r="L68" s="131"/>
    </row>
    <row r="69" spans="1:16" hidden="1">
      <c r="L69" s="131"/>
      <c r="M69" s="931"/>
      <c r="N69" s="931"/>
    </row>
    <row r="70" spans="1:16" s="151" customFormat="1" ht="33.950000000000003" hidden="1" customHeight="1">
      <c r="A70" s="252"/>
      <c r="C70" s="932"/>
      <c r="D70" s="933"/>
      <c r="E70" s="839" t="str">
        <f>CHOOSE(jezyk,n!A329,n!B329,n!C329,n!D329)</f>
        <v>Materiały</v>
      </c>
      <c r="F70" s="839"/>
      <c r="G70" s="839" t="str">
        <f>CHOOSE(jezyk,n!A330,n!B330,n!C330,n!D330)</f>
        <v>Półprodukty i produkty w toku</v>
      </c>
      <c r="H70" s="839"/>
      <c r="I70" s="402" t="str">
        <f>CHOOSE(jezyk,n!A331,n!B331,n!C331,n!D331)</f>
        <v>Produkty gotowe</v>
      </c>
      <c r="J70" s="407" t="str">
        <f>CHOOSE(jezyk,n!A332,n!B332,n!C332,n!D332)</f>
        <v>Towary</v>
      </c>
      <c r="K70" s="407" t="str">
        <f>CHOOSE(jezyk,n!A911,n!B911,n!C911,n!D909)</f>
        <v>Łącznie:</v>
      </c>
      <c r="L70" s="149"/>
      <c r="M70" s="419"/>
      <c r="N70" s="419"/>
    </row>
    <row r="71" spans="1:16" ht="27.95" hidden="1" customHeight="1">
      <c r="A71" s="84"/>
      <c r="C71" s="925" t="str">
        <f>CHOOSE(jezyk,n!A879,n!B879,n!C879,n!A886)</f>
        <v>Stan odpisów na 19.10.2023</v>
      </c>
      <c r="D71" s="925"/>
      <c r="E71" s="923">
        <f>E86</f>
        <v>0</v>
      </c>
      <c r="F71" s="924"/>
      <c r="G71" s="923">
        <f>G86</f>
        <v>0</v>
      </c>
      <c r="H71" s="924"/>
      <c r="I71" s="427">
        <f>I86</f>
        <v>0</v>
      </c>
      <c r="J71" s="427">
        <f>J86</f>
        <v>0</v>
      </c>
      <c r="K71" s="427">
        <f>SUM(E71:J71)</f>
        <v>0</v>
      </c>
      <c r="L71" s="131"/>
      <c r="M71" s="419"/>
      <c r="N71" s="419"/>
    </row>
    <row r="72" spans="1:16" ht="18" hidden="1" customHeight="1">
      <c r="C72" s="925" t="str">
        <f>E52</f>
        <v>Zwiększenia</v>
      </c>
      <c r="D72" s="925"/>
      <c r="E72" s="853">
        <v>0</v>
      </c>
      <c r="F72" s="853"/>
      <c r="G72" s="853">
        <v>0</v>
      </c>
      <c r="H72" s="853"/>
      <c r="I72" s="405">
        <v>0</v>
      </c>
      <c r="J72" s="405">
        <v>0</v>
      </c>
      <c r="K72" s="427">
        <f t="shared" ref="K72:K77" si="0">SUM(E72:J72)</f>
        <v>0</v>
      </c>
      <c r="L72" s="131"/>
      <c r="M72" s="419"/>
      <c r="N72" s="419"/>
    </row>
    <row r="73" spans="1:16" ht="18" hidden="1" customHeight="1">
      <c r="C73" s="925" t="str">
        <f>G52</f>
        <v>Wykorzystanie</v>
      </c>
      <c r="D73" s="925"/>
      <c r="E73" s="853">
        <v>0</v>
      </c>
      <c r="F73" s="853"/>
      <c r="G73" s="853">
        <v>0</v>
      </c>
      <c r="H73" s="853"/>
      <c r="I73" s="405">
        <v>0</v>
      </c>
      <c r="J73" s="405">
        <v>0</v>
      </c>
      <c r="K73" s="427">
        <f t="shared" si="0"/>
        <v>0</v>
      </c>
      <c r="L73" s="131"/>
      <c r="M73" s="419"/>
      <c r="N73" s="419"/>
    </row>
    <row r="74" spans="1:16" ht="18" hidden="1" customHeight="1">
      <c r="C74" s="925" t="str">
        <f>I52</f>
        <v>Rozwiązanie</v>
      </c>
      <c r="D74" s="925"/>
      <c r="E74" s="853">
        <v>0</v>
      </c>
      <c r="F74" s="853"/>
      <c r="G74" s="853">
        <v>0</v>
      </c>
      <c r="H74" s="853"/>
      <c r="I74" s="405">
        <v>0</v>
      </c>
      <c r="J74" s="405">
        <v>0</v>
      </c>
      <c r="K74" s="427">
        <f t="shared" si="0"/>
        <v>0</v>
      </c>
      <c r="L74" s="131"/>
      <c r="M74" s="419"/>
      <c r="N74" s="419"/>
    </row>
    <row r="75" spans="1:16" ht="27.95" hidden="1" customHeight="1">
      <c r="A75" s="84"/>
      <c r="C75" s="925" t="str">
        <f>CHOOSE(jezyk,n!A880,n!B880,n!C880,n!A887)</f>
        <v>Stan odpisów na 31.12.2024</v>
      </c>
      <c r="D75" s="925"/>
      <c r="E75" s="923">
        <f>E71+E72-E73-E74</f>
        <v>0</v>
      </c>
      <c r="F75" s="924"/>
      <c r="G75" s="923">
        <f>G71+G72-G73-G74</f>
        <v>0</v>
      </c>
      <c r="H75" s="924"/>
      <c r="I75" s="415">
        <f>I71+I72-I73-I74</f>
        <v>0</v>
      </c>
      <c r="J75" s="415">
        <f>J71+J72-J73-J74</f>
        <v>0</v>
      </c>
      <c r="K75" s="427">
        <f t="shared" si="0"/>
        <v>0</v>
      </c>
      <c r="L75" s="131"/>
    </row>
    <row r="76" spans="1:16" ht="27.95" hidden="1" customHeight="1">
      <c r="C76" s="925" t="str">
        <f>CHOOSE(jezyk,n!A877,n!B877,n!C877,n!A878)</f>
        <v>Zapasy brutto na 31.12.2024</v>
      </c>
      <c r="D76" s="925"/>
      <c r="E76" s="923">
        <f>E77+E75</f>
        <v>0</v>
      </c>
      <c r="F76" s="924"/>
      <c r="G76" s="923">
        <f>G77+G75</f>
        <v>0</v>
      </c>
      <c r="H76" s="924"/>
      <c r="I76" s="427">
        <f>I77+I75</f>
        <v>0</v>
      </c>
      <c r="J76" s="427">
        <f>J77+J75</f>
        <v>0</v>
      </c>
      <c r="K76" s="427">
        <f t="shared" si="0"/>
        <v>0</v>
      </c>
      <c r="L76" s="144" t="str">
        <f>dzb</f>
        <v>31.12.2024</v>
      </c>
    </row>
    <row r="77" spans="1:16" ht="27.95" hidden="1" customHeight="1">
      <c r="C77" s="925" t="str">
        <f>CHOOSE(jezyk,n!A878,n!B878,n!C878,n!A885)</f>
        <v>Zapasy netto na 31.12.2024</v>
      </c>
      <c r="D77" s="925"/>
      <c r="E77" s="923">
        <f>Bilans!J74</f>
        <v>0</v>
      </c>
      <c r="F77" s="924"/>
      <c r="G77" s="923">
        <f>Bilans!J75</f>
        <v>0</v>
      </c>
      <c r="H77" s="924"/>
      <c r="I77" s="427">
        <f>Bilans!J76</f>
        <v>0</v>
      </c>
      <c r="J77" s="427">
        <f>Bilans!J77</f>
        <v>0</v>
      </c>
      <c r="K77" s="427">
        <f t="shared" si="0"/>
        <v>0</v>
      </c>
      <c r="L77" s="148">
        <f>ROUND(K77-Bilans!J74-Bilans!J75-Bilans!J76-Bilans!J77,2)</f>
        <v>0</v>
      </c>
    </row>
    <row r="78" spans="1:16" hidden="1">
      <c r="E78" s="188"/>
      <c r="F78" s="188"/>
      <c r="G78" s="188"/>
      <c r="H78" s="188"/>
      <c r="I78" s="188"/>
      <c r="J78" s="188"/>
      <c r="K78" s="189"/>
    </row>
    <row r="79" spans="1:16" hidden="1">
      <c r="C79" s="746" t="str">
        <f>CHOOSE(jezyk,n!A886,n!B886,n!C886,n!A887)</f>
        <v>Zmiany stanu odpisów aktualizujących zapasy w ciągu roku obrotowego 2023</v>
      </c>
      <c r="D79" s="746"/>
      <c r="E79" s="746"/>
      <c r="F79" s="746"/>
      <c r="G79" s="746"/>
      <c r="H79" s="746"/>
      <c r="I79" s="746"/>
      <c r="J79" s="746"/>
      <c r="K79" s="746"/>
      <c r="P79" s="713"/>
    </row>
    <row r="80" spans="1:16" hidden="1">
      <c r="C80" s="188"/>
      <c r="D80" s="188"/>
      <c r="E80" s="188"/>
      <c r="F80" s="188"/>
      <c r="G80" s="188"/>
      <c r="H80" s="188"/>
      <c r="I80" s="188"/>
      <c r="J80" s="188"/>
      <c r="K80" s="189"/>
      <c r="P80" s="713"/>
    </row>
    <row r="81" spans="1:16" ht="33.950000000000003" hidden="1" customHeight="1">
      <c r="C81" s="932"/>
      <c r="D81" s="933"/>
      <c r="E81" s="839" t="str">
        <f>E70</f>
        <v>Materiały</v>
      </c>
      <c r="F81" s="839"/>
      <c r="G81" s="839" t="str">
        <f>G70</f>
        <v>Półprodukty i produkty w toku</v>
      </c>
      <c r="H81" s="839"/>
      <c r="I81" s="402" t="str">
        <f>I70</f>
        <v>Produkty gotowe</v>
      </c>
      <c r="J81" s="407" t="str">
        <f>J70</f>
        <v>Towary</v>
      </c>
      <c r="K81" s="407" t="str">
        <f>K70</f>
        <v>Łącznie:</v>
      </c>
      <c r="P81" s="713"/>
    </row>
    <row r="82" spans="1:16" ht="27.95" hidden="1" customHeight="1">
      <c r="A82" s="84"/>
      <c r="C82" s="925" t="str">
        <f>CHOOSE(jezyk,n!A881,n!B881,n!C881,n!A888)</f>
        <v>Stan odpisów na 19.10.2022</v>
      </c>
      <c r="D82" s="925"/>
      <c r="E82" s="853">
        <v>0</v>
      </c>
      <c r="F82" s="853"/>
      <c r="G82" s="853">
        <v>0</v>
      </c>
      <c r="H82" s="853"/>
      <c r="I82" s="405">
        <v>0</v>
      </c>
      <c r="J82" s="405">
        <v>0</v>
      </c>
      <c r="K82" s="427">
        <f t="shared" ref="K82:K88" si="1">SUM(E82:J82)</f>
        <v>0</v>
      </c>
    </row>
    <row r="83" spans="1:16" ht="18" hidden="1" customHeight="1">
      <c r="C83" s="925" t="str">
        <f>C72</f>
        <v>Zwiększenia</v>
      </c>
      <c r="D83" s="925"/>
      <c r="E83" s="853">
        <v>0</v>
      </c>
      <c r="F83" s="853"/>
      <c r="G83" s="853">
        <v>0</v>
      </c>
      <c r="H83" s="853"/>
      <c r="I83" s="405">
        <v>0</v>
      </c>
      <c r="J83" s="405">
        <v>0</v>
      </c>
      <c r="K83" s="427">
        <f t="shared" si="1"/>
        <v>0</v>
      </c>
    </row>
    <row r="84" spans="1:16" ht="18" hidden="1" customHeight="1">
      <c r="C84" s="925" t="str">
        <f>C73</f>
        <v>Wykorzystanie</v>
      </c>
      <c r="D84" s="925"/>
      <c r="E84" s="853">
        <v>0</v>
      </c>
      <c r="F84" s="853"/>
      <c r="G84" s="853">
        <v>0</v>
      </c>
      <c r="H84" s="853"/>
      <c r="I84" s="405">
        <v>0</v>
      </c>
      <c r="J84" s="405">
        <v>0</v>
      </c>
      <c r="K84" s="427">
        <f t="shared" si="1"/>
        <v>0</v>
      </c>
    </row>
    <row r="85" spans="1:16" ht="18" hidden="1" customHeight="1">
      <c r="C85" s="925" t="str">
        <f>C74</f>
        <v>Rozwiązanie</v>
      </c>
      <c r="D85" s="925"/>
      <c r="E85" s="853">
        <v>0</v>
      </c>
      <c r="F85" s="853"/>
      <c r="G85" s="853">
        <v>0</v>
      </c>
      <c r="H85" s="853"/>
      <c r="I85" s="405">
        <v>0</v>
      </c>
      <c r="J85" s="405">
        <v>0</v>
      </c>
      <c r="K85" s="427">
        <f t="shared" si="1"/>
        <v>0</v>
      </c>
    </row>
    <row r="86" spans="1:16" ht="27.95" hidden="1" customHeight="1">
      <c r="A86" s="84"/>
      <c r="C86" s="925" t="str">
        <f>CHOOSE(jezyk,n!A882,n!B882,n!C882,n!A889)</f>
        <v>Stan odpisów na 31.12.2023</v>
      </c>
      <c r="D86" s="925"/>
      <c r="E86" s="923">
        <f>E82+E83-E84-E85</f>
        <v>0</v>
      </c>
      <c r="F86" s="924"/>
      <c r="G86" s="923">
        <f>G82+G83-G84-G85</f>
        <v>0</v>
      </c>
      <c r="H86" s="924"/>
      <c r="I86" s="415">
        <f>I82+I83-I84-I85</f>
        <v>0</v>
      </c>
      <c r="J86" s="415">
        <f>J82+J83-J84-J85</f>
        <v>0</v>
      </c>
      <c r="K86" s="427">
        <f t="shared" si="1"/>
        <v>0</v>
      </c>
    </row>
    <row r="87" spans="1:16" ht="27.95" hidden="1" customHeight="1">
      <c r="C87" s="925" t="str">
        <f>CHOOSE(jezyk,n!A883,n!B883,n!C883,n!A890)</f>
        <v>Zapasy brutto na 31.12.2023</v>
      </c>
      <c r="D87" s="925"/>
      <c r="E87" s="923">
        <f>E88+E86</f>
        <v>0</v>
      </c>
      <c r="F87" s="924"/>
      <c r="G87" s="923">
        <f>G88+G86</f>
        <v>0</v>
      </c>
      <c r="H87" s="924"/>
      <c r="I87" s="427">
        <f>I88+I86</f>
        <v>0</v>
      </c>
      <c r="J87" s="427">
        <f>J88+J86</f>
        <v>0</v>
      </c>
      <c r="K87" s="427">
        <f t="shared" si="1"/>
        <v>0</v>
      </c>
      <c r="L87" s="144" t="str">
        <f>pdz</f>
        <v>31.12.2023</v>
      </c>
    </row>
    <row r="88" spans="1:16" ht="27.95" hidden="1" customHeight="1">
      <c r="C88" s="925" t="str">
        <f>CHOOSE(jezyk,n!A884,n!B884,n!C884,n!A891)</f>
        <v>Zapasy netto na 31.12.2023</v>
      </c>
      <c r="D88" s="925"/>
      <c r="E88" s="923">
        <f>Bilans!K74</f>
        <v>0</v>
      </c>
      <c r="F88" s="924"/>
      <c r="G88" s="923">
        <f>Bilans!K75</f>
        <v>0</v>
      </c>
      <c r="H88" s="924"/>
      <c r="I88" s="427">
        <f>Bilans!K76</f>
        <v>0</v>
      </c>
      <c r="J88" s="427">
        <f>Bilans!K77</f>
        <v>0</v>
      </c>
      <c r="K88" s="427">
        <f t="shared" si="1"/>
        <v>0</v>
      </c>
      <c r="L88" s="148">
        <f>ROUND(K88-Bilans!K74-Bilans!K75-Bilans!K76-Bilans!K77,2)</f>
        <v>0</v>
      </c>
    </row>
    <row r="89" spans="1:16">
      <c r="C89" s="190"/>
      <c r="D89" s="190"/>
      <c r="E89" s="190"/>
      <c r="F89" s="190"/>
      <c r="G89" s="190"/>
      <c r="H89" s="190"/>
      <c r="I89" s="190"/>
      <c r="J89" s="190"/>
      <c r="K89" s="191"/>
    </row>
    <row r="90" spans="1:16">
      <c r="B90" s="111" t="s">
        <v>988</v>
      </c>
      <c r="C90" s="762" t="str">
        <f>CHOOSE(jezyk,n!A887,n!B887,n!C887,n!D885)</f>
        <v>Informacje o przychodach, kosztach i wynikach działalności zaniechanej w roku obrotowym lub przewidzianej do zaniechania w roku następnym</v>
      </c>
      <c r="D90" s="762"/>
      <c r="E90" s="762"/>
      <c r="F90" s="762"/>
      <c r="G90" s="762"/>
      <c r="H90" s="762"/>
      <c r="I90" s="762"/>
      <c r="J90" s="762"/>
      <c r="K90" s="762"/>
    </row>
    <row r="91" spans="1:16">
      <c r="C91" s="762"/>
      <c r="D91" s="762"/>
      <c r="E91" s="762"/>
      <c r="F91" s="762"/>
      <c r="G91" s="762"/>
      <c r="H91" s="762"/>
      <c r="I91" s="762"/>
      <c r="J91" s="762"/>
      <c r="K91" s="762"/>
    </row>
    <row r="93" spans="1:16" ht="12.75" customHeight="1">
      <c r="C93" s="741" t="str">
        <f>CHOOSE(jezyk,n!A888,n!B888,n!C888,n!D886)</f>
        <v>W roku obrotowym 2024 nie zaniechano części działalności oraz nie planuje się jej zaniechania w roku kolejnym.</v>
      </c>
      <c r="D93" s="741"/>
      <c r="E93" s="741"/>
      <c r="F93" s="741"/>
      <c r="G93" s="741"/>
      <c r="H93" s="741"/>
      <c r="I93" s="741"/>
      <c r="J93" s="741"/>
      <c r="K93" s="741"/>
      <c r="L93" s="131" t="s">
        <v>2186</v>
      </c>
    </row>
    <row r="94" spans="1:16">
      <c r="C94" s="99"/>
      <c r="D94" s="99"/>
      <c r="E94" s="99"/>
      <c r="F94" s="99"/>
      <c r="G94" s="99"/>
      <c r="H94" s="99"/>
      <c r="I94" s="99"/>
      <c r="J94" s="99"/>
      <c r="K94" s="99"/>
      <c r="L94" s="131"/>
    </row>
    <row r="95" spans="1:16" hidden="1">
      <c r="C95" s="106" t="str">
        <f>CHOOSE(jezyk,n!A889,n!B889,n!C889,n!D887)</f>
        <v>Działalność zaniechana w roku obrotowym</v>
      </c>
      <c r="D95" s="406"/>
      <c r="E95" s="406"/>
      <c r="F95" s="406"/>
      <c r="G95" s="406"/>
      <c r="H95" s="406"/>
      <c r="I95" s="406"/>
      <c r="J95" s="406"/>
      <c r="K95" s="406"/>
      <c r="L95" s="131"/>
    </row>
    <row r="96" spans="1:16" hidden="1">
      <c r="C96" s="406"/>
      <c r="D96" s="406"/>
      <c r="E96" s="406"/>
      <c r="F96" s="406"/>
      <c r="G96" s="406"/>
      <c r="H96" s="406"/>
      <c r="I96" s="406"/>
      <c r="J96" s="406"/>
      <c r="K96" s="406"/>
      <c r="L96" s="131"/>
    </row>
    <row r="97" spans="3:12" ht="12.75" hidden="1" customHeight="1">
      <c r="C97" s="951" t="str">
        <f>CHOOSE(jezyk,n!A890,n!B890,n!C890,n!D888)</f>
        <v>Rodzaj działalności</v>
      </c>
      <c r="D97" s="951"/>
      <c r="E97" s="951"/>
      <c r="F97" s="951" t="str">
        <f>CHOOSE(jezyk,n!A891,n!B891,n!C891,n!D889)</f>
        <v>Przychody</v>
      </c>
      <c r="G97" s="951"/>
      <c r="H97" s="951" t="str">
        <f>CHOOSE(jezyk,n!A892,n!B892,n!C892,n!D890)</f>
        <v>Koszty</v>
      </c>
      <c r="I97" s="951"/>
      <c r="J97" s="951" t="str">
        <f>CHOOSE(jezyk,n!A893,n!B893,n!C893,n!D891)</f>
        <v>Wynik na działalności</v>
      </c>
      <c r="K97" s="951"/>
      <c r="L97" s="131"/>
    </row>
    <row r="98" spans="3:12" hidden="1">
      <c r="C98" s="951"/>
      <c r="D98" s="951"/>
      <c r="E98" s="951"/>
      <c r="F98" s="951"/>
      <c r="G98" s="951"/>
      <c r="H98" s="951"/>
      <c r="I98" s="951"/>
      <c r="J98" s="951"/>
      <c r="K98" s="951"/>
      <c r="L98" s="131"/>
    </row>
    <row r="99" spans="3:12" hidden="1">
      <c r="C99" s="952"/>
      <c r="D99" s="952"/>
      <c r="E99" s="952"/>
      <c r="F99" s="878"/>
      <c r="G99" s="878"/>
      <c r="H99" s="878"/>
      <c r="I99" s="878"/>
      <c r="J99" s="947">
        <f>F99-H99</f>
        <v>0</v>
      </c>
      <c r="K99" s="948"/>
      <c r="L99" s="131"/>
    </row>
    <row r="100" spans="3:12" hidden="1">
      <c r="C100" s="952"/>
      <c r="D100" s="952"/>
      <c r="E100" s="952"/>
      <c r="F100" s="878"/>
      <c r="G100" s="878"/>
      <c r="H100" s="878"/>
      <c r="I100" s="878"/>
      <c r="J100" s="949"/>
      <c r="K100" s="950"/>
      <c r="L100" s="131"/>
    </row>
    <row r="101" spans="3:12" hidden="1">
      <c r="C101" s="188"/>
      <c r="D101" s="188"/>
      <c r="E101" s="188"/>
      <c r="F101" s="188"/>
      <c r="G101" s="188"/>
      <c r="H101" s="188"/>
      <c r="I101" s="188"/>
      <c r="J101" s="188"/>
      <c r="K101" s="189"/>
      <c r="L101" s="131"/>
    </row>
    <row r="102" spans="3:12" hidden="1">
      <c r="C102" s="957"/>
      <c r="D102" s="957"/>
      <c r="E102" s="957"/>
      <c r="F102" s="957"/>
      <c r="G102" s="957"/>
      <c r="H102" s="957"/>
      <c r="I102" s="957"/>
      <c r="J102" s="957"/>
      <c r="K102" s="957"/>
      <c r="L102" s="131"/>
    </row>
    <row r="103" spans="3:12" hidden="1">
      <c r="C103" s="188"/>
      <c r="D103" s="188"/>
      <c r="E103" s="188"/>
      <c r="F103" s="188"/>
      <c r="G103" s="188"/>
      <c r="H103" s="188"/>
      <c r="I103" s="188"/>
      <c r="J103" s="188"/>
      <c r="K103" s="189"/>
      <c r="L103" s="131"/>
    </row>
    <row r="104" spans="3:12" hidden="1">
      <c r="C104" s="106" t="str">
        <f>CHOOSE(jezyk,n!A894,n!B894,n!C894,n!D892)</f>
        <v>Działalność przewidziana do zaniechania w następnym roku obrotowym</v>
      </c>
      <c r="D104" s="406"/>
      <c r="E104" s="406"/>
      <c r="F104" s="406"/>
      <c r="G104" s="406"/>
      <c r="H104" s="406"/>
      <c r="I104" s="406"/>
      <c r="J104" s="406"/>
      <c r="K104" s="406"/>
      <c r="L104" s="131"/>
    </row>
    <row r="105" spans="3:12" hidden="1">
      <c r="C105" s="406"/>
      <c r="D105" s="406"/>
      <c r="E105" s="406"/>
      <c r="F105" s="406"/>
      <c r="G105" s="406"/>
      <c r="H105" s="406"/>
      <c r="I105" s="406"/>
      <c r="J105" s="406"/>
      <c r="K105" s="406"/>
      <c r="L105" s="131"/>
    </row>
    <row r="106" spans="3:12" hidden="1">
      <c r="C106" s="951" t="str">
        <f>C97</f>
        <v>Rodzaj działalności</v>
      </c>
      <c r="D106" s="951"/>
      <c r="E106" s="951"/>
      <c r="F106" s="951" t="str">
        <f>F97</f>
        <v>Przychody</v>
      </c>
      <c r="G106" s="951"/>
      <c r="H106" s="951" t="str">
        <f>H97</f>
        <v>Koszty</v>
      </c>
      <c r="I106" s="951"/>
      <c r="J106" s="951" t="str">
        <f>J97</f>
        <v>Wynik na działalności</v>
      </c>
      <c r="K106" s="951"/>
      <c r="L106" s="131"/>
    </row>
    <row r="107" spans="3:12" hidden="1">
      <c r="C107" s="951"/>
      <c r="D107" s="951"/>
      <c r="E107" s="951"/>
      <c r="F107" s="951"/>
      <c r="G107" s="951"/>
      <c r="H107" s="951"/>
      <c r="I107" s="951"/>
      <c r="J107" s="951"/>
      <c r="K107" s="951"/>
      <c r="L107" s="131"/>
    </row>
    <row r="108" spans="3:12" hidden="1">
      <c r="C108" s="952"/>
      <c r="D108" s="952"/>
      <c r="E108" s="952"/>
      <c r="F108" s="878"/>
      <c r="G108" s="878"/>
      <c r="H108" s="878"/>
      <c r="I108" s="878"/>
      <c r="J108" s="947">
        <f>F108-H108</f>
        <v>0</v>
      </c>
      <c r="K108" s="948"/>
      <c r="L108" s="131"/>
    </row>
    <row r="109" spans="3:12" hidden="1">
      <c r="C109" s="952"/>
      <c r="D109" s="952"/>
      <c r="E109" s="952"/>
      <c r="F109" s="878"/>
      <c r="G109" s="878"/>
      <c r="H109" s="878"/>
      <c r="I109" s="878"/>
      <c r="J109" s="949"/>
      <c r="K109" s="950"/>
      <c r="L109" s="131"/>
    </row>
    <row r="110" spans="3:12" hidden="1">
      <c r="C110" s="188"/>
      <c r="D110" s="188"/>
      <c r="E110" s="188"/>
      <c r="F110" s="188"/>
      <c r="G110" s="188"/>
      <c r="H110" s="188"/>
      <c r="I110" s="189"/>
      <c r="J110" s="189"/>
      <c r="K110" s="189"/>
      <c r="L110" s="131"/>
    </row>
    <row r="111" spans="3:12" hidden="1">
      <c r="C111" s="745"/>
      <c r="D111" s="745"/>
      <c r="E111" s="745"/>
      <c r="F111" s="745"/>
      <c r="G111" s="745"/>
      <c r="H111" s="745"/>
      <c r="I111" s="745"/>
      <c r="J111" s="745"/>
      <c r="K111" s="745"/>
      <c r="L111" s="131"/>
    </row>
    <row r="112" spans="3:12" hidden="1"/>
    <row r="113" spans="2:14" hidden="1"/>
    <row r="114" spans="2:14" ht="12.75" customHeight="1">
      <c r="B114" s="111" t="s">
        <v>1512</v>
      </c>
      <c r="C114" s="762" t="str">
        <f>CHOOSE(jezyk,n!A895,n!B895,n!C895,n!D893)</f>
        <v>Rozliczenie głównych pozycji różniących podstawę opodatkowania podatkiem dochodowym od wyniku finansowego (zysku, straty) brutto</v>
      </c>
      <c r="D114" s="762"/>
      <c r="E114" s="762"/>
      <c r="F114" s="762"/>
      <c r="G114" s="762"/>
      <c r="H114" s="762"/>
      <c r="I114" s="762"/>
      <c r="J114" s="762"/>
      <c r="K114" s="762"/>
    </row>
    <row r="115" spans="2:14">
      <c r="C115" s="762"/>
      <c r="D115" s="762"/>
      <c r="E115" s="762"/>
      <c r="F115" s="762"/>
      <c r="G115" s="762"/>
      <c r="H115" s="762"/>
      <c r="I115" s="762"/>
      <c r="J115" s="762"/>
      <c r="K115" s="762"/>
    </row>
    <row r="116" spans="2:14">
      <c r="C116" s="411"/>
      <c r="D116" s="411"/>
      <c r="E116" s="411"/>
      <c r="F116" s="411"/>
      <c r="G116" s="411"/>
      <c r="H116" s="411"/>
      <c r="I116" s="411"/>
      <c r="J116" s="411"/>
      <c r="K116" s="411"/>
    </row>
    <row r="117" spans="2:14">
      <c r="C117" s="942" t="str">
        <f>"2.6.a "&amp;CHOOSE(jezyk,n!A896,n!B896,n!C896,n!D894)</f>
        <v>2.6.a Podatek dochodowy</v>
      </c>
      <c r="D117" s="942"/>
      <c r="E117" s="942"/>
      <c r="F117" s="942"/>
      <c r="G117" s="942"/>
      <c r="H117" s="942"/>
      <c r="I117" s="942"/>
      <c r="J117" s="942"/>
      <c r="K117" s="942"/>
    </row>
    <row r="118" spans="2:14" ht="8.25" customHeight="1">
      <c r="C118" s="411"/>
      <c r="D118" s="411"/>
      <c r="E118" s="411"/>
      <c r="F118" s="411"/>
      <c r="G118" s="411"/>
      <c r="H118" s="411"/>
      <c r="I118" s="411"/>
      <c r="J118" s="411"/>
      <c r="K118" s="411"/>
    </row>
    <row r="119" spans="2:14" ht="15" customHeight="1">
      <c r="E119" s="411"/>
      <c r="F119" s="411"/>
      <c r="G119" s="411"/>
      <c r="H119" s="411"/>
      <c r="I119" s="961" t="str">
        <f>CHOOSE(jezyk,n!A616,n!B616,n!C616,n!D614)</f>
        <v>Rok obrotowy 2024</v>
      </c>
      <c r="J119" s="961"/>
      <c r="K119" s="961"/>
    </row>
    <row r="120" spans="2:14" ht="12.75" customHeight="1">
      <c r="C120" s="192"/>
      <c r="D120" s="192"/>
      <c r="E120" s="192"/>
      <c r="F120" s="192"/>
      <c r="G120" s="192"/>
      <c r="H120" s="72"/>
      <c r="I120" s="193" t="str">
        <f>CHOOSE(jezyk,n!A909,n!B909,n!C909,n!D907)</f>
        <v>Zysk kapit.</v>
      </c>
      <c r="J120" s="193" t="str">
        <f>CHOOSE(jezyk,n!A910,n!B910,n!C910,n!D908)</f>
        <v>Inne źródła</v>
      </c>
      <c r="K120" s="194" t="str">
        <f>CHOOSE(jezyk,n!A911,n!B911,n!C911,n!D909)</f>
        <v>Łącznie:</v>
      </c>
    </row>
    <row r="121" spans="2:14">
      <c r="B121" s="80"/>
      <c r="C121" s="195" t="str">
        <f>CHOOSE(jezyk,n!A898,n!B898,n!C898,n!D896)</f>
        <v>A. Zysk (strata) brutto za dany rok</v>
      </c>
      <c r="D121" s="196"/>
      <c r="E121" s="196"/>
      <c r="F121" s="197"/>
      <c r="G121" s="197"/>
      <c r="H121" s="197"/>
      <c r="I121" s="198">
        <v>0</v>
      </c>
      <c r="J121" s="198">
        <f>IF(wrach=1,'RZiS Por. '!E74,'RZiS Kal.'!F70)</f>
        <v>458187.37000000081</v>
      </c>
      <c r="K121" s="199">
        <f>I121+J121</f>
        <v>458187.37000000081</v>
      </c>
      <c r="L121" s="181">
        <f>IF(wrach=1,ROUND(K121-'RZiS Por. '!E74,2),ROUND(K121-'RZiS Kal.'!F70,2))</f>
        <v>0</v>
      </c>
    </row>
    <row r="122" spans="2:14" ht="9.9499999999999993" customHeight="1">
      <c r="B122" s="80"/>
      <c r="C122" s="196"/>
      <c r="D122" s="196"/>
      <c r="E122" s="200"/>
      <c r="F122" s="197"/>
      <c r="G122" s="197"/>
      <c r="H122" s="197"/>
      <c r="I122" s="769"/>
      <c r="J122" s="769"/>
      <c r="K122" s="201"/>
    </row>
    <row r="123" spans="2:14" ht="27" customHeight="1">
      <c r="B123" s="88" t="s">
        <v>2476</v>
      </c>
      <c r="C123" s="943" t="str">
        <f>CHOOSE(jezyk,n!A899,n!B899,n!C899,n!D897)</f>
        <v>B. Przychody zwolnione z opodatkowania (trwałe różnice), w tym:</v>
      </c>
      <c r="D123" s="943"/>
      <c r="E123" s="943"/>
      <c r="F123" s="943"/>
      <c r="G123" s="943"/>
      <c r="H123" s="944"/>
      <c r="I123" s="199">
        <f>SUM(I124:I128)</f>
        <v>0</v>
      </c>
      <c r="J123" s="199">
        <f>SUM(J124:J128)</f>
        <v>0</v>
      </c>
      <c r="K123" s="199">
        <f>I123+J123</f>
        <v>0</v>
      </c>
    </row>
    <row r="124" spans="2:14" ht="12.75" customHeight="1">
      <c r="B124" s="80"/>
      <c r="C124" s="940" t="str">
        <f>CHOOSE(jezyk,n!A1691,n!B1691,n!C1691,n!D1689)</f>
        <v>Dotacje, subwencje na zakup ŚT, WNiP</v>
      </c>
      <c r="D124" s="940"/>
      <c r="E124" s="940"/>
      <c r="F124" s="940"/>
      <c r="G124" s="940"/>
      <c r="H124" s="941"/>
      <c r="I124" s="202">
        <v>0</v>
      </c>
      <c r="J124" s="202">
        <v>0</v>
      </c>
      <c r="K124" s="203">
        <f>SUM(I124:J124)</f>
        <v>0</v>
      </c>
      <c r="L124" s="204"/>
    </row>
    <row r="125" spans="2:14">
      <c r="B125" s="80"/>
      <c r="C125" s="940" t="str">
        <f>CHOOSE(jezyk,n!A1692,n!B1692,n!C1692,n!D1690)</f>
        <v>Dywidenda</v>
      </c>
      <c r="D125" s="940"/>
      <c r="E125" s="940"/>
      <c r="F125" s="940"/>
      <c r="G125" s="940"/>
      <c r="H125" s="941"/>
      <c r="I125" s="202">
        <v>0</v>
      </c>
      <c r="J125" s="202">
        <v>0</v>
      </c>
      <c r="K125" s="203">
        <f>SUM(I125:J125)</f>
        <v>0</v>
      </c>
      <c r="L125" s="131"/>
      <c r="N125" s="38"/>
    </row>
    <row r="126" spans="2:14">
      <c r="B126" s="80"/>
      <c r="C126" s="940" t="str">
        <f>CHOOSE(jezyk,n!A1693,n!B1693,n!C1693,n!D1691)</f>
        <v>Rożnice kursowe od podatku VAT</v>
      </c>
      <c r="D126" s="940"/>
      <c r="E126" s="940"/>
      <c r="F126" s="940"/>
      <c r="G126" s="940"/>
      <c r="H126" s="941"/>
      <c r="I126" s="202">
        <v>0</v>
      </c>
      <c r="J126" s="202">
        <v>0</v>
      </c>
      <c r="K126" s="203">
        <f>SUM(I126:J126)</f>
        <v>0</v>
      </c>
      <c r="L126" s="131"/>
      <c r="N126" s="38"/>
    </row>
    <row r="127" spans="2:14" ht="24.75" customHeight="1">
      <c r="B127" s="80"/>
      <c r="C127" s="940" t="str">
        <f>CHOOSE(jezyk,n!A1694,n!B1694,n!C1694,n!D1692)</f>
        <v>Otrzymane odsetki budżetowe oraz od nadpłaconych zobowiązań podatkowych</v>
      </c>
      <c r="D127" s="940"/>
      <c r="E127" s="940"/>
      <c r="F127" s="940"/>
      <c r="G127" s="940"/>
      <c r="H127" s="941"/>
      <c r="I127" s="202">
        <v>0</v>
      </c>
      <c r="J127" s="202">
        <v>0</v>
      </c>
      <c r="K127" s="203">
        <f>SUM(I127:J127)</f>
        <v>0</v>
      </c>
    </row>
    <row r="128" spans="2:14">
      <c r="B128" s="80"/>
      <c r="C128" s="945" t="str">
        <f>CHOOSE(jezyk,n!A1747,n!B1747,n!C1747,n!D1745)</f>
        <v>Pozostałe</v>
      </c>
      <c r="D128" s="945"/>
      <c r="E128" s="945"/>
      <c r="F128" s="945"/>
      <c r="G128" s="945"/>
      <c r="H128" s="946"/>
      <c r="I128" s="202">
        <v>0</v>
      </c>
      <c r="J128" s="202">
        <v>0</v>
      </c>
      <c r="K128" s="203">
        <f>SUM(I128:J128)</f>
        <v>0</v>
      </c>
    </row>
    <row r="129" spans="2:12" ht="9.9499999999999993" customHeight="1">
      <c r="B129" s="80"/>
      <c r="C129" s="196"/>
      <c r="D129" s="196"/>
      <c r="E129" s="200"/>
      <c r="F129" s="197"/>
      <c r="G129" s="197"/>
      <c r="H129" s="197"/>
      <c r="I129" s="769"/>
      <c r="J129" s="769"/>
      <c r="K129" s="88"/>
    </row>
    <row r="130" spans="2:12" ht="26.25" customHeight="1">
      <c r="B130" s="88" t="s">
        <v>2476</v>
      </c>
      <c r="C130" s="943" t="str">
        <f>CHOOSE(jezyk,n!A900,n!B900,n!C900,n!D898)</f>
        <v>C. Przychody niepodlegające opodatkowaniu w roku bieżącym, w tym:</v>
      </c>
      <c r="D130" s="943"/>
      <c r="E130" s="943"/>
      <c r="F130" s="943"/>
      <c r="G130" s="943"/>
      <c r="H130" s="944"/>
      <c r="I130" s="199">
        <f>SUM(I131:I140)</f>
        <v>0</v>
      </c>
      <c r="J130" s="199">
        <f>SUM(J131:J140)</f>
        <v>3036.24</v>
      </c>
      <c r="K130" s="199">
        <f>I130+J130</f>
        <v>3036.24</v>
      </c>
      <c r="L130" s="131" t="s">
        <v>4492</v>
      </c>
    </row>
    <row r="131" spans="2:12" ht="12.75" customHeight="1">
      <c r="B131" s="80"/>
      <c r="C131" s="945" t="str">
        <f>CHOOSE(jezyk,n!A1696,n!B1696,n!C1696,n!D1694)</f>
        <v>Różnice kursowe dodatnie niezrealizowane</v>
      </c>
      <c r="D131" s="945"/>
      <c r="E131" s="945"/>
      <c r="F131" s="945"/>
      <c r="G131" s="945"/>
      <c r="H131" s="946"/>
      <c r="I131" s="202">
        <v>0</v>
      </c>
      <c r="J131" s="202">
        <v>3035.85</v>
      </c>
      <c r="K131" s="203">
        <f t="shared" ref="K131:K140" si="2">SUM(I131:J131)</f>
        <v>3035.85</v>
      </c>
    </row>
    <row r="132" spans="2:12" ht="12.75" customHeight="1">
      <c r="B132" s="80"/>
      <c r="C132" s="940" t="str">
        <f>CHOOSE(jezyk,n!A1697,n!B1697,n!C1697,n!D1695)</f>
        <v>Rozwiązane rezerwy na koszty utworzone w latach ubiegłych</v>
      </c>
      <c r="D132" s="940"/>
      <c r="E132" s="940"/>
      <c r="F132" s="940"/>
      <c r="G132" s="940"/>
      <c r="H132" s="941"/>
      <c r="I132" s="202">
        <v>0</v>
      </c>
      <c r="J132" s="202">
        <v>0</v>
      </c>
      <c r="K132" s="203">
        <f t="shared" si="2"/>
        <v>0</v>
      </c>
    </row>
    <row r="133" spans="2:12" ht="12.75" customHeight="1">
      <c r="B133" s="80"/>
      <c r="C133" s="945" t="str">
        <f>CHOOSE(jezyk,n!A1698,n!B1698,n!C1698,n!D1696)</f>
        <v>Faktury korygujące wystawione w następnym roku podatkowym</v>
      </c>
      <c r="D133" s="945"/>
      <c r="E133" s="945"/>
      <c r="F133" s="945"/>
      <c r="G133" s="945"/>
      <c r="H133" s="946"/>
      <c r="I133" s="202">
        <v>0</v>
      </c>
      <c r="J133" s="202">
        <v>0</v>
      </c>
      <c r="K133" s="203">
        <f t="shared" si="2"/>
        <v>0</v>
      </c>
    </row>
    <row r="134" spans="2:12" ht="12.75" customHeight="1">
      <c r="B134" s="80"/>
      <c r="C134" s="945" t="str">
        <f>CHOOSE(jezyk,n!A1699,n!B1699,n!C1699,n!D1697)</f>
        <v>Utworzone rezerwy na przychody</v>
      </c>
      <c r="D134" s="945"/>
      <c r="E134" s="945"/>
      <c r="F134" s="945"/>
      <c r="G134" s="945"/>
      <c r="H134" s="946"/>
      <c r="I134" s="202">
        <v>0</v>
      </c>
      <c r="J134" s="202">
        <v>0</v>
      </c>
      <c r="K134" s="203">
        <f t="shared" si="2"/>
        <v>0</v>
      </c>
    </row>
    <row r="135" spans="2:12" ht="12.75" customHeight="1">
      <c r="B135" s="80"/>
      <c r="C135" s="945" t="str">
        <f>CHOOSE(jezyk,n!A1700,n!B1700,n!C1700,n!D1698)</f>
        <v>Bilansowa aktualizacja wartośći aktywów trwałych</v>
      </c>
      <c r="D135" s="945"/>
      <c r="E135" s="945"/>
      <c r="F135" s="945"/>
      <c r="G135" s="945"/>
      <c r="H135" s="946"/>
      <c r="I135" s="202">
        <v>0</v>
      </c>
      <c r="J135" s="202">
        <v>0</v>
      </c>
      <c r="K135" s="203">
        <f t="shared" ref="K135:K136" si="3">SUM(I135:J135)</f>
        <v>0</v>
      </c>
    </row>
    <row r="136" spans="2:12" ht="12.75" customHeight="1">
      <c r="B136" s="80"/>
      <c r="C136" s="945" t="str">
        <f>CHOOSE(jezyk,n!A1701,n!B1701,n!C1701,n!D1699)</f>
        <v>Bilansowa aktualizacja wartośći aktywów finansowych</v>
      </c>
      <c r="D136" s="945"/>
      <c r="E136" s="945"/>
      <c r="F136" s="945"/>
      <c r="G136" s="945"/>
      <c r="H136" s="946"/>
      <c r="I136" s="202">
        <v>0</v>
      </c>
      <c r="J136" s="202">
        <v>0</v>
      </c>
      <c r="K136" s="203">
        <f t="shared" si="3"/>
        <v>0</v>
      </c>
    </row>
    <row r="137" spans="2:12" ht="39" customHeight="1">
      <c r="B137" s="80"/>
      <c r="C137" s="940" t="str">
        <f>CHOOSE(jezyk,n!A1702,n!B1702,n!C1702,n!D1698)</f>
        <v>Pobrane wpłaty lub zarachowane należności na poczet dostaw towarów i usług, które zostaną wykonane w następnych okresach sprawozdawczych, a także otrzymane lub zwrócone pożyczki (kredyty)</v>
      </c>
      <c r="D137" s="940"/>
      <c r="E137" s="940"/>
      <c r="F137" s="940"/>
      <c r="G137" s="940"/>
      <c r="H137" s="941"/>
      <c r="I137" s="202">
        <v>0</v>
      </c>
      <c r="J137" s="202">
        <v>0</v>
      </c>
      <c r="K137" s="203">
        <f t="shared" si="2"/>
        <v>0</v>
      </c>
    </row>
    <row r="138" spans="2:12" ht="12.75" customHeight="1">
      <c r="B138" s="80"/>
      <c r="C138" s="945" t="str">
        <f>CHOOSE(jezyk,n!A1703,n!B1703,n!C1703,n!D1699)</f>
        <v>Naliczone odsetki</v>
      </c>
      <c r="D138" s="945"/>
      <c r="E138" s="945"/>
      <c r="F138" s="945"/>
      <c r="G138" s="945"/>
      <c r="H138" s="946"/>
      <c r="I138" s="202">
        <v>0</v>
      </c>
      <c r="J138" s="202">
        <v>0</v>
      </c>
      <c r="K138" s="203">
        <f t="shared" si="2"/>
        <v>0</v>
      </c>
    </row>
    <row r="139" spans="2:12" ht="12.75" customHeight="1">
      <c r="B139" s="80"/>
      <c r="C139" s="940" t="str">
        <f>CHOOSE(jezyk,n!A1704,n!B1704,n!C1704,n!D1702)</f>
        <v>Rozwiązanie odpisu na należności</v>
      </c>
      <c r="D139" s="940"/>
      <c r="E139" s="940"/>
      <c r="F139" s="940"/>
      <c r="G139" s="940"/>
      <c r="H139" s="941"/>
      <c r="I139" s="202">
        <v>0</v>
      </c>
      <c r="J139" s="202">
        <v>0</v>
      </c>
      <c r="K139" s="203">
        <f t="shared" si="2"/>
        <v>0</v>
      </c>
    </row>
    <row r="140" spans="2:12">
      <c r="B140" s="80"/>
      <c r="C140" s="945" t="str">
        <f>CHOOSE(jezyk,n!A1747,n!B1747,n!C1747,n!D1745)</f>
        <v>Pozostałe</v>
      </c>
      <c r="D140" s="945"/>
      <c r="E140" s="945"/>
      <c r="F140" s="945"/>
      <c r="G140" s="945"/>
      <c r="H140" s="946"/>
      <c r="I140" s="202">
        <v>0</v>
      </c>
      <c r="J140" s="202">
        <v>0.39</v>
      </c>
      <c r="K140" s="203">
        <f t="shared" si="2"/>
        <v>0.39</v>
      </c>
    </row>
    <row r="141" spans="2:12" ht="9.9499999999999993" customHeight="1">
      <c r="B141" s="80"/>
      <c r="C141" s="196"/>
      <c r="D141" s="196"/>
      <c r="E141" s="200"/>
      <c r="F141" s="197"/>
      <c r="G141" s="197"/>
      <c r="H141" s="197"/>
      <c r="I141" s="101"/>
      <c r="J141" s="101"/>
      <c r="K141" s="88"/>
    </row>
    <row r="142" spans="2:12" ht="26.25" customHeight="1">
      <c r="B142" s="88" t="s">
        <v>2477</v>
      </c>
      <c r="C142" s="943" t="str">
        <f>CHOOSE(jezyk,n!A901,n!B901,n!C901,n!D899)</f>
        <v>D. Przychody podlegające opodatkowaniu w roku bieżącym, ujęte w księgach rachunkowych lat ubiegłych w tym:</v>
      </c>
      <c r="D142" s="943"/>
      <c r="E142" s="943"/>
      <c r="F142" s="943"/>
      <c r="G142" s="943"/>
      <c r="H142" s="944"/>
      <c r="I142" s="199">
        <f>SUM(I143:I147)</f>
        <v>0</v>
      </c>
      <c r="J142" s="199">
        <f>SUM(J143:J147)</f>
        <v>0</v>
      </c>
      <c r="K142" s="199">
        <f>I142+J142</f>
        <v>0</v>
      </c>
    </row>
    <row r="143" spans="2:12" ht="26.25" customHeight="1">
      <c r="B143" s="80"/>
      <c r="C143" s="940" t="str">
        <f>CHOOSE(jezyk,n!A1706,n!B1706,n!C1706,n!D1704)</f>
        <v>Faktury korygujące przychody wystawione w bieżącym roku obrotowym, a dotyczące roku poprzedniego</v>
      </c>
      <c r="D143" s="940"/>
      <c r="E143" s="940"/>
      <c r="F143" s="940"/>
      <c r="G143" s="940"/>
      <c r="H143" s="941"/>
      <c r="I143" s="202">
        <v>0</v>
      </c>
      <c r="J143" s="202">
        <v>0</v>
      </c>
      <c r="K143" s="203">
        <f>SUM(I143:J143)</f>
        <v>0</v>
      </c>
    </row>
    <row r="144" spans="2:12">
      <c r="B144" s="80"/>
      <c r="C144" s="940" t="str">
        <f>CHOOSE(jezyk,n!A1707,n!B1707,n!C1707,n!D1705)</f>
        <v>Odsetki naliczone w roku poprzednim otrzymane w roku bieżącym</v>
      </c>
      <c r="D144" s="940"/>
      <c r="E144" s="940"/>
      <c r="F144" s="940"/>
      <c r="G144" s="940"/>
      <c r="H144" s="941"/>
      <c r="I144" s="202">
        <v>0</v>
      </c>
      <c r="J144" s="202">
        <v>0</v>
      </c>
      <c r="K144" s="203">
        <f>SUM(I144:J144)</f>
        <v>0</v>
      </c>
    </row>
    <row r="145" spans="2:11">
      <c r="B145" s="80"/>
      <c r="C145" s="940" t="str">
        <f>CHOOSE(jezyk,n!A1708,n!B1708,n!C1708,n!D1706)</f>
        <v>Zafakturowane szacunki przychodów</v>
      </c>
      <c r="D145" s="940"/>
      <c r="E145" s="940"/>
      <c r="F145" s="940"/>
      <c r="G145" s="940"/>
      <c r="H145" s="941"/>
      <c r="I145" s="202">
        <v>0</v>
      </c>
      <c r="J145" s="202">
        <v>0</v>
      </c>
      <c r="K145" s="203">
        <f t="shared" ref="K145:K146" si="4">SUM(I145:J145)</f>
        <v>0</v>
      </c>
    </row>
    <row r="146" spans="2:11">
      <c r="B146" s="80"/>
      <c r="C146" s="940" t="str">
        <f>CHOOSE(jezyk,n!A1709,n!B1709,n!C1709,n!D1707)</f>
        <v>Otrzymane nieodpłatne świadczenia</v>
      </c>
      <c r="D146" s="940"/>
      <c r="E146" s="940"/>
      <c r="F146" s="940"/>
      <c r="G146" s="940"/>
      <c r="H146" s="941"/>
      <c r="I146" s="202">
        <v>0</v>
      </c>
      <c r="J146" s="202">
        <v>0</v>
      </c>
      <c r="K146" s="203">
        <f t="shared" si="4"/>
        <v>0</v>
      </c>
    </row>
    <row r="147" spans="2:11">
      <c r="B147" s="80"/>
      <c r="C147" s="940" t="str">
        <f>CHOOSE(jezyk,n!A1747,n!B1747,n!C1747,n!D1745)</f>
        <v>Pozostałe</v>
      </c>
      <c r="D147" s="940"/>
      <c r="E147" s="940"/>
      <c r="F147" s="940"/>
      <c r="G147" s="940"/>
      <c r="H147" s="941"/>
      <c r="I147" s="202">
        <v>0</v>
      </c>
      <c r="J147" s="202">
        <v>0</v>
      </c>
      <c r="K147" s="203">
        <f>SUM(I147:J147)</f>
        <v>0</v>
      </c>
    </row>
    <row r="148" spans="2:11" ht="9.9499999999999993" customHeight="1">
      <c r="B148" s="80"/>
      <c r="C148" s="205"/>
      <c r="D148" s="196"/>
      <c r="E148" s="200"/>
      <c r="F148" s="197"/>
      <c r="G148" s="197"/>
      <c r="H148" s="197"/>
      <c r="I148" s="769"/>
      <c r="J148" s="769"/>
      <c r="K148" s="88"/>
    </row>
    <row r="149" spans="2:11" ht="27.75" customHeight="1">
      <c r="B149" s="88" t="s">
        <v>2477</v>
      </c>
      <c r="C149" s="943" t="str">
        <f>CHOOSE(jezyk,n!A902,n!B902,n!C902,n!D900)</f>
        <v>E. Koszty niestanowiące kosztów uzyskania przychodów (trwałe różnice), w tym:</v>
      </c>
      <c r="D149" s="943"/>
      <c r="E149" s="943"/>
      <c r="F149" s="943"/>
      <c r="G149" s="943"/>
      <c r="H149" s="944"/>
      <c r="I149" s="199">
        <f>SUM(I150:I163)</f>
        <v>0</v>
      </c>
      <c r="J149" s="199">
        <f>SUM(J150:J163)</f>
        <v>40818.99</v>
      </c>
      <c r="K149" s="199">
        <f>I149+J149</f>
        <v>40818.99</v>
      </c>
    </row>
    <row r="150" spans="2:11" ht="12.75" customHeight="1">
      <c r="B150" s="80"/>
      <c r="C150" s="940" t="str">
        <f>CHOOSE(jezyk,n!A1711,n!B1711,n!C1711,n!D1707)</f>
        <v xml:space="preserve">Koszty dotyczące samochodów wynajmowanych powyżej limitu </v>
      </c>
      <c r="D150" s="940"/>
      <c r="E150" s="940"/>
      <c r="F150" s="940"/>
      <c r="G150" s="940"/>
      <c r="H150" s="941"/>
      <c r="I150" s="202">
        <v>0</v>
      </c>
      <c r="J150" s="202">
        <v>0</v>
      </c>
      <c r="K150" s="203">
        <f t="shared" ref="K150:K163" si="5">SUM(I150:J150)</f>
        <v>0</v>
      </c>
    </row>
    <row r="151" spans="2:11" ht="25.5" customHeight="1">
      <c r="B151" s="80"/>
      <c r="C151" s="940" t="str">
        <f>CHOOSE(jezyk,n!A1712,n!B1712,n!C1712,n!D1708)</f>
        <v>Koszty używania samochodów osobowych do celów mieszanych (25%)</v>
      </c>
      <c r="D151" s="940"/>
      <c r="E151" s="940"/>
      <c r="F151" s="940"/>
      <c r="G151" s="940"/>
      <c r="H151" s="941"/>
      <c r="I151" s="202">
        <v>0</v>
      </c>
      <c r="J151" s="202">
        <v>13565.59</v>
      </c>
      <c r="K151" s="203">
        <f t="shared" ref="K151" si="6">SUM(I151:J151)</f>
        <v>13565.59</v>
      </c>
    </row>
    <row r="152" spans="2:11" ht="12.75" customHeight="1">
      <c r="B152" s="80"/>
      <c r="C152" s="940" t="str">
        <f>CHOOSE(jezyk,n!A1713,n!B1713,n!C1713,n!D1709)</f>
        <v>PFRON</v>
      </c>
      <c r="D152" s="940"/>
      <c r="E152" s="940"/>
      <c r="F152" s="940"/>
      <c r="G152" s="940"/>
      <c r="H152" s="941"/>
      <c r="I152" s="202">
        <v>0</v>
      </c>
      <c r="J152" s="202">
        <v>0</v>
      </c>
      <c r="K152" s="203">
        <f t="shared" si="5"/>
        <v>0</v>
      </c>
    </row>
    <row r="153" spans="2:11" ht="12.75" customHeight="1">
      <c r="B153" s="80"/>
      <c r="C153" s="940" t="str">
        <f>CHOOSE(jezyk,n!A1714,n!B1714,n!C1714,n!D1710)</f>
        <v>Przekazane darowizny</v>
      </c>
      <c r="D153" s="940"/>
      <c r="E153" s="940"/>
      <c r="F153" s="940"/>
      <c r="G153" s="940"/>
      <c r="H153" s="941"/>
      <c r="I153" s="202">
        <v>0</v>
      </c>
      <c r="J153" s="202">
        <v>0</v>
      </c>
      <c r="K153" s="203">
        <f t="shared" si="5"/>
        <v>0</v>
      </c>
    </row>
    <row r="154" spans="2:11" ht="12.75" customHeight="1">
      <c r="B154" s="80"/>
      <c r="C154" s="940" t="str">
        <f>CHOOSE(jezyk,n!A1715,n!B1715,n!C1715,n!D1711)</f>
        <v>Składki członkowskie</v>
      </c>
      <c r="D154" s="940"/>
      <c r="E154" s="940"/>
      <c r="F154" s="940"/>
      <c r="G154" s="940"/>
      <c r="H154" s="941"/>
      <c r="I154" s="202">
        <v>0</v>
      </c>
      <c r="J154" s="202">
        <v>0</v>
      </c>
      <c r="K154" s="203">
        <f t="shared" si="5"/>
        <v>0</v>
      </c>
    </row>
    <row r="155" spans="2:11" ht="12.75" customHeight="1">
      <c r="B155" s="80"/>
      <c r="C155" s="940" t="str">
        <f>CHOOSE(jezyk,n!A1716,n!B1716,n!C1716,n!D1712)</f>
        <v>Diety powyżej limitów</v>
      </c>
      <c r="D155" s="940"/>
      <c r="E155" s="940"/>
      <c r="F155" s="940"/>
      <c r="G155" s="940"/>
      <c r="H155" s="941"/>
      <c r="I155" s="202">
        <v>0</v>
      </c>
      <c r="J155" s="202">
        <v>0</v>
      </c>
      <c r="K155" s="203">
        <f t="shared" si="5"/>
        <v>0</v>
      </c>
    </row>
    <row r="156" spans="2:11" ht="12.75" customHeight="1">
      <c r="B156" s="80"/>
      <c r="C156" s="940" t="str">
        <f>CHOOSE(jezyk,n!A1717,n!B1717,n!C1717,n!D1713)</f>
        <v>Ubezpieczenie samochodu o wartości powyżej 150 TPLN</v>
      </c>
      <c r="D156" s="940"/>
      <c r="E156" s="940"/>
      <c r="F156" s="940"/>
      <c r="G156" s="940"/>
      <c r="H156" s="941"/>
      <c r="I156" s="202">
        <v>0</v>
      </c>
      <c r="J156" s="202">
        <v>0</v>
      </c>
      <c r="K156" s="203">
        <f t="shared" ref="K156:K158" si="7">SUM(I156:J156)</f>
        <v>0</v>
      </c>
    </row>
    <row r="157" spans="2:11" ht="28.5" customHeight="1">
      <c r="B157" s="80"/>
      <c r="C157" s="940" t="str">
        <f>CHOOSE(jezyk,n!A1718,n!B1718,n!C1718,n!D1714)</f>
        <v>Amortyzacja samochodów osobowych o wartości powyżej 150 TPLN</v>
      </c>
      <c r="D157" s="940"/>
      <c r="E157" s="940"/>
      <c r="F157" s="940"/>
      <c r="G157" s="940"/>
      <c r="H157" s="941"/>
      <c r="I157" s="202">
        <v>0</v>
      </c>
      <c r="J157" s="202">
        <v>0</v>
      </c>
      <c r="K157" s="203">
        <f t="shared" si="7"/>
        <v>0</v>
      </c>
    </row>
    <row r="158" spans="2:11" ht="27.75" customHeight="1">
      <c r="B158" s="80"/>
      <c r="C158" s="940" t="str">
        <f>CHOOSE(jezyk,n!A1719,n!B1719,n!C1719,n!D1715)</f>
        <v>Amortyzacja bilansowa odmiennie rozliczana od amortyzacji podatkowej</v>
      </c>
      <c r="D158" s="940"/>
      <c r="E158" s="940"/>
      <c r="F158" s="940"/>
      <c r="G158" s="940"/>
      <c r="H158" s="941"/>
      <c r="I158" s="202">
        <v>0</v>
      </c>
      <c r="J158" s="202">
        <v>0</v>
      </c>
      <c r="K158" s="203">
        <f t="shared" si="7"/>
        <v>0</v>
      </c>
    </row>
    <row r="159" spans="2:11" ht="12.75" customHeight="1">
      <c r="B159" s="80"/>
      <c r="C159" s="940" t="str">
        <f>CHOOSE(jezyk,n!A1720,n!B1720,n!C1720,n!#REF!)</f>
        <v>Koszty reprezentacji</v>
      </c>
      <c r="D159" s="940"/>
      <c r="E159" s="940"/>
      <c r="F159" s="940"/>
      <c r="G159" s="940"/>
      <c r="H159" s="941"/>
      <c r="I159" s="202">
        <v>0</v>
      </c>
      <c r="J159" s="202">
        <v>677.64</v>
      </c>
      <c r="K159" s="203">
        <f t="shared" si="5"/>
        <v>677.64</v>
      </c>
    </row>
    <row r="160" spans="2:11" ht="12.75" customHeight="1">
      <c r="B160" s="80"/>
      <c r="C160" s="940" t="str">
        <f>CHOOSE(jezyk,n!A1721,n!B1721,n!C1721,n!#REF!)</f>
        <v>Kary umowne oraz odszkodowania za nieterminowe dostawy</v>
      </c>
      <c r="D160" s="940"/>
      <c r="E160" s="940"/>
      <c r="F160" s="940"/>
      <c r="G160" s="940"/>
      <c r="H160" s="941"/>
      <c r="I160" s="202">
        <v>0</v>
      </c>
      <c r="J160" s="202">
        <v>0</v>
      </c>
      <c r="K160" s="203">
        <f t="shared" si="5"/>
        <v>0</v>
      </c>
    </row>
    <row r="161" spans="2:12" ht="12.75" customHeight="1">
      <c r="B161" s="80"/>
      <c r="C161" s="940" t="str">
        <f>CHOOSE(jezyk,n!A1722,n!B1722,n!C1722,n!D1720)</f>
        <v>Odsetki budżetowe</v>
      </c>
      <c r="D161" s="940"/>
      <c r="E161" s="940"/>
      <c r="F161" s="940"/>
      <c r="G161" s="940"/>
      <c r="H161" s="941"/>
      <c r="I161" s="202">
        <v>0</v>
      </c>
      <c r="J161" s="202">
        <v>180</v>
      </c>
      <c r="K161" s="203">
        <f t="shared" si="5"/>
        <v>180</v>
      </c>
    </row>
    <row r="162" spans="2:12" ht="12.75" customHeight="1">
      <c r="B162" s="80"/>
      <c r="C162" s="940" t="str">
        <f>CHOOSE(jezyk,n!A1723,n!B1723,n!C1723,n!D1721)</f>
        <v>Koszty finansowania dłużnego</v>
      </c>
      <c r="D162" s="940"/>
      <c r="E162" s="940"/>
      <c r="F162" s="940"/>
      <c r="G162" s="940"/>
      <c r="H162" s="941"/>
      <c r="I162" s="202">
        <v>0</v>
      </c>
      <c r="J162" s="202">
        <v>0</v>
      </c>
      <c r="K162" s="203">
        <f t="shared" ref="K162" si="8">SUM(I162:J162)</f>
        <v>0</v>
      </c>
    </row>
    <row r="163" spans="2:12">
      <c r="B163" s="80"/>
      <c r="C163" s="940" t="str">
        <f>CHOOSE(jezyk,n!A1747,n!B1747,n!C1747,n!D1745)</f>
        <v>Pozostałe</v>
      </c>
      <c r="D163" s="940"/>
      <c r="E163" s="940"/>
      <c r="F163" s="940"/>
      <c r="G163" s="940"/>
      <c r="H163" s="941"/>
      <c r="I163" s="202">
        <v>0</v>
      </c>
      <c r="J163" s="202">
        <v>26395.759999999998</v>
      </c>
      <c r="K163" s="203">
        <f t="shared" si="5"/>
        <v>26395.759999999998</v>
      </c>
    </row>
    <row r="164" spans="2:12" ht="9" hidden="1" customHeight="1">
      <c r="B164" s="80"/>
      <c r="C164" s="205"/>
      <c r="D164" s="196"/>
      <c r="E164" s="200"/>
      <c r="F164" s="197"/>
      <c r="G164" s="197"/>
      <c r="H164" s="197"/>
      <c r="I164" s="101"/>
      <c r="J164" s="101"/>
      <c r="K164" s="88"/>
    </row>
    <row r="165" spans="2:12" ht="12.75" hidden="1" customHeight="1">
      <c r="B165" s="80"/>
      <c r="C165" s="205"/>
      <c r="D165" s="196"/>
      <c r="E165" s="200"/>
      <c r="F165" s="197"/>
      <c r="G165" s="197"/>
      <c r="H165" s="197"/>
      <c r="I165" s="193" t="str">
        <f>I120</f>
        <v>Zysk kapit.</v>
      </c>
      <c r="J165" s="193" t="str">
        <f>J120</f>
        <v>Inne źródła</v>
      </c>
      <c r="K165" s="206" t="str">
        <f>K120</f>
        <v>Łącznie:</v>
      </c>
      <c r="L165" s="214" t="s">
        <v>6429</v>
      </c>
    </row>
    <row r="166" spans="2:12" ht="9.9499999999999993" customHeight="1">
      <c r="B166" s="80"/>
      <c r="C166" s="205"/>
      <c r="D166" s="196"/>
      <c r="E166" s="200"/>
      <c r="F166" s="197"/>
      <c r="G166" s="197"/>
      <c r="H166" s="197"/>
      <c r="I166" s="72"/>
      <c r="J166" s="72"/>
      <c r="K166" s="72"/>
    </row>
    <row r="167" spans="2:12" ht="27" customHeight="1">
      <c r="B167" s="88" t="s">
        <v>2477</v>
      </c>
      <c r="C167" s="943" t="str">
        <f>CHOOSE(jezyk,n!A903,n!B903,n!C903,n!D901)</f>
        <v>F. Koszty nieuznawane za koszty uzyskania przychodów w bieżącym roku, w tym:</v>
      </c>
      <c r="D167" s="943"/>
      <c r="E167" s="943"/>
      <c r="F167" s="943"/>
      <c r="G167" s="943"/>
      <c r="H167" s="944"/>
      <c r="I167" s="199">
        <f>SUM(I168:I179)</f>
        <v>0</v>
      </c>
      <c r="J167" s="199">
        <f>SUM(J168:J179)</f>
        <v>425952.42</v>
      </c>
      <c r="K167" s="199">
        <f>SUM(I168:J179)</f>
        <v>425952.42</v>
      </c>
    </row>
    <row r="168" spans="2:12">
      <c r="B168" s="88"/>
      <c r="C168" s="940" t="str">
        <f>CHOOSE(jezyk,n!A1725,n!B1725,n!C1725,n!D1720)</f>
        <v>Odpisy aktualizujące aktywa trwałe</v>
      </c>
      <c r="D168" s="940"/>
      <c r="E168" s="940"/>
      <c r="F168" s="940"/>
      <c r="G168" s="940"/>
      <c r="H168" s="941"/>
      <c r="I168" s="202">
        <v>0</v>
      </c>
      <c r="J168" s="202">
        <v>0</v>
      </c>
      <c r="K168" s="203">
        <f t="shared" ref="K168:K169" si="9">SUM(I168:J168)</f>
        <v>0</v>
      </c>
    </row>
    <row r="169" spans="2:12">
      <c r="B169" s="88"/>
      <c r="C169" s="940" t="str">
        <f>CHOOSE(jezyk,n!A1726,n!B1726,n!C1726,n!D1721)</f>
        <v>Odpisy aktualizujące zapasy</v>
      </c>
      <c r="D169" s="940"/>
      <c r="E169" s="940"/>
      <c r="F169" s="940"/>
      <c r="G169" s="940"/>
      <c r="H169" s="941"/>
      <c r="I169" s="202">
        <v>0</v>
      </c>
      <c r="J169" s="202">
        <v>0</v>
      </c>
      <c r="K169" s="203">
        <f t="shared" si="9"/>
        <v>0</v>
      </c>
    </row>
    <row r="170" spans="2:12" ht="12.75" customHeight="1">
      <c r="B170" s="80"/>
      <c r="C170" s="940" t="str">
        <f>CHOOSE(jezyk,n!A1727,n!B1727,n!C1727,n!D1722)</f>
        <v>Odpisy aktualizujące należności</v>
      </c>
      <c r="D170" s="940"/>
      <c r="E170" s="940"/>
      <c r="F170" s="940"/>
      <c r="G170" s="940"/>
      <c r="H170" s="941"/>
      <c r="I170" s="202">
        <v>0</v>
      </c>
      <c r="J170" s="202">
        <v>10540.21</v>
      </c>
      <c r="K170" s="203">
        <f t="shared" ref="K170:K179" si="10">SUM(I170:J170)</f>
        <v>10540.21</v>
      </c>
    </row>
    <row r="171" spans="2:12" ht="12.75" customHeight="1">
      <c r="B171" s="80"/>
      <c r="C171" s="940" t="str">
        <f>CHOOSE(jezyk,n!A1728,n!B1728,n!C1728,n!D1723)</f>
        <v>Odpisy aktualizujące aktywa finansowe</v>
      </c>
      <c r="D171" s="940"/>
      <c r="E171" s="940"/>
      <c r="F171" s="940"/>
      <c r="G171" s="940"/>
      <c r="H171" s="941"/>
      <c r="I171" s="202">
        <v>0</v>
      </c>
      <c r="J171" s="202">
        <v>0</v>
      </c>
      <c r="K171" s="203">
        <f t="shared" ref="K171:K172" si="11">SUM(I171:J171)</f>
        <v>0</v>
      </c>
    </row>
    <row r="172" spans="2:12" ht="12.75" customHeight="1">
      <c r="B172" s="80"/>
      <c r="C172" s="940" t="str">
        <f>CHOOSE(jezyk,n!A1729,n!B1729,n!C1729,n!D1724)</f>
        <v>Amortyzacja bilansowa odmiennie rozliczana od amortyzacji podatkowej</v>
      </c>
      <c r="D172" s="940"/>
      <c r="E172" s="940"/>
      <c r="F172" s="940"/>
      <c r="G172" s="940"/>
      <c r="H172" s="941"/>
      <c r="I172" s="202">
        <v>0</v>
      </c>
      <c r="J172" s="202">
        <v>0</v>
      </c>
      <c r="K172" s="203">
        <f t="shared" si="11"/>
        <v>0</v>
      </c>
    </row>
    <row r="173" spans="2:12" ht="12.75" customHeight="1">
      <c r="B173" s="80"/>
      <c r="C173" s="940" t="str">
        <f>CHOOSE(jezyk,n!A1730,n!B1730,n!C1730,n!D1724)</f>
        <v>Różnice kursowe ujemne niezrealizowane</v>
      </c>
      <c r="D173" s="940"/>
      <c r="E173" s="940"/>
      <c r="F173" s="940"/>
      <c r="G173" s="940"/>
      <c r="H173" s="941"/>
      <c r="I173" s="202">
        <v>0</v>
      </c>
      <c r="J173" s="202">
        <v>0</v>
      </c>
      <c r="K173" s="203">
        <f t="shared" si="10"/>
        <v>0</v>
      </c>
    </row>
    <row r="174" spans="2:12">
      <c r="B174" s="80"/>
      <c r="C174" s="940" t="str">
        <f>CHOOSE(jezyk,n!A1731,n!B1731,n!C1731,n!D1727)</f>
        <v>Nieopłacone do ZUS składki - narzuty na wynagrodzenia</v>
      </c>
      <c r="D174" s="940"/>
      <c r="E174" s="940"/>
      <c r="F174" s="940"/>
      <c r="G174" s="940"/>
      <c r="H174" s="941"/>
      <c r="I174" s="202">
        <v>0</v>
      </c>
      <c r="J174" s="202">
        <v>17235.07</v>
      </c>
      <c r="K174" s="203">
        <f t="shared" si="10"/>
        <v>17235.07</v>
      </c>
    </row>
    <row r="175" spans="2:12" ht="12.75" customHeight="1">
      <c r="B175" s="80"/>
      <c r="C175" s="940" t="str">
        <f>CHOOSE(jezyk,n!A1732,n!B1732,n!C1732,n!D1730)</f>
        <v>Niewypłacone w terminie wynagrodzenia</v>
      </c>
      <c r="D175" s="940"/>
      <c r="E175" s="940"/>
      <c r="F175" s="940"/>
      <c r="G175" s="940"/>
      <c r="H175" s="941"/>
      <c r="I175" s="202">
        <v>0</v>
      </c>
      <c r="J175" s="202">
        <v>85553.05</v>
      </c>
      <c r="K175" s="203">
        <f t="shared" si="10"/>
        <v>85553.05</v>
      </c>
    </row>
    <row r="176" spans="2:12" ht="12.75" customHeight="1">
      <c r="B176" s="80"/>
      <c r="C176" s="940" t="str">
        <f>CHOOSE(jezyk,n!A1733,n!B1733,n!C1733,n!D1731)</f>
        <v>Utworzone rezerwy</v>
      </c>
      <c r="D176" s="940"/>
      <c r="E176" s="940"/>
      <c r="F176" s="940"/>
      <c r="G176" s="940"/>
      <c r="H176" s="941"/>
      <c r="I176" s="202">
        <v>0</v>
      </c>
      <c r="J176" s="202">
        <v>309406.46999999997</v>
      </c>
      <c r="K176" s="203">
        <f t="shared" si="10"/>
        <v>309406.46999999997</v>
      </c>
    </row>
    <row r="177" spans="2:11" ht="12.75" customHeight="1">
      <c r="B177" s="80"/>
      <c r="C177" s="940" t="str">
        <f>CHOOSE(jezyk,n!A1734,n!B1734,n!C1734,n!D1732)</f>
        <v>Niewypłacone diety</v>
      </c>
      <c r="D177" s="940"/>
      <c r="E177" s="940"/>
      <c r="F177" s="940"/>
      <c r="G177" s="940"/>
      <c r="H177" s="941"/>
      <c r="I177" s="202">
        <v>0</v>
      </c>
      <c r="J177" s="202">
        <v>0</v>
      </c>
      <c r="K177" s="203">
        <f t="shared" si="10"/>
        <v>0</v>
      </c>
    </row>
    <row r="178" spans="2:11" ht="12.75" customHeight="1">
      <c r="B178" s="80"/>
      <c r="C178" s="940" t="str">
        <f>CHOOSE(jezyk,n!A1735,n!B1735,n!C1735,n!D1733)</f>
        <v>Odsetki naliczone</v>
      </c>
      <c r="D178" s="940"/>
      <c r="E178" s="940"/>
      <c r="F178" s="940"/>
      <c r="G178" s="940"/>
      <c r="H178" s="941"/>
      <c r="I178" s="202">
        <v>0</v>
      </c>
      <c r="J178" s="202">
        <v>3217.62</v>
      </c>
      <c r="K178" s="203">
        <f t="shared" si="10"/>
        <v>3217.62</v>
      </c>
    </row>
    <row r="179" spans="2:11">
      <c r="B179" s="80"/>
      <c r="C179" s="940" t="str">
        <f>CHOOSE(jezyk,n!A1747,n!B1747,n!C1747,n!D1745)</f>
        <v>Pozostałe</v>
      </c>
      <c r="D179" s="940"/>
      <c r="E179" s="940"/>
      <c r="F179" s="940"/>
      <c r="G179" s="940"/>
      <c r="H179" s="941"/>
      <c r="I179" s="202">
        <v>0</v>
      </c>
      <c r="J179" s="202">
        <v>0</v>
      </c>
      <c r="K179" s="203">
        <f t="shared" si="10"/>
        <v>0</v>
      </c>
    </row>
    <row r="180" spans="2:11" ht="9.9499999999999993" customHeight="1">
      <c r="B180" s="80"/>
      <c r="C180" s="205"/>
      <c r="D180" s="196"/>
      <c r="E180" s="200"/>
      <c r="F180" s="197"/>
      <c r="G180" s="197"/>
      <c r="H180" s="197"/>
      <c r="I180" s="101"/>
      <c r="J180" s="101"/>
      <c r="K180" s="88"/>
    </row>
    <row r="181" spans="2:11" ht="28.5" customHeight="1">
      <c r="B181" s="88" t="s">
        <v>2476</v>
      </c>
      <c r="C181" s="943" t="str">
        <f>CHOOSE(jezyk,n!A904,n!B904,n!C904,n!D902)</f>
        <v>G. Koszty uznawane za koszty uzyskania przychodów w roku bieżącym ujęte w księgach lat ubiegłych, w tym:</v>
      </c>
      <c r="D181" s="943"/>
      <c r="E181" s="943"/>
      <c r="F181" s="943"/>
      <c r="G181" s="943"/>
      <c r="H181" s="944"/>
      <c r="I181" s="199">
        <f>SUM(I182:I187)</f>
        <v>0</v>
      </c>
      <c r="J181" s="199">
        <f>SUM(J182:J187)</f>
        <v>0</v>
      </c>
      <c r="K181" s="199">
        <f>I181+J181</f>
        <v>0</v>
      </c>
    </row>
    <row r="182" spans="2:11" ht="27" customHeight="1">
      <c r="B182" s="80"/>
      <c r="C182" s="940" t="str">
        <f>CHOOSE(jezyk,n!A1737,n!B1737,n!C1737,n!D1735)</f>
        <v>Niewypłacone składki ZUS w roku poprzednim zapłacone w roku bieżącym</v>
      </c>
      <c r="D182" s="940"/>
      <c r="E182" s="940"/>
      <c r="F182" s="940"/>
      <c r="G182" s="940"/>
      <c r="H182" s="941"/>
      <c r="I182" s="202">
        <v>0</v>
      </c>
      <c r="J182" s="202">
        <v>0</v>
      </c>
      <c r="K182" s="203">
        <f t="shared" ref="K182:K187" si="12">SUM(I182:J182)</f>
        <v>0</v>
      </c>
    </row>
    <row r="183" spans="2:11" ht="13.5" customHeight="1">
      <c r="B183" s="80"/>
      <c r="C183" s="940" t="str">
        <f>CHOOSE(jezyk,n!A1738,n!B1738,n!C1738,n!D1736)</f>
        <v>Wypłacone po terminie wynagrodzenia</v>
      </c>
      <c r="D183" s="940"/>
      <c r="E183" s="940"/>
      <c r="F183" s="940"/>
      <c r="G183" s="940"/>
      <c r="H183" s="941"/>
      <c r="I183" s="202">
        <v>0</v>
      </c>
      <c r="J183" s="202">
        <v>0</v>
      </c>
      <c r="K183" s="203">
        <f t="shared" si="12"/>
        <v>0</v>
      </c>
    </row>
    <row r="184" spans="2:11" ht="12.75" customHeight="1">
      <c r="B184" s="80"/>
      <c r="C184" s="940" t="str">
        <f>CHOOSE(jezyk,n!A1739,n!B1739,n!C1739,n!D1737)</f>
        <v>Wykorzystane rezerwy z roku poprzedniego</v>
      </c>
      <c r="D184" s="940"/>
      <c r="E184" s="940"/>
      <c r="F184" s="940"/>
      <c r="G184" s="940"/>
      <c r="H184" s="941"/>
      <c r="I184" s="202">
        <v>0</v>
      </c>
      <c r="J184" s="202">
        <v>0</v>
      </c>
      <c r="K184" s="203">
        <f t="shared" si="12"/>
        <v>0</v>
      </c>
    </row>
    <row r="185" spans="2:11" ht="27" customHeight="1">
      <c r="B185" s="80"/>
      <c r="C185" s="940" t="str">
        <f>CHOOSE(jezyk,n!A1740,n!B1740,n!C1740,n!D1738)</f>
        <v>Niewypłacone diety w roku poprzednim, zapłacone w roku bieżącym</v>
      </c>
      <c r="D185" s="940"/>
      <c r="E185" s="940"/>
      <c r="F185" s="940"/>
      <c r="G185" s="940"/>
      <c r="H185" s="941"/>
      <c r="I185" s="202">
        <v>0</v>
      </c>
      <c r="J185" s="202">
        <v>0</v>
      </c>
      <c r="K185" s="203">
        <f t="shared" si="12"/>
        <v>0</v>
      </c>
    </row>
    <row r="186" spans="2:11">
      <c r="B186" s="80"/>
      <c r="C186" s="940" t="str">
        <f>CHOOSE(jezyk,n!A1741,n!B1741,n!C1741,n!D1739)</f>
        <v>Odsetki naliczone w roku poprzednim zapłacone w roku bieżącym</v>
      </c>
      <c r="D186" s="940"/>
      <c r="E186" s="940"/>
      <c r="F186" s="940"/>
      <c r="G186" s="940"/>
      <c r="H186" s="941"/>
      <c r="I186" s="202">
        <v>0</v>
      </c>
      <c r="J186" s="202">
        <v>0</v>
      </c>
      <c r="K186" s="203">
        <f t="shared" si="12"/>
        <v>0</v>
      </c>
    </row>
    <row r="187" spans="2:11">
      <c r="B187" s="80"/>
      <c r="C187" s="940" t="str">
        <f>CHOOSE(jezyk,n!A1747,n!B1747,n!C1747,n!D1745)</f>
        <v>Pozostałe</v>
      </c>
      <c r="D187" s="940"/>
      <c r="E187" s="940"/>
      <c r="F187" s="940"/>
      <c r="G187" s="940"/>
      <c r="H187" s="941"/>
      <c r="I187" s="202">
        <v>0</v>
      </c>
      <c r="J187" s="202">
        <v>0</v>
      </c>
      <c r="K187" s="203">
        <f t="shared" si="12"/>
        <v>0</v>
      </c>
    </row>
    <row r="188" spans="2:11" ht="9.9499999999999993" customHeight="1">
      <c r="B188" s="80"/>
      <c r="C188" s="205"/>
      <c r="D188" s="196"/>
      <c r="E188" s="200"/>
      <c r="F188" s="197"/>
      <c r="G188" s="197"/>
      <c r="H188" s="197"/>
      <c r="I188" s="101"/>
      <c r="J188" s="101"/>
      <c r="K188" s="88"/>
    </row>
    <row r="189" spans="2:11" ht="12.75" customHeight="1">
      <c r="B189" s="80"/>
      <c r="C189" s="943" t="str">
        <f>CHOOSE(jezyk,n!A905,n!B905,n!C905,n!D903)</f>
        <v>H. Strata z lat ubiegłych, w tym:</v>
      </c>
      <c r="D189" s="943"/>
      <c r="E189" s="943"/>
      <c r="F189" s="943"/>
      <c r="G189" s="943"/>
      <c r="H189" s="944"/>
      <c r="I189" s="199">
        <f>SUM(I190:I191)</f>
        <v>0</v>
      </c>
      <c r="J189" s="199">
        <f>SUM(J190:J191)</f>
        <v>0</v>
      </c>
      <c r="K189" s="199">
        <f>I189+J189</f>
        <v>0</v>
      </c>
    </row>
    <row r="190" spans="2:11">
      <c r="B190" s="80"/>
      <c r="C190" s="940"/>
      <c r="D190" s="940"/>
      <c r="E190" s="940"/>
      <c r="F190" s="940"/>
      <c r="G190" s="940"/>
      <c r="H190" s="197"/>
      <c r="I190" s="202">
        <v>0</v>
      </c>
      <c r="J190" s="202">
        <v>0</v>
      </c>
      <c r="K190" s="203">
        <f>SUM(I190:J190)</f>
        <v>0</v>
      </c>
    </row>
    <row r="191" spans="2:11" ht="9.9499999999999993" customHeight="1">
      <c r="B191" s="80"/>
      <c r="C191" s="205"/>
      <c r="D191" s="196"/>
      <c r="E191" s="200"/>
      <c r="F191" s="197"/>
      <c r="G191" s="197"/>
      <c r="H191" s="197"/>
      <c r="I191" s="101"/>
      <c r="J191" s="101"/>
      <c r="K191" s="88"/>
    </row>
    <row r="192" spans="2:11" ht="12.75" customHeight="1">
      <c r="B192" s="80"/>
      <c r="C192" s="943" t="str">
        <f>CHOOSE(jezyk,n!A906,n!B906,n!C906,n!D904)</f>
        <v>I. Inne zmiany podstawy opodatkowania, w tym:</v>
      </c>
      <c r="D192" s="943"/>
      <c r="E192" s="943"/>
      <c r="F192" s="943"/>
      <c r="G192" s="943"/>
      <c r="H192" s="944"/>
      <c r="I192" s="199">
        <f>SUM(I193:I194)</f>
        <v>0</v>
      </c>
      <c r="J192" s="199">
        <f>SUM(J193:J194)</f>
        <v>0</v>
      </c>
      <c r="K192" s="199">
        <f>I192+J192</f>
        <v>0</v>
      </c>
    </row>
    <row r="193" spans="2:14">
      <c r="B193" s="80"/>
      <c r="C193" s="940" t="str">
        <f>CHOOSE(jezyk,n!A1618,n!B1618,n!C1618,n!D1616)</f>
        <v>darowizny</v>
      </c>
      <c r="D193" s="940"/>
      <c r="E193" s="940"/>
      <c r="F193" s="940"/>
      <c r="G193" s="940"/>
      <c r="H193" s="197"/>
      <c r="I193" s="202">
        <v>0</v>
      </c>
      <c r="J193" s="202">
        <v>0</v>
      </c>
      <c r="K193" s="203">
        <f>SUM(I193:J193)</f>
        <v>0</v>
      </c>
    </row>
    <row r="194" spans="2:14" ht="9.9499999999999993" customHeight="1">
      <c r="B194" s="80"/>
      <c r="C194" s="205"/>
      <c r="D194" s="196"/>
      <c r="E194" s="200"/>
      <c r="F194" s="197"/>
      <c r="G194" s="197"/>
      <c r="H194" s="197"/>
      <c r="I194" s="101"/>
      <c r="J194" s="101"/>
      <c r="K194" s="88"/>
    </row>
    <row r="195" spans="2:14" ht="12.75" customHeight="1">
      <c r="B195" s="80"/>
      <c r="C195" s="943" t="str">
        <f>CHOOSE(jezyk,n!A907,n!B907,n!C907,n!D905)</f>
        <v>J. Podstawa opodatkowania podatkiem dochodowym</v>
      </c>
      <c r="D195" s="943"/>
      <c r="E195" s="943"/>
      <c r="F195" s="943"/>
      <c r="G195" s="943"/>
      <c r="H195" s="943"/>
      <c r="I195" s="199">
        <f>I121-I123-I130+I142+I149+I167-I181-I189-I192</f>
        <v>0</v>
      </c>
      <c r="J195" s="199">
        <f>J121-J123-J130+J142+J149+J167-J181-J189+J192</f>
        <v>921922.54000000074</v>
      </c>
      <c r="K195" s="199">
        <f>K121-K123-K130+K142+K149+K167-K181-K189-K192</f>
        <v>921922.54000000074</v>
      </c>
    </row>
    <row r="196" spans="2:14" ht="9.9499999999999993" customHeight="1">
      <c r="B196" s="80"/>
      <c r="C196" s="196"/>
      <c r="D196" s="196"/>
      <c r="E196" s="200"/>
      <c r="F196" s="197"/>
      <c r="G196" s="197"/>
      <c r="H196" s="197"/>
      <c r="I196" s="88"/>
      <c r="J196" s="88"/>
      <c r="K196" s="88"/>
    </row>
    <row r="197" spans="2:14" ht="25.5" customHeight="1">
      <c r="B197" s="80"/>
      <c r="C197" s="958" t="str">
        <f>CHOOSE(jezyk,n!A919,n!B919,n!C919,n!D917)</f>
        <v>Podstawa PDOP (po zaokrągleniu)</v>
      </c>
      <c r="D197" s="958"/>
      <c r="E197" s="958"/>
      <c r="F197" s="958"/>
      <c r="G197" s="958"/>
      <c r="H197" s="959"/>
      <c r="I197" s="199">
        <f>ROUND(I195,0)</f>
        <v>0</v>
      </c>
      <c r="J197" s="199">
        <f>ROUND(J195,0)</f>
        <v>921923</v>
      </c>
      <c r="K197" s="199">
        <f>I197+J197</f>
        <v>921923</v>
      </c>
      <c r="L197" s="199">
        <f>ROUND(K195,0)-K197</f>
        <v>0</v>
      </c>
      <c r="M197" s="38"/>
      <c r="N197" s="38"/>
    </row>
    <row r="198" spans="2:14" ht="9.9499999999999993" customHeight="1">
      <c r="B198" s="80"/>
      <c r="C198" s="418"/>
      <c r="D198" s="418"/>
      <c r="E198" s="418"/>
      <c r="F198" s="418"/>
      <c r="G198" s="418"/>
      <c r="H198" s="418"/>
      <c r="I198" s="88"/>
      <c r="J198" s="88"/>
      <c r="K198" s="88"/>
    </row>
    <row r="199" spans="2:14" ht="12.75" customHeight="1">
      <c r="B199" s="80"/>
      <c r="C199" s="207" t="str">
        <f>CHOOSE(jezyk,n!A908,n!B908,n!C908,n!D906)</f>
        <v>K. Podatek dochodowy</v>
      </c>
      <c r="D199" s="207"/>
      <c r="E199" s="207"/>
      <c r="F199" s="207"/>
      <c r="G199" s="275">
        <v>0.19</v>
      </c>
      <c r="H199" s="207"/>
      <c r="I199" s="199">
        <f>IF((I197*G199)&gt;0,ROUND(I197*G199,0),0)</f>
        <v>0</v>
      </c>
      <c r="J199" s="199">
        <f>IF((J197*G199)&gt;0,ROUND(J197*G199,0),0)</f>
        <v>175165</v>
      </c>
      <c r="K199" s="199">
        <f>IF((K197*G199)&gt;0,ROUND(K197*G199,0),0)</f>
        <v>175165</v>
      </c>
      <c r="L199" s="199">
        <f>K199-J199-I199</f>
        <v>0</v>
      </c>
    </row>
    <row r="200" spans="2:14" ht="9.9499999999999993" customHeight="1">
      <c r="B200" s="111"/>
      <c r="C200" s="192"/>
      <c r="D200" s="208"/>
      <c r="E200" s="192"/>
      <c r="F200" s="72"/>
      <c r="G200" s="72"/>
      <c r="H200" s="72"/>
      <c r="I200" s="88"/>
      <c r="J200" s="88"/>
      <c r="K200" s="88"/>
    </row>
    <row r="201" spans="2:14" ht="12.75" customHeight="1">
      <c r="B201" s="111"/>
      <c r="C201" s="192"/>
      <c r="D201" s="684" t="str">
        <f>CHOOSE(jezyk,n!A921,n!B921,n!C921,n!D919)</f>
        <v>zmiana podatku odroczonego</v>
      </c>
      <c r="E201" s="72"/>
      <c r="F201" s="72"/>
      <c r="G201" s="72"/>
      <c r="H201" s="72"/>
      <c r="I201" s="210"/>
      <c r="J201" s="210"/>
      <c r="K201" s="203">
        <f>H326</f>
        <v>-81150</v>
      </c>
    </row>
    <row r="202" spans="2:14">
      <c r="B202" s="111"/>
      <c r="C202" s="192"/>
      <c r="D202" s="684" t="str">
        <f>CHOOSE(jezyk,n!A1744,n!B1744,n!C1744,n!D1742)</f>
        <v>korekta podatku dochodowego za lata ubiegłe</v>
      </c>
      <c r="E202" s="72"/>
      <c r="F202" s="72"/>
      <c r="G202" s="72"/>
      <c r="H202" s="72"/>
      <c r="I202" s="210"/>
      <c r="J202" s="210"/>
      <c r="K202" s="685">
        <v>0</v>
      </c>
    </row>
    <row r="203" spans="2:14" ht="9.9499999999999993" customHeight="1">
      <c r="B203" s="111"/>
      <c r="C203" s="192"/>
      <c r="D203" s="192"/>
      <c r="E203" s="192"/>
      <c r="F203" s="72"/>
      <c r="G203" s="72"/>
      <c r="H203" s="72"/>
      <c r="I203" s="210"/>
      <c r="J203" s="210"/>
      <c r="K203" s="210"/>
    </row>
    <row r="204" spans="2:14" ht="12.75" customHeight="1">
      <c r="B204" s="111"/>
      <c r="C204" s="209" t="str">
        <f>CHOOSE(jezyk,n!A922,n!B922,n!C922,n!D920)</f>
        <v>Razem podatek dochodowy</v>
      </c>
      <c r="D204" s="192"/>
      <c r="E204" s="192"/>
      <c r="F204" s="72"/>
      <c r="G204" s="72"/>
      <c r="H204" s="72"/>
      <c r="I204" s="210"/>
      <c r="J204" s="210"/>
      <c r="K204" s="199">
        <f>K199+K201+K202</f>
        <v>94015</v>
      </c>
      <c r="L204" s="181">
        <f>IF(wrach=1,ROUND(K204-'RZiS Por. '!E76,2),ROUND(K204-'RZiS Kal.'!F72,2))</f>
        <v>0</v>
      </c>
    </row>
    <row r="205" spans="2:14">
      <c r="C205" s="211"/>
      <c r="D205" s="211"/>
      <c r="E205" s="211"/>
      <c r="F205" s="212"/>
      <c r="G205" s="211"/>
      <c r="I205" s="960"/>
      <c r="J205" s="960"/>
      <c r="K205" s="253"/>
    </row>
    <row r="206" spans="2:14" ht="15" customHeight="1">
      <c r="E206" s="211"/>
      <c r="F206" s="212"/>
      <c r="G206" s="211"/>
      <c r="I206" s="253"/>
      <c r="J206" s="253"/>
      <c r="K206" s="253"/>
    </row>
    <row r="207" spans="2:14" hidden="1">
      <c r="C207" s="211"/>
      <c r="D207" s="211"/>
      <c r="E207" s="211"/>
      <c r="F207" s="212"/>
      <c r="G207" s="211"/>
      <c r="I207" s="962" t="str">
        <f>CHOOSE(jezyk,n!A617,n!B617,n!C617,n!D615)</f>
        <v>Rok obrotowy 2023</v>
      </c>
      <c r="J207" s="962"/>
      <c r="K207" s="962"/>
    </row>
    <row r="208" spans="2:14" ht="12.75" hidden="1" customHeight="1">
      <c r="C208" s="192"/>
      <c r="D208" s="192"/>
      <c r="E208" s="192"/>
      <c r="F208" s="192"/>
      <c r="G208" s="192"/>
      <c r="H208" s="72"/>
      <c r="I208" s="193" t="str">
        <f>I120</f>
        <v>Zysk kapit.</v>
      </c>
      <c r="J208" s="193" t="str">
        <f>J120</f>
        <v>Inne źródła</v>
      </c>
      <c r="K208" s="193" t="str">
        <f>K120</f>
        <v>Łącznie:</v>
      </c>
    </row>
    <row r="209" spans="2:12" hidden="1">
      <c r="B209" s="80"/>
      <c r="C209" s="195" t="str">
        <f>CHOOSE(jezyk,n!A898,n!B898,n!C898,n!D896)</f>
        <v>A. Zysk (strata) brutto za dany rok</v>
      </c>
      <c r="D209" s="196"/>
      <c r="E209" s="196"/>
      <c r="F209" s="197"/>
      <c r="G209" s="197"/>
      <c r="H209" s="197"/>
      <c r="I209" s="213">
        <v>0</v>
      </c>
      <c r="J209" s="203">
        <f>IF(wrach=1,'RZiS Por. '!F74,'RZiS Kal.'!G70)</f>
        <v>0</v>
      </c>
      <c r="K209" s="199">
        <f>I209+J209</f>
        <v>0</v>
      </c>
      <c r="L209" s="181">
        <f>IF(wrach=1,ROUND(K209-'RZiS Por. '!F74,2),ROUND(K209-'RZiS Kal.'!G70,2))</f>
        <v>0</v>
      </c>
    </row>
    <row r="210" spans="2:12" hidden="1">
      <c r="B210" s="80"/>
      <c r="C210" s="196"/>
      <c r="D210" s="196"/>
      <c r="E210" s="200"/>
      <c r="F210" s="197"/>
      <c r="G210" s="197"/>
      <c r="H210" s="197"/>
      <c r="I210" s="769"/>
      <c r="J210" s="769"/>
      <c r="K210" s="201"/>
    </row>
    <row r="211" spans="2:12" ht="26.25" hidden="1" customHeight="1">
      <c r="B211" s="88" t="s">
        <v>2476</v>
      </c>
      <c r="C211" s="943" t="str">
        <f>CHOOSE(jezyk,n!A899,n!B899,n!C899,n!D897)</f>
        <v>B. Przychody zwolnione z opodatkowania (trwałe różnice), w tym:</v>
      </c>
      <c r="D211" s="943"/>
      <c r="E211" s="943"/>
      <c r="F211" s="943"/>
      <c r="G211" s="943"/>
      <c r="H211" s="944"/>
      <c r="I211" s="199">
        <f>SUM(I212:I216)</f>
        <v>0</v>
      </c>
      <c r="J211" s="199">
        <f>SUM(J212:J216)</f>
        <v>0</v>
      </c>
      <c r="K211" s="199">
        <f>SUM(I212:J216)</f>
        <v>0</v>
      </c>
    </row>
    <row r="212" spans="2:12" ht="13.5" hidden="1" customHeight="1">
      <c r="B212" s="80"/>
      <c r="C212" s="940" t="str">
        <f>CHOOSE(jezyk,n!A1691,n!B1691,n!C1691,n!D1689)</f>
        <v>Dotacje, subwencje na zakup ŚT, WNiP</v>
      </c>
      <c r="D212" s="940"/>
      <c r="E212" s="940"/>
      <c r="F212" s="940"/>
      <c r="G212" s="940"/>
      <c r="H212" s="941"/>
      <c r="I212" s="202">
        <v>0</v>
      </c>
      <c r="J212" s="202">
        <v>0</v>
      </c>
      <c r="K212" s="203">
        <f>SUM(I212:J212)</f>
        <v>0</v>
      </c>
    </row>
    <row r="213" spans="2:12" ht="12.75" hidden="1" customHeight="1">
      <c r="B213" s="80"/>
      <c r="C213" s="940" t="str">
        <f>CHOOSE(jezyk,n!A1692,n!B1692,n!C1692,n!D1690)</f>
        <v>Dywidenda</v>
      </c>
      <c r="D213" s="940"/>
      <c r="E213" s="940"/>
      <c r="F213" s="940"/>
      <c r="G213" s="940"/>
      <c r="H213" s="941"/>
      <c r="I213" s="202">
        <v>0</v>
      </c>
      <c r="J213" s="202">
        <v>0</v>
      </c>
      <c r="K213" s="203">
        <f>SUM(I213:J213)</f>
        <v>0</v>
      </c>
    </row>
    <row r="214" spans="2:12" ht="12.75" hidden="1" customHeight="1">
      <c r="B214" s="80"/>
      <c r="C214" s="940" t="str">
        <f>CHOOSE(jezyk,n!A1693,n!B1693,n!C1693,n!D1691)</f>
        <v>Rożnice kursowe od podatku VAT</v>
      </c>
      <c r="D214" s="940"/>
      <c r="E214" s="940"/>
      <c r="F214" s="940"/>
      <c r="G214" s="940"/>
      <c r="H214" s="941"/>
      <c r="I214" s="202">
        <v>0</v>
      </c>
      <c r="J214" s="202">
        <v>0</v>
      </c>
      <c r="K214" s="203">
        <f>SUM(I214:J214)</f>
        <v>0</v>
      </c>
    </row>
    <row r="215" spans="2:12" ht="12.75" hidden="1" customHeight="1">
      <c r="B215" s="80"/>
      <c r="C215" s="940" t="str">
        <f>CHOOSE(jezyk,n!A1694,n!B1694,n!C1694,n!D1692)</f>
        <v>Otrzymane odsetki budżetowe oraz od nadpłaconych zobowiązań podatkowych</v>
      </c>
      <c r="D215" s="940"/>
      <c r="E215" s="940"/>
      <c r="F215" s="940"/>
      <c r="G215" s="940"/>
      <c r="H215" s="941"/>
      <c r="I215" s="202">
        <v>0</v>
      </c>
      <c r="J215" s="202">
        <v>0</v>
      </c>
      <c r="K215" s="203">
        <f>SUM(I215:J215)</f>
        <v>0</v>
      </c>
    </row>
    <row r="216" spans="2:12" hidden="1">
      <c r="B216" s="80"/>
      <c r="C216" s="940" t="str">
        <f>CHOOSE(jezyk,n!A1747,n!B1747,n!C1747,n!D1745)</f>
        <v>Pozostałe</v>
      </c>
      <c r="D216" s="940"/>
      <c r="E216" s="940"/>
      <c r="F216" s="940"/>
      <c r="G216" s="940"/>
      <c r="H216" s="941"/>
      <c r="I216" s="202">
        <v>0</v>
      </c>
      <c r="J216" s="202">
        <v>0</v>
      </c>
      <c r="K216" s="203">
        <f>SUM(I216:J216)</f>
        <v>0</v>
      </c>
    </row>
    <row r="217" spans="2:12" hidden="1">
      <c r="B217" s="80"/>
      <c r="C217" s="196"/>
      <c r="D217" s="196"/>
      <c r="E217" s="200"/>
      <c r="F217" s="197"/>
      <c r="G217" s="197"/>
      <c r="H217" s="197"/>
      <c r="I217" s="769"/>
      <c r="J217" s="769"/>
      <c r="K217" s="88"/>
    </row>
    <row r="218" spans="2:12" ht="28.5" hidden="1" customHeight="1">
      <c r="B218" s="88" t="s">
        <v>2476</v>
      </c>
      <c r="C218" s="943" t="str">
        <f>CHOOSE(jezyk,n!A900,n!B900,n!C900,n!D898)</f>
        <v>C. Przychody niepodlegające opodatkowaniu w roku bieżącym, w tym:</v>
      </c>
      <c r="D218" s="943"/>
      <c r="E218" s="943"/>
      <c r="F218" s="943"/>
      <c r="G218" s="943"/>
      <c r="H218" s="944"/>
      <c r="I218" s="199">
        <f>SUM(I219:I228)</f>
        <v>0</v>
      </c>
      <c r="J218" s="199">
        <f>SUM(J219:J228)</f>
        <v>0</v>
      </c>
      <c r="K218" s="199">
        <f>SUM(I219:J228)</f>
        <v>0</v>
      </c>
    </row>
    <row r="219" spans="2:12" hidden="1">
      <c r="B219" s="80"/>
      <c r="C219" s="940" t="str">
        <f>CHOOSE(jezyk,n!A1696,n!B1696,n!C1696,n!D1694)</f>
        <v>Różnice kursowe dodatnie niezrealizowane</v>
      </c>
      <c r="D219" s="940"/>
      <c r="E219" s="940"/>
      <c r="F219" s="940"/>
      <c r="G219" s="940"/>
      <c r="H219" s="941"/>
      <c r="I219" s="202">
        <v>0</v>
      </c>
      <c r="J219" s="202">
        <v>0</v>
      </c>
      <c r="K219" s="203">
        <f t="shared" ref="K219:K228" si="13">SUM(I219:J219)</f>
        <v>0</v>
      </c>
    </row>
    <row r="220" spans="2:12" ht="12.75" hidden="1" customHeight="1">
      <c r="B220" s="80"/>
      <c r="C220" s="940" t="str">
        <f>CHOOSE(jezyk,n!A1697,n!B1697,n!C1697,n!D1695)</f>
        <v>Rozwiązane rezerwy na koszty utworzone w latach ubiegłych</v>
      </c>
      <c r="D220" s="940"/>
      <c r="E220" s="940"/>
      <c r="F220" s="940"/>
      <c r="G220" s="940"/>
      <c r="H220" s="941"/>
      <c r="I220" s="202">
        <v>0</v>
      </c>
      <c r="J220" s="202">
        <v>0</v>
      </c>
      <c r="K220" s="203">
        <f t="shared" si="13"/>
        <v>0</v>
      </c>
    </row>
    <row r="221" spans="2:12" ht="12.75" hidden="1" customHeight="1">
      <c r="B221" s="80"/>
      <c r="C221" s="940" t="str">
        <f>CHOOSE(jezyk,n!A1698,n!B1698,n!C1698,n!D1696)</f>
        <v>Faktury korygujące wystawione w następnym roku podatkowym</v>
      </c>
      <c r="D221" s="940"/>
      <c r="E221" s="940"/>
      <c r="F221" s="940"/>
      <c r="G221" s="940"/>
      <c r="H221" s="941"/>
      <c r="I221" s="202">
        <v>0</v>
      </c>
      <c r="J221" s="202">
        <v>0</v>
      </c>
      <c r="K221" s="203">
        <f t="shared" si="13"/>
        <v>0</v>
      </c>
    </row>
    <row r="222" spans="2:12" ht="12.75" hidden="1" customHeight="1">
      <c r="B222" s="80"/>
      <c r="C222" s="940" t="str">
        <f>CHOOSE(jezyk,n!A1699,n!B1699,n!C1699,n!D1697)</f>
        <v>Utworzone rezerwy na przychody</v>
      </c>
      <c r="D222" s="940"/>
      <c r="E222" s="940"/>
      <c r="F222" s="940"/>
      <c r="G222" s="940"/>
      <c r="H222" s="941"/>
      <c r="I222" s="202">
        <v>0</v>
      </c>
      <c r="J222" s="202">
        <v>0</v>
      </c>
      <c r="K222" s="203">
        <f t="shared" si="13"/>
        <v>0</v>
      </c>
    </row>
    <row r="223" spans="2:12" ht="12.75" hidden="1" customHeight="1">
      <c r="B223" s="80"/>
      <c r="C223" s="940" t="str">
        <f>CHOOSE(jezyk,n!A1700,n!B1700,n!C1700,n!D1698)</f>
        <v>Bilansowa aktualizacja wartośći aktywów trwałych</v>
      </c>
      <c r="D223" s="940"/>
      <c r="E223" s="940"/>
      <c r="F223" s="940"/>
      <c r="G223" s="940"/>
      <c r="H223" s="941"/>
      <c r="I223" s="202">
        <v>0</v>
      </c>
      <c r="J223" s="202">
        <v>0</v>
      </c>
      <c r="K223" s="203">
        <f t="shared" ref="K223:K224" si="14">SUM(I223:J223)</f>
        <v>0</v>
      </c>
    </row>
    <row r="224" spans="2:12" ht="12.75" hidden="1" customHeight="1">
      <c r="B224" s="80"/>
      <c r="C224" s="940" t="str">
        <f>CHOOSE(jezyk,n!A1701,n!B1701,n!C1701,n!D1699)</f>
        <v>Bilansowa aktualizacja wartośći aktywów finansowych</v>
      </c>
      <c r="D224" s="940"/>
      <c r="E224" s="940"/>
      <c r="F224" s="940"/>
      <c r="G224" s="940"/>
      <c r="H224" s="941"/>
      <c r="I224" s="202">
        <v>0</v>
      </c>
      <c r="J224" s="202">
        <v>0</v>
      </c>
      <c r="K224" s="203">
        <f t="shared" si="14"/>
        <v>0</v>
      </c>
    </row>
    <row r="225" spans="2:11" ht="12.75" hidden="1" customHeight="1">
      <c r="B225" s="80"/>
      <c r="C225" s="940" t="str">
        <f>CHOOSE(jezyk,n!A1702,n!B1702,n!C1702,n!D1698)</f>
        <v>Pobrane wpłaty lub zarachowane należności na poczet dostaw towarów i usług, które zostaną wykonane w następnych okresach sprawozdawczych, a także otrzymane lub zwrócone pożyczki (kredyty)</v>
      </c>
      <c r="D225" s="940"/>
      <c r="E225" s="940"/>
      <c r="F225" s="940"/>
      <c r="G225" s="940"/>
      <c r="H225" s="941"/>
      <c r="I225" s="202">
        <v>0</v>
      </c>
      <c r="J225" s="202">
        <v>0</v>
      </c>
      <c r="K225" s="203">
        <f t="shared" si="13"/>
        <v>0</v>
      </c>
    </row>
    <row r="226" spans="2:11" ht="12.75" hidden="1" customHeight="1">
      <c r="B226" s="80"/>
      <c r="C226" s="940" t="str">
        <f>CHOOSE(jezyk,n!A1703,n!B1703,n!C1703,n!D1699)</f>
        <v>Naliczone odsetki</v>
      </c>
      <c r="D226" s="940"/>
      <c r="E226" s="940"/>
      <c r="F226" s="940"/>
      <c r="G226" s="940"/>
      <c r="H226" s="941"/>
      <c r="I226" s="202">
        <v>0</v>
      </c>
      <c r="J226" s="202">
        <v>0</v>
      </c>
      <c r="K226" s="203">
        <f t="shared" si="13"/>
        <v>0</v>
      </c>
    </row>
    <row r="227" spans="2:11" ht="12.75" hidden="1" customHeight="1">
      <c r="B227" s="80"/>
      <c r="C227" s="940" t="str">
        <f>CHOOSE(jezyk,n!A1704,n!B1704,n!C1704,n!D1702)</f>
        <v>Rozwiązanie odpisu na należności</v>
      </c>
      <c r="D227" s="940"/>
      <c r="E227" s="940"/>
      <c r="F227" s="940"/>
      <c r="G227" s="940"/>
      <c r="H227" s="941"/>
      <c r="I227" s="202">
        <v>0</v>
      </c>
      <c r="J227" s="202">
        <v>0</v>
      </c>
      <c r="K227" s="203">
        <f t="shared" si="13"/>
        <v>0</v>
      </c>
    </row>
    <row r="228" spans="2:11" hidden="1">
      <c r="B228" s="80"/>
      <c r="C228" s="940" t="str">
        <f>CHOOSE(jezyk,n!A1747,n!B1747,n!C1747,n!D1745)</f>
        <v>Pozostałe</v>
      </c>
      <c r="D228" s="940"/>
      <c r="E228" s="940"/>
      <c r="F228" s="940"/>
      <c r="G228" s="940"/>
      <c r="H228" s="941"/>
      <c r="I228" s="202">
        <v>0</v>
      </c>
      <c r="J228" s="202">
        <v>0</v>
      </c>
      <c r="K228" s="203">
        <f t="shared" si="13"/>
        <v>0</v>
      </c>
    </row>
    <row r="229" spans="2:11" hidden="1">
      <c r="B229" s="80"/>
      <c r="C229" s="196"/>
      <c r="D229" s="196"/>
      <c r="E229" s="200"/>
      <c r="F229" s="197"/>
      <c r="G229" s="197"/>
      <c r="H229" s="197"/>
      <c r="I229" s="101"/>
      <c r="J229" s="101"/>
      <c r="K229" s="88"/>
    </row>
    <row r="230" spans="2:11" ht="28.5" hidden="1" customHeight="1">
      <c r="B230" s="88" t="s">
        <v>2477</v>
      </c>
      <c r="C230" s="943" t="str">
        <f>CHOOSE(jezyk,n!A901,n!B901,n!C901,n!D899)</f>
        <v>D. Przychody podlegające opodatkowaniu w roku bieżącym, ujęte w księgach rachunkowych lat ubiegłych w tym:</v>
      </c>
      <c r="D230" s="943"/>
      <c r="E230" s="943"/>
      <c r="F230" s="943"/>
      <c r="G230" s="943"/>
      <c r="H230" s="944"/>
      <c r="I230" s="199">
        <f>SUM(I231:I235)</f>
        <v>0</v>
      </c>
      <c r="J230" s="199">
        <f>SUM(J231:J235)</f>
        <v>0</v>
      </c>
      <c r="K230" s="199">
        <f>SUM(I231:J235)</f>
        <v>0</v>
      </c>
    </row>
    <row r="231" spans="2:11" ht="12.75" hidden="1" customHeight="1">
      <c r="B231" s="80"/>
      <c r="C231" s="940" t="str">
        <f>CHOOSE(jezyk,n!A1706,n!B1706,n!C1706,n!D1704)</f>
        <v>Faktury korygujące przychody wystawione w bieżącym roku obrotowym, a dotyczące roku poprzedniego</v>
      </c>
      <c r="D231" s="940"/>
      <c r="E231" s="940"/>
      <c r="F231" s="940"/>
      <c r="G231" s="940"/>
      <c r="H231" s="941"/>
      <c r="I231" s="202">
        <v>0</v>
      </c>
      <c r="J231" s="202">
        <v>0</v>
      </c>
      <c r="K231" s="203">
        <f>SUM(I231:J231)</f>
        <v>0</v>
      </c>
    </row>
    <row r="232" spans="2:11" ht="12.75" hidden="1" customHeight="1">
      <c r="B232" s="80"/>
      <c r="C232" s="940" t="str">
        <f>CHOOSE(jezyk,n!A1707,n!B1707,n!C1707,n!D1705)</f>
        <v>Odsetki naliczone w roku poprzednim otrzymane w roku bieżącym</v>
      </c>
      <c r="D232" s="940"/>
      <c r="E232" s="940"/>
      <c r="F232" s="940"/>
      <c r="G232" s="940"/>
      <c r="H232" s="941"/>
      <c r="I232" s="202">
        <v>0</v>
      </c>
      <c r="J232" s="202">
        <v>0</v>
      </c>
      <c r="K232" s="203">
        <f>SUM(I232:J232)</f>
        <v>0</v>
      </c>
    </row>
    <row r="233" spans="2:11" ht="12.75" hidden="1" customHeight="1">
      <c r="B233" s="80"/>
      <c r="C233" s="940" t="str">
        <f>CHOOSE(jezyk,n!A1708,n!B1708,n!C1708,n!D1706)</f>
        <v>Zafakturowane szacunki przychodów</v>
      </c>
      <c r="D233" s="940"/>
      <c r="E233" s="940"/>
      <c r="F233" s="940"/>
      <c r="G233" s="940"/>
      <c r="H233" s="941"/>
      <c r="I233" s="202">
        <v>0</v>
      </c>
      <c r="J233" s="202">
        <v>0</v>
      </c>
      <c r="K233" s="203">
        <f t="shared" ref="K233:K234" si="15">SUM(I233:J233)</f>
        <v>0</v>
      </c>
    </row>
    <row r="234" spans="2:11" ht="12.75" hidden="1" customHeight="1">
      <c r="B234" s="80"/>
      <c r="C234" s="940" t="str">
        <f>CHOOSE(jezyk,n!A1709,n!B1709,n!C1709,n!D1707)</f>
        <v>Otrzymane nieodpłatne świadczenia</v>
      </c>
      <c r="D234" s="940"/>
      <c r="E234" s="940"/>
      <c r="F234" s="940"/>
      <c r="G234" s="940"/>
      <c r="H234" s="941"/>
      <c r="I234" s="202">
        <v>0</v>
      </c>
      <c r="J234" s="202">
        <v>0</v>
      </c>
      <c r="K234" s="203">
        <f t="shared" si="15"/>
        <v>0</v>
      </c>
    </row>
    <row r="235" spans="2:11" hidden="1">
      <c r="B235" s="80"/>
      <c r="C235" s="940" t="str">
        <f>CHOOSE(jezyk,n!A1747,n!B1747,n!C1747,n!D1745)</f>
        <v>Pozostałe</v>
      </c>
      <c r="D235" s="940"/>
      <c r="E235" s="940"/>
      <c r="F235" s="940"/>
      <c r="G235" s="940"/>
      <c r="H235" s="941"/>
      <c r="I235" s="202">
        <v>0</v>
      </c>
      <c r="J235" s="202">
        <v>0</v>
      </c>
      <c r="K235" s="203">
        <f>SUM(I235:J235)</f>
        <v>0</v>
      </c>
    </row>
    <row r="236" spans="2:11" hidden="1">
      <c r="B236" s="80"/>
      <c r="C236" s="205"/>
      <c r="D236" s="196"/>
      <c r="E236" s="200"/>
      <c r="F236" s="197"/>
      <c r="G236" s="197"/>
      <c r="H236" s="197"/>
      <c r="I236" s="769"/>
      <c r="J236" s="769"/>
      <c r="K236" s="88"/>
    </row>
    <row r="237" spans="2:11" ht="27" hidden="1" customHeight="1">
      <c r="B237" s="88" t="s">
        <v>2477</v>
      </c>
      <c r="C237" s="943" t="str">
        <f>CHOOSE(jezyk,n!A902,n!B902,n!C902,n!D900)</f>
        <v>E. Koszty niestanowiące kosztów uzyskania przychodów (trwałe różnice), w tym:</v>
      </c>
      <c r="D237" s="943"/>
      <c r="E237" s="943"/>
      <c r="F237" s="943"/>
      <c r="G237" s="943"/>
      <c r="H237" s="944"/>
      <c r="I237" s="199">
        <f>SUM(I238:I251)</f>
        <v>0</v>
      </c>
      <c r="J237" s="199">
        <f>SUM(J238:J251)</f>
        <v>0</v>
      </c>
      <c r="K237" s="199">
        <f>SUM(I238:J251)</f>
        <v>0</v>
      </c>
    </row>
    <row r="238" spans="2:11" ht="14.25" hidden="1" customHeight="1">
      <c r="B238" s="80"/>
      <c r="C238" s="940" t="str">
        <f>CHOOSE(jezyk,n!A1711,n!B1711,n!C1711,n!D1707)</f>
        <v xml:space="preserve">Koszty dotyczące samochodów wynajmowanych powyżej limitu </v>
      </c>
      <c r="D238" s="940"/>
      <c r="E238" s="940"/>
      <c r="F238" s="940"/>
      <c r="G238" s="940"/>
      <c r="H238" s="941"/>
      <c r="I238" s="202">
        <v>0</v>
      </c>
      <c r="J238" s="202">
        <v>0</v>
      </c>
      <c r="K238" s="203">
        <f>SUM(I238:J238)</f>
        <v>0</v>
      </c>
    </row>
    <row r="239" spans="2:11" ht="30" hidden="1" customHeight="1">
      <c r="B239" s="80"/>
      <c r="C239" s="940" t="str">
        <f>CHOOSE(jezyk,n!A1712,n!B1712,n!C1712,n!D1708)</f>
        <v>Koszty używania samochodów osobowych do celów mieszanych (25%)</v>
      </c>
      <c r="D239" s="940"/>
      <c r="E239" s="940"/>
      <c r="F239" s="940"/>
      <c r="G239" s="940"/>
      <c r="H239" s="941"/>
      <c r="I239" s="202">
        <v>0</v>
      </c>
      <c r="J239" s="202">
        <v>0</v>
      </c>
      <c r="K239" s="203">
        <f>SUM(I239:J239)</f>
        <v>0</v>
      </c>
    </row>
    <row r="240" spans="2:11" ht="15" hidden="1" customHeight="1">
      <c r="B240" s="80"/>
      <c r="C240" s="940" t="str">
        <f>CHOOSE(jezyk,n!A1713,n!B1713,n!C1713,n!D1710)</f>
        <v>PFRON</v>
      </c>
      <c r="D240" s="940"/>
      <c r="E240" s="940"/>
      <c r="F240" s="940"/>
      <c r="G240" s="940"/>
      <c r="H240" s="941"/>
      <c r="I240" s="202">
        <v>0</v>
      </c>
      <c r="J240" s="202">
        <v>0</v>
      </c>
      <c r="K240" s="203">
        <f t="shared" ref="K240:K248" si="16">SUM(I240:J240)</f>
        <v>0</v>
      </c>
    </row>
    <row r="241" spans="2:11" ht="12.75" hidden="1" customHeight="1">
      <c r="B241" s="80"/>
      <c r="C241" s="940" t="str">
        <f>CHOOSE(jezyk,n!A1714,n!B1714,n!C1714,n!D1711)</f>
        <v>Przekazane darowizny</v>
      </c>
      <c r="D241" s="940"/>
      <c r="E241" s="940"/>
      <c r="F241" s="940"/>
      <c r="G241" s="940"/>
      <c r="H241" s="941"/>
      <c r="I241" s="202">
        <v>0</v>
      </c>
      <c r="J241" s="202">
        <v>0</v>
      </c>
      <c r="K241" s="203">
        <f t="shared" si="16"/>
        <v>0</v>
      </c>
    </row>
    <row r="242" spans="2:11" ht="12.75" hidden="1" customHeight="1">
      <c r="B242" s="80"/>
      <c r="C242" s="940" t="str">
        <f>CHOOSE(jezyk,n!A1715,n!B1715,n!C1715,n!D1713)</f>
        <v>Składki członkowskie</v>
      </c>
      <c r="D242" s="940"/>
      <c r="E242" s="940"/>
      <c r="F242" s="940"/>
      <c r="G242" s="940"/>
      <c r="H242" s="941"/>
      <c r="I242" s="202">
        <v>0</v>
      </c>
      <c r="J242" s="202">
        <v>0</v>
      </c>
      <c r="K242" s="203">
        <f t="shared" si="16"/>
        <v>0</v>
      </c>
    </row>
    <row r="243" spans="2:11" ht="12.75" hidden="1" customHeight="1">
      <c r="B243" s="80"/>
      <c r="C243" s="940" t="str">
        <f>CHOOSE(jezyk,n!A1716,n!B1716,n!C1716,n!D1714)</f>
        <v>Diety powyżej limitów</v>
      </c>
      <c r="D243" s="940"/>
      <c r="E243" s="940"/>
      <c r="F243" s="940"/>
      <c r="G243" s="940"/>
      <c r="H243" s="941"/>
      <c r="I243" s="202">
        <v>0</v>
      </c>
      <c r="J243" s="202">
        <v>0</v>
      </c>
      <c r="K243" s="203">
        <f t="shared" si="16"/>
        <v>0</v>
      </c>
    </row>
    <row r="244" spans="2:11" ht="12.75" hidden="1" customHeight="1">
      <c r="B244" s="80"/>
      <c r="C244" s="940" t="str">
        <f>CHOOSE(jezyk,n!A1717,n!B1717,n!C1717,n!D1715)</f>
        <v>Ubezpieczenie samochodu o wartości powyżej 150 TPLN</v>
      </c>
      <c r="D244" s="940"/>
      <c r="E244" s="940"/>
      <c r="F244" s="940"/>
      <c r="G244" s="940"/>
      <c r="H244" s="941"/>
      <c r="I244" s="202">
        <v>0</v>
      </c>
      <c r="J244" s="202">
        <v>0</v>
      </c>
      <c r="K244" s="203">
        <f t="shared" si="16"/>
        <v>0</v>
      </c>
    </row>
    <row r="245" spans="2:11" ht="25.5" hidden="1" customHeight="1">
      <c r="B245" s="80"/>
      <c r="C245" s="940" t="str">
        <f>CHOOSE(jezyk,n!A1718,n!B1718,n!C1718,n!D1716)</f>
        <v>Amortyzacja samochodów osobowych o wartości powyżej 150 TPLN</v>
      </c>
      <c r="D245" s="940"/>
      <c r="E245" s="940"/>
      <c r="F245" s="940"/>
      <c r="G245" s="940"/>
      <c r="H245" s="941"/>
      <c r="I245" s="202">
        <v>0</v>
      </c>
      <c r="J245" s="202">
        <v>0</v>
      </c>
      <c r="K245" s="203">
        <f t="shared" si="16"/>
        <v>0</v>
      </c>
    </row>
    <row r="246" spans="2:11" ht="26.25" hidden="1" customHeight="1">
      <c r="B246" s="80"/>
      <c r="C246" s="940" t="str">
        <f>CHOOSE(jezyk,n!A1719,n!B1719,n!C1719,n!D1717)</f>
        <v>Amortyzacja bilansowa odmiennie rozliczana od amortyzacji podatkowej</v>
      </c>
      <c r="D246" s="940"/>
      <c r="E246" s="940"/>
      <c r="F246" s="940"/>
      <c r="G246" s="940"/>
      <c r="H246" s="941"/>
      <c r="I246" s="202">
        <v>0</v>
      </c>
      <c r="J246" s="202">
        <v>0</v>
      </c>
      <c r="K246" s="203">
        <f t="shared" ref="K246" si="17">SUM(I246:J246)</f>
        <v>0</v>
      </c>
    </row>
    <row r="247" spans="2:11" ht="12.75" hidden="1" customHeight="1">
      <c r="B247" s="80"/>
      <c r="C247" s="940" t="str">
        <f>CHOOSE(jezyk,n!A1720,n!B1720,n!C1720,n!#REF!)</f>
        <v>Koszty reprezentacji</v>
      </c>
      <c r="D247" s="940"/>
      <c r="E247" s="940"/>
      <c r="F247" s="940"/>
      <c r="G247" s="940"/>
      <c r="H247" s="941"/>
      <c r="I247" s="202">
        <v>0</v>
      </c>
      <c r="J247" s="202">
        <v>0</v>
      </c>
      <c r="K247" s="203">
        <f t="shared" si="16"/>
        <v>0</v>
      </c>
    </row>
    <row r="248" spans="2:11" ht="12.75" hidden="1" customHeight="1">
      <c r="B248" s="80"/>
      <c r="C248" s="940" t="str">
        <f>CHOOSE(jezyk,n!A1721,n!B1721,n!C1721,n!#REF!)</f>
        <v>Kary umowne oraz odszkodowania za nieterminowe dostawy</v>
      </c>
      <c r="D248" s="940"/>
      <c r="E248" s="940"/>
      <c r="F248" s="940"/>
      <c r="G248" s="940"/>
      <c r="H248" s="941"/>
      <c r="I248" s="202">
        <v>0</v>
      </c>
      <c r="J248" s="202">
        <v>0</v>
      </c>
      <c r="K248" s="203">
        <f t="shared" si="16"/>
        <v>0</v>
      </c>
    </row>
    <row r="249" spans="2:11" ht="12.75" hidden="1" customHeight="1">
      <c r="B249" s="80"/>
      <c r="C249" s="940" t="str">
        <f>CHOOSE(jezyk,n!A1722,n!B1722,n!C1722,n!D1720)</f>
        <v>Odsetki budżetowe</v>
      </c>
      <c r="D249" s="940"/>
      <c r="E249" s="940"/>
      <c r="F249" s="940"/>
      <c r="G249" s="940"/>
      <c r="H249" s="941"/>
      <c r="I249" s="202">
        <v>0</v>
      </c>
      <c r="J249" s="202">
        <v>0</v>
      </c>
      <c r="K249" s="203">
        <f>SUM(I249:J249)</f>
        <v>0</v>
      </c>
    </row>
    <row r="250" spans="2:11" ht="12.75" hidden="1" customHeight="1">
      <c r="B250" s="80"/>
      <c r="C250" s="940" t="str">
        <f>CHOOSE(jezyk,n!A1723,n!B1723,n!C1723,n!D1721)</f>
        <v>Koszty finansowania dłużnego</v>
      </c>
      <c r="D250" s="940"/>
      <c r="E250" s="940"/>
      <c r="F250" s="940"/>
      <c r="G250" s="940"/>
      <c r="H250" s="941"/>
      <c r="I250" s="202">
        <v>0</v>
      </c>
      <c r="J250" s="202">
        <v>0</v>
      </c>
      <c r="K250" s="203">
        <f>SUM(I250:J250)</f>
        <v>0</v>
      </c>
    </row>
    <row r="251" spans="2:11" hidden="1">
      <c r="B251" s="80"/>
      <c r="C251" s="940" t="str">
        <f>CHOOSE(jezyk,n!A1747,n!B1747,n!C1747,n!D1745)</f>
        <v>Pozostałe</v>
      </c>
      <c r="D251" s="940"/>
      <c r="E251" s="940"/>
      <c r="F251" s="940"/>
      <c r="G251" s="940"/>
      <c r="H251" s="941"/>
      <c r="I251" s="202">
        <v>0</v>
      </c>
      <c r="J251" s="202">
        <v>0</v>
      </c>
      <c r="K251" s="203">
        <f>SUM(I251:J251)</f>
        <v>0</v>
      </c>
    </row>
    <row r="252" spans="2:11" hidden="1">
      <c r="C252" s="211"/>
      <c r="D252" s="211"/>
      <c r="E252" s="211"/>
      <c r="F252" s="212"/>
      <c r="G252" s="211"/>
      <c r="I252" s="253"/>
      <c r="J252" s="253"/>
      <c r="K252" s="253"/>
    </row>
    <row r="253" spans="2:11" ht="12.75" hidden="1" customHeight="1">
      <c r="B253" s="80"/>
      <c r="C253" s="205"/>
      <c r="D253" s="196"/>
      <c r="E253" s="200"/>
      <c r="F253" s="197"/>
      <c r="G253" s="197"/>
      <c r="H253" s="197"/>
      <c r="I253" s="193" t="str">
        <f>I208</f>
        <v>Zysk kapit.</v>
      </c>
      <c r="J253" s="193" t="str">
        <f>J208</f>
        <v>Inne źródła</v>
      </c>
      <c r="K253" s="206" t="str">
        <f>K208</f>
        <v>Łącznie:</v>
      </c>
    </row>
    <row r="254" spans="2:11" hidden="1">
      <c r="B254" s="80"/>
      <c r="C254" s="205"/>
      <c r="D254" s="196"/>
      <c r="E254" s="200"/>
      <c r="F254" s="197"/>
      <c r="G254" s="197"/>
      <c r="H254" s="197"/>
      <c r="I254" s="72"/>
      <c r="J254" s="72"/>
      <c r="K254" s="72"/>
    </row>
    <row r="255" spans="2:11" ht="29.25" hidden="1" customHeight="1">
      <c r="B255" s="88" t="s">
        <v>2477</v>
      </c>
      <c r="C255" s="943" t="str">
        <f>CHOOSE(jezyk,n!A903,n!B903,n!C903,n!D901)</f>
        <v>F. Koszty nieuznawane za koszty uzyskania przychodów w bieżącym roku, w tym:</v>
      </c>
      <c r="D255" s="943"/>
      <c r="E255" s="943"/>
      <c r="F255" s="943"/>
      <c r="G255" s="943"/>
      <c r="H255" s="944"/>
      <c r="I255" s="199">
        <f>SUM(I256:I267)</f>
        <v>0</v>
      </c>
      <c r="J255" s="199">
        <f>SUM(J256:J267)</f>
        <v>0</v>
      </c>
      <c r="K255" s="199">
        <f>SUM(I256:J267)</f>
        <v>0</v>
      </c>
    </row>
    <row r="256" spans="2:11" hidden="1">
      <c r="B256" s="88"/>
      <c r="C256" s="940" t="str">
        <f>CHOOSE(jezyk,n!A1725,n!B1725,n!C1725,n!D1720)</f>
        <v>Odpisy aktualizujące aktywa trwałe</v>
      </c>
      <c r="D256" s="940"/>
      <c r="E256" s="940"/>
      <c r="F256" s="940"/>
      <c r="G256" s="940"/>
      <c r="H256" s="941"/>
      <c r="I256" s="202">
        <v>0</v>
      </c>
      <c r="J256" s="202">
        <v>0</v>
      </c>
      <c r="K256" s="203">
        <f t="shared" ref="K256:K257" si="18">SUM(I256:J256)</f>
        <v>0</v>
      </c>
    </row>
    <row r="257" spans="2:11" hidden="1">
      <c r="B257" s="88"/>
      <c r="C257" s="940" t="str">
        <f>CHOOSE(jezyk,n!A1726,n!B1726,n!C1726,n!D1721)</f>
        <v>Odpisy aktualizujące zapasy</v>
      </c>
      <c r="D257" s="940"/>
      <c r="E257" s="940"/>
      <c r="F257" s="940"/>
      <c r="G257" s="940"/>
      <c r="H257" s="941"/>
      <c r="I257" s="202">
        <v>0</v>
      </c>
      <c r="J257" s="202">
        <v>0</v>
      </c>
      <c r="K257" s="203">
        <f t="shared" si="18"/>
        <v>0</v>
      </c>
    </row>
    <row r="258" spans="2:11" hidden="1">
      <c r="B258" s="80"/>
      <c r="C258" s="940" t="str">
        <f>CHOOSE(jezyk,n!A1727,n!B1727,n!C1727,n!D1722)</f>
        <v>Odpisy aktualizujące należności</v>
      </c>
      <c r="D258" s="940"/>
      <c r="E258" s="940"/>
      <c r="F258" s="940"/>
      <c r="G258" s="940"/>
      <c r="H258" s="941"/>
      <c r="I258" s="202">
        <v>0</v>
      </c>
      <c r="J258" s="202">
        <v>0</v>
      </c>
      <c r="K258" s="203">
        <f t="shared" ref="K258:K267" si="19">SUM(I258:J258)</f>
        <v>0</v>
      </c>
    </row>
    <row r="259" spans="2:11" ht="15" hidden="1" customHeight="1">
      <c r="B259" s="80"/>
      <c r="C259" s="940" t="str">
        <f>CHOOSE(jezyk,n!A1728,n!B1728,n!C1728,n!D1723)</f>
        <v>Odpisy aktualizujące aktywa finansowe</v>
      </c>
      <c r="D259" s="940"/>
      <c r="E259" s="940"/>
      <c r="F259" s="940"/>
      <c r="G259" s="940"/>
      <c r="H259" s="941"/>
      <c r="I259" s="202">
        <v>0</v>
      </c>
      <c r="J259" s="202">
        <v>0</v>
      </c>
      <c r="K259" s="203">
        <f t="shared" ref="K259:K260" si="20">SUM(I259:J259)</f>
        <v>0</v>
      </c>
    </row>
    <row r="260" spans="2:11" ht="26.25" hidden="1" customHeight="1">
      <c r="B260" s="80"/>
      <c r="C260" s="940" t="str">
        <f>CHOOSE(jezyk,n!A1729,n!B1729,n!C1729,n!D1724)</f>
        <v>Amortyzacja bilansowa odmiennie rozliczana od amortyzacji podatkowej</v>
      </c>
      <c r="D260" s="940"/>
      <c r="E260" s="940"/>
      <c r="F260" s="940"/>
      <c r="G260" s="940"/>
      <c r="H260" s="941"/>
      <c r="I260" s="202">
        <v>0</v>
      </c>
      <c r="J260" s="202">
        <v>0</v>
      </c>
      <c r="K260" s="203">
        <f t="shared" si="20"/>
        <v>0</v>
      </c>
    </row>
    <row r="261" spans="2:11" ht="12.75" hidden="1" customHeight="1">
      <c r="B261" s="80"/>
      <c r="C261" s="940" t="str">
        <f>CHOOSE(jezyk,n!A1730,n!B1730,n!C1730,n!D1724)</f>
        <v>Różnice kursowe ujemne niezrealizowane</v>
      </c>
      <c r="D261" s="940"/>
      <c r="E261" s="940"/>
      <c r="F261" s="940"/>
      <c r="G261" s="940"/>
      <c r="H261" s="941"/>
      <c r="I261" s="202">
        <v>0</v>
      </c>
      <c r="J261" s="202">
        <v>0</v>
      </c>
      <c r="K261" s="203">
        <f t="shared" si="19"/>
        <v>0</v>
      </c>
    </row>
    <row r="262" spans="2:11" ht="12.75" hidden="1" customHeight="1">
      <c r="B262" s="80"/>
      <c r="C262" s="940" t="str">
        <f>CHOOSE(jezyk,n!A1731,n!B1731,n!C1731,n!D1727)</f>
        <v>Nieopłacone do ZUS składki - narzuty na wynagrodzenia</v>
      </c>
      <c r="D262" s="940"/>
      <c r="E262" s="940"/>
      <c r="F262" s="940"/>
      <c r="G262" s="940"/>
      <c r="H262" s="941"/>
      <c r="I262" s="202">
        <v>0</v>
      </c>
      <c r="J262" s="202">
        <v>0</v>
      </c>
      <c r="K262" s="203">
        <f t="shared" si="19"/>
        <v>0</v>
      </c>
    </row>
    <row r="263" spans="2:11" ht="12.75" hidden="1" customHeight="1">
      <c r="B263" s="80"/>
      <c r="C263" s="940" t="str">
        <f>CHOOSE(jezyk,n!A1732,n!B1732,n!C1732,n!D1730)</f>
        <v>Niewypłacone w terminie wynagrodzenia</v>
      </c>
      <c r="D263" s="940"/>
      <c r="E263" s="940"/>
      <c r="F263" s="940"/>
      <c r="G263" s="940"/>
      <c r="H263" s="941"/>
      <c r="I263" s="202">
        <v>0</v>
      </c>
      <c r="J263" s="202">
        <v>0</v>
      </c>
      <c r="K263" s="203">
        <f t="shared" si="19"/>
        <v>0</v>
      </c>
    </row>
    <row r="264" spans="2:11" ht="12.75" hidden="1" customHeight="1">
      <c r="B264" s="80"/>
      <c r="C264" s="940" t="str">
        <f>CHOOSE(jezyk,n!A1733,n!B1733,n!C1733,n!D1731)</f>
        <v>Utworzone rezerwy</v>
      </c>
      <c r="D264" s="940"/>
      <c r="E264" s="940"/>
      <c r="F264" s="940"/>
      <c r="G264" s="940"/>
      <c r="H264" s="941"/>
      <c r="I264" s="202">
        <v>0</v>
      </c>
      <c r="J264" s="202">
        <v>0</v>
      </c>
      <c r="K264" s="203">
        <f t="shared" si="19"/>
        <v>0</v>
      </c>
    </row>
    <row r="265" spans="2:11" ht="12.75" hidden="1" customHeight="1">
      <c r="B265" s="80"/>
      <c r="C265" s="940" t="str">
        <f>CHOOSE(jezyk,n!A1734,n!B1734,n!C1734,n!D1732)</f>
        <v>Niewypłacone diety</v>
      </c>
      <c r="D265" s="940"/>
      <c r="E265" s="940"/>
      <c r="F265" s="940"/>
      <c r="G265" s="940"/>
      <c r="H265" s="941"/>
      <c r="I265" s="202">
        <v>0</v>
      </c>
      <c r="J265" s="202">
        <v>0</v>
      </c>
      <c r="K265" s="203">
        <f t="shared" si="19"/>
        <v>0</v>
      </c>
    </row>
    <row r="266" spans="2:11" ht="12.75" hidden="1" customHeight="1">
      <c r="B266" s="80"/>
      <c r="C266" s="940" t="str">
        <f>CHOOSE(jezyk,n!A1735,n!B1735,n!C1735,n!D1733)</f>
        <v>Odsetki naliczone</v>
      </c>
      <c r="D266" s="940"/>
      <c r="E266" s="940"/>
      <c r="F266" s="940"/>
      <c r="G266" s="940"/>
      <c r="H266" s="941"/>
      <c r="I266" s="202">
        <v>0</v>
      </c>
      <c r="J266" s="202">
        <v>0</v>
      </c>
      <c r="K266" s="203">
        <f t="shared" si="19"/>
        <v>0</v>
      </c>
    </row>
    <row r="267" spans="2:11" hidden="1">
      <c r="B267" s="80"/>
      <c r="C267" s="940" t="str">
        <f>CHOOSE(jezyk,n!A1747,n!B1747,n!C1747,n!D1745)</f>
        <v>Pozostałe</v>
      </c>
      <c r="D267" s="940"/>
      <c r="E267" s="940"/>
      <c r="F267" s="940"/>
      <c r="G267" s="940"/>
      <c r="H267" s="941"/>
      <c r="I267" s="202">
        <v>0</v>
      </c>
      <c r="J267" s="202">
        <v>0</v>
      </c>
      <c r="K267" s="203">
        <f t="shared" si="19"/>
        <v>0</v>
      </c>
    </row>
    <row r="268" spans="2:11" hidden="1">
      <c r="B268" s="80"/>
      <c r="C268" s="205"/>
      <c r="D268" s="196"/>
      <c r="E268" s="200"/>
      <c r="F268" s="197"/>
      <c r="G268" s="197"/>
      <c r="H268" s="197"/>
      <c r="I268" s="101"/>
      <c r="J268" s="101"/>
      <c r="K268" s="88"/>
    </row>
    <row r="269" spans="2:11" ht="30.75" hidden="1" customHeight="1">
      <c r="B269" s="88" t="s">
        <v>2476</v>
      </c>
      <c r="C269" s="943" t="str">
        <f>CHOOSE(jezyk,n!A904,n!B904,n!C904,n!D902)</f>
        <v>G. Koszty uznawane za koszty uzyskania przychodów w roku bieżącym ujęte w księgach lat ubiegłych, w tym:</v>
      </c>
      <c r="D269" s="943"/>
      <c r="E269" s="943"/>
      <c r="F269" s="943"/>
      <c r="G269" s="943"/>
      <c r="H269" s="944"/>
      <c r="I269" s="199">
        <f>SUM(I270:I275)</f>
        <v>0</v>
      </c>
      <c r="J269" s="199">
        <f>SUM(J270:J275)</f>
        <v>0</v>
      </c>
      <c r="K269" s="199">
        <f>SUM(I270:J275)</f>
        <v>0</v>
      </c>
    </row>
    <row r="270" spans="2:11" ht="25.35" hidden="1" customHeight="1">
      <c r="B270" s="80"/>
      <c r="C270" s="940" t="str">
        <f>CHOOSE(jezyk,n!A1737,n!B1737,n!C1737,n!D1735)</f>
        <v>Niewypłacone składki ZUS w roku poprzednim zapłacone w roku bieżącym</v>
      </c>
      <c r="D270" s="940"/>
      <c r="E270" s="940"/>
      <c r="F270" s="940"/>
      <c r="G270" s="940"/>
      <c r="H270" s="941"/>
      <c r="I270" s="202">
        <v>0</v>
      </c>
      <c r="J270" s="202">
        <v>0</v>
      </c>
      <c r="K270" s="203">
        <f t="shared" ref="K270:K275" si="21">SUM(I270:J270)</f>
        <v>0</v>
      </c>
    </row>
    <row r="271" spans="2:11" ht="12.75" hidden="1" customHeight="1">
      <c r="B271" s="80"/>
      <c r="C271" s="940" t="str">
        <f>CHOOSE(jezyk,n!A1738,n!B1738,n!C1738,n!D1736)</f>
        <v>Wypłacone po terminie wynagrodzenia</v>
      </c>
      <c r="D271" s="940"/>
      <c r="E271" s="940"/>
      <c r="F271" s="940"/>
      <c r="G271" s="940"/>
      <c r="H271" s="941"/>
      <c r="I271" s="202">
        <v>0</v>
      </c>
      <c r="J271" s="202">
        <v>0</v>
      </c>
      <c r="K271" s="203">
        <f t="shared" si="21"/>
        <v>0</v>
      </c>
    </row>
    <row r="272" spans="2:11" ht="12.75" hidden="1" customHeight="1">
      <c r="B272" s="80"/>
      <c r="C272" s="940" t="str">
        <f>CHOOSE(jezyk,n!A1739,n!B1739,n!C1739,n!D1737)</f>
        <v>Wykorzystane rezerwy z roku poprzedniego</v>
      </c>
      <c r="D272" s="940"/>
      <c r="E272" s="940"/>
      <c r="F272" s="940"/>
      <c r="G272" s="940"/>
      <c r="H272" s="941"/>
      <c r="I272" s="202">
        <v>0</v>
      </c>
      <c r="J272" s="202">
        <v>0</v>
      </c>
      <c r="K272" s="203">
        <f t="shared" si="21"/>
        <v>0</v>
      </c>
    </row>
    <row r="273" spans="2:12" ht="12.75" hidden="1" customHeight="1">
      <c r="B273" s="80"/>
      <c r="C273" s="940" t="str">
        <f>CHOOSE(jezyk,n!A1740,n!B1740,n!C1740,n!D1738)</f>
        <v>Niewypłacone diety w roku poprzednim, zapłacone w roku bieżącym</v>
      </c>
      <c r="D273" s="940"/>
      <c r="E273" s="940"/>
      <c r="F273" s="940"/>
      <c r="G273" s="940"/>
      <c r="H273" s="941"/>
      <c r="I273" s="202">
        <v>0</v>
      </c>
      <c r="J273" s="202">
        <v>0</v>
      </c>
      <c r="K273" s="203">
        <f t="shared" si="21"/>
        <v>0</v>
      </c>
    </row>
    <row r="274" spans="2:12" ht="12.75" hidden="1" customHeight="1">
      <c r="B274" s="80"/>
      <c r="C274" s="940" t="str">
        <f>CHOOSE(jezyk,n!A1741,n!B1741,n!C1741,n!D1739)</f>
        <v>Odsetki naliczone w roku poprzednim zapłacone w roku bieżącym</v>
      </c>
      <c r="D274" s="940"/>
      <c r="E274" s="940"/>
      <c r="F274" s="940"/>
      <c r="G274" s="940"/>
      <c r="H274" s="941"/>
      <c r="I274" s="202">
        <v>0</v>
      </c>
      <c r="J274" s="202">
        <v>0</v>
      </c>
      <c r="K274" s="203">
        <f t="shared" si="21"/>
        <v>0</v>
      </c>
    </row>
    <row r="275" spans="2:12" hidden="1">
      <c r="B275" s="80"/>
      <c r="C275" s="940" t="str">
        <f>CHOOSE(jezyk,n!A1747,n!B1747,n!C1747,n!D1745)</f>
        <v>Pozostałe</v>
      </c>
      <c r="D275" s="940"/>
      <c r="E275" s="940"/>
      <c r="F275" s="940"/>
      <c r="G275" s="940"/>
      <c r="H275" s="941"/>
      <c r="I275" s="202">
        <v>0</v>
      </c>
      <c r="J275" s="202">
        <v>0</v>
      </c>
      <c r="K275" s="203">
        <f t="shared" si="21"/>
        <v>0</v>
      </c>
    </row>
    <row r="276" spans="2:12" hidden="1">
      <c r="B276" s="80"/>
      <c r="C276" s="205"/>
      <c r="D276" s="196"/>
      <c r="E276" s="200"/>
      <c r="F276" s="197"/>
      <c r="G276" s="197"/>
      <c r="H276" s="197"/>
      <c r="I276" s="101"/>
      <c r="J276" s="101"/>
      <c r="K276" s="88"/>
    </row>
    <row r="277" spans="2:12" ht="12.75" hidden="1" customHeight="1">
      <c r="B277" s="80"/>
      <c r="C277" s="943" t="str">
        <f>CHOOSE(jezyk,n!A905,n!B905,n!C905,n!D903)</f>
        <v>H. Strata z lat ubiegłych, w tym:</v>
      </c>
      <c r="D277" s="943"/>
      <c r="E277" s="943"/>
      <c r="F277" s="943"/>
      <c r="G277" s="943"/>
      <c r="H277" s="944"/>
      <c r="I277" s="199">
        <f>SUM(I278:I279)</f>
        <v>0</v>
      </c>
      <c r="J277" s="199">
        <f>SUM(J278:J279)</f>
        <v>0</v>
      </c>
      <c r="K277" s="199">
        <f>SUM(K278:K279)</f>
        <v>0</v>
      </c>
    </row>
    <row r="278" spans="2:12" hidden="1">
      <c r="B278" s="80"/>
      <c r="C278" s="940"/>
      <c r="D278" s="940"/>
      <c r="E278" s="940"/>
      <c r="F278" s="940"/>
      <c r="G278" s="940"/>
      <c r="H278" s="197"/>
      <c r="I278" s="202"/>
      <c r="J278" s="202"/>
      <c r="K278" s="203">
        <f>SUM(I278:J278)</f>
        <v>0</v>
      </c>
    </row>
    <row r="279" spans="2:12" hidden="1">
      <c r="B279" s="80"/>
      <c r="C279" s="205"/>
      <c r="D279" s="196"/>
      <c r="E279" s="200"/>
      <c r="F279" s="197"/>
      <c r="G279" s="197"/>
      <c r="H279" s="197"/>
      <c r="I279" s="101"/>
      <c r="J279" s="101"/>
      <c r="K279" s="88"/>
    </row>
    <row r="280" spans="2:12" ht="12.75" hidden="1" customHeight="1">
      <c r="B280" s="80"/>
      <c r="C280" s="943" t="str">
        <f>CHOOSE(jezyk,n!A906,n!B906,n!C906,n!D904)</f>
        <v>I. Inne zmiany podstawy opodatkowania, w tym:</v>
      </c>
      <c r="D280" s="943"/>
      <c r="E280" s="943"/>
      <c r="F280" s="943"/>
      <c r="G280" s="943"/>
      <c r="H280" s="944"/>
      <c r="I280" s="199">
        <f>SUM(I281:I282)</f>
        <v>0</v>
      </c>
      <c r="J280" s="199">
        <f>SUM(J281:J282)</f>
        <v>0</v>
      </c>
      <c r="K280" s="199">
        <f>SUM(I281:J282)</f>
        <v>0</v>
      </c>
    </row>
    <row r="281" spans="2:12" ht="12.75" hidden="1" customHeight="1">
      <c r="B281" s="80"/>
      <c r="C281" s="940" t="str">
        <f>CHOOSE(jezyk,n!A1618,n!B1618,n!C1618,n!D1616)</f>
        <v>darowizny</v>
      </c>
      <c r="D281" s="940"/>
      <c r="E281" s="940"/>
      <c r="F281" s="940"/>
      <c r="G281" s="940"/>
      <c r="H281" s="197"/>
      <c r="I281" s="202"/>
      <c r="J281" s="202"/>
      <c r="K281" s="203">
        <f>SUM(I281:J281)</f>
        <v>0</v>
      </c>
    </row>
    <row r="282" spans="2:12" hidden="1">
      <c r="B282" s="80"/>
      <c r="C282" s="205"/>
      <c r="D282" s="196"/>
      <c r="E282" s="200"/>
      <c r="F282" s="197"/>
      <c r="G282" s="197"/>
      <c r="H282" s="197"/>
      <c r="I282" s="101"/>
      <c r="J282" s="101"/>
      <c r="K282" s="88"/>
    </row>
    <row r="283" spans="2:12" ht="12.75" hidden="1" customHeight="1">
      <c r="B283" s="80"/>
      <c r="C283" s="943" t="str">
        <f>CHOOSE(jezyk,n!A907,n!B907,n!C907,n!D905)</f>
        <v>J. Podstawa opodatkowania podatkiem dochodowym</v>
      </c>
      <c r="D283" s="943"/>
      <c r="E283" s="943"/>
      <c r="F283" s="943"/>
      <c r="G283" s="943"/>
      <c r="H283" s="943"/>
      <c r="I283" s="199">
        <f>I209-I211-I218+I230+I237+I255-I269-I277-I280</f>
        <v>0</v>
      </c>
      <c r="J283" s="199">
        <f>J209-J211-J218+J230+J237+J255-J269-J277+J280</f>
        <v>0</v>
      </c>
      <c r="K283" s="199">
        <f>I283+J283</f>
        <v>0</v>
      </c>
    </row>
    <row r="284" spans="2:12" hidden="1">
      <c r="B284" s="80"/>
      <c r="C284" s="196"/>
      <c r="D284" s="196"/>
      <c r="E284" s="200"/>
      <c r="F284" s="197"/>
      <c r="G284" s="197"/>
      <c r="H284" s="197"/>
      <c r="I284" s="88"/>
      <c r="J284" s="88"/>
      <c r="K284" s="88"/>
    </row>
    <row r="285" spans="2:12" ht="12.75" hidden="1" customHeight="1">
      <c r="B285" s="80"/>
      <c r="C285" s="958" t="str">
        <f>CHOOSE(jezyk,n!A919,n!B919,n!C919,n!D917)</f>
        <v>Podstawa PDOP (po zaokrągleniu)</v>
      </c>
      <c r="D285" s="958"/>
      <c r="E285" s="958"/>
      <c r="F285" s="958"/>
      <c r="G285" s="958"/>
      <c r="H285" s="958"/>
      <c r="I285" s="199">
        <f>ROUND(I283,0)</f>
        <v>0</v>
      </c>
      <c r="J285" s="199">
        <f>ROUND(J283,0)</f>
        <v>0</v>
      </c>
      <c r="K285" s="199">
        <f>ROUND(K283,0)</f>
        <v>0</v>
      </c>
      <c r="L285" s="199">
        <f>ROUND(K283,0)-K285</f>
        <v>0</v>
      </c>
    </row>
    <row r="286" spans="2:12" hidden="1">
      <c r="B286" s="80"/>
      <c r="C286" s="958"/>
      <c r="D286" s="958"/>
      <c r="E286" s="958"/>
      <c r="F286" s="958"/>
      <c r="G286" s="958"/>
      <c r="H286" s="958"/>
      <c r="I286" s="88"/>
      <c r="J286" s="88"/>
      <c r="K286" s="88"/>
    </row>
    <row r="287" spans="2:12" ht="12.75" hidden="1" customHeight="1">
      <c r="B287" s="80"/>
      <c r="C287" s="207" t="str">
        <f>CHOOSE(jezyk,n!A908,n!B908,n!C908,n!D906)</f>
        <v>K. Podatek dochodowy</v>
      </c>
      <c r="D287" s="207"/>
      <c r="E287" s="207"/>
      <c r="F287" s="207"/>
      <c r="G287" s="275">
        <f>G199</f>
        <v>0.19</v>
      </c>
      <c r="H287" s="207"/>
      <c r="I287" s="199">
        <f>IF((I285*G287)&gt;0,ROUND(I285*G287,0),0)</f>
        <v>0</v>
      </c>
      <c r="J287" s="199">
        <f>IF((J285*G287)&gt;0,ROUND(J285*G287,0),0)</f>
        <v>0</v>
      </c>
      <c r="K287" s="199">
        <f>IF((K285*G287)&gt;0,ROUND(K285*G287,0),0)</f>
        <v>0</v>
      </c>
      <c r="L287" s="199">
        <f>K285-J285-I285</f>
        <v>0</v>
      </c>
    </row>
    <row r="288" spans="2:12" hidden="1">
      <c r="B288" s="111"/>
      <c r="C288" s="192"/>
      <c r="D288" s="208"/>
      <c r="E288" s="192"/>
      <c r="F288" s="72"/>
      <c r="G288" s="72"/>
      <c r="H288" s="72"/>
      <c r="I288" s="88"/>
      <c r="J288" s="88"/>
      <c r="K288" s="88"/>
    </row>
    <row r="289" spans="2:12" hidden="1">
      <c r="B289" s="111"/>
      <c r="C289" s="192"/>
      <c r="D289" s="684" t="str">
        <f>CHOOSE(jezyk,n!A921,n!B921,n!C921,n!D919)</f>
        <v>zmiana podatku odroczonego</v>
      </c>
      <c r="E289" s="72"/>
      <c r="F289" s="72"/>
      <c r="G289" s="72"/>
      <c r="H289" s="72"/>
      <c r="I289" s="210"/>
      <c r="J289" s="210"/>
      <c r="K289" s="203">
        <f>J326</f>
        <v>0</v>
      </c>
    </row>
    <row r="290" spans="2:12" hidden="1">
      <c r="B290" s="111"/>
      <c r="C290" s="192"/>
      <c r="D290" s="684" t="str">
        <f>CHOOSE(jezyk,n!A1744,n!B1744,n!C1744,n!D1742)</f>
        <v>korekta podatku dochodowego za lata ubiegłe</v>
      </c>
      <c r="E290" s="72"/>
      <c r="F290" s="72"/>
      <c r="G290" s="72"/>
      <c r="H290" s="72"/>
      <c r="I290" s="210"/>
      <c r="J290" s="210"/>
      <c r="K290" s="685">
        <v>0</v>
      </c>
    </row>
    <row r="291" spans="2:12" hidden="1">
      <c r="B291" s="111"/>
      <c r="C291" s="192"/>
      <c r="D291" s="192"/>
      <c r="E291" s="192"/>
      <c r="F291" s="72"/>
      <c r="G291" s="72"/>
      <c r="H291" s="72"/>
      <c r="I291" s="210"/>
      <c r="J291" s="210"/>
      <c r="K291" s="210"/>
    </row>
    <row r="292" spans="2:12" hidden="1">
      <c r="B292" s="111"/>
      <c r="C292" s="209" t="str">
        <f>CHOOSE(jezyk,n!A922,n!B922,n!C922,n!D920)</f>
        <v>Razem podatek dochodowy</v>
      </c>
      <c r="D292" s="192"/>
      <c r="E292" s="192"/>
      <c r="F292" s="72"/>
      <c r="G292" s="72"/>
      <c r="H292" s="72"/>
      <c r="I292" s="210"/>
      <c r="J292" s="210"/>
      <c r="K292" s="199">
        <f>K287+K289+K290</f>
        <v>0</v>
      </c>
      <c r="L292" s="181">
        <f>IF(wrach=1,ROUND(K292-'RZiS Por. '!F76,2),ROUND(K292-'RZiS Kal.'!G72,2))</f>
        <v>0</v>
      </c>
    </row>
    <row r="293" spans="2:12" hidden="1">
      <c r="C293" s="211"/>
      <c r="D293" s="211"/>
      <c r="E293" s="211"/>
      <c r="F293" s="212"/>
      <c r="G293" s="211"/>
      <c r="I293" s="253"/>
      <c r="J293" s="253"/>
      <c r="K293" s="253"/>
    </row>
    <row r="294" spans="2:12">
      <c r="C294" s="211"/>
      <c r="D294" s="211"/>
      <c r="E294" s="211"/>
      <c r="F294" s="212"/>
      <c r="G294" s="211"/>
      <c r="I294" s="253"/>
      <c r="J294" s="253"/>
      <c r="K294" s="253"/>
    </row>
    <row r="295" spans="2:12">
      <c r="C295" s="942" t="str">
        <f>"2.6.b "&amp;CHOOSE(jezyk,n!A897,n!B897,n!C897,n!D895)</f>
        <v>2.6.b Podatek odroczony</v>
      </c>
      <c r="D295" s="942"/>
      <c r="E295" s="942"/>
      <c r="F295" s="942"/>
      <c r="G295" s="942"/>
      <c r="H295" s="942"/>
      <c r="I295" s="942"/>
      <c r="J295" s="942"/>
      <c r="K295" s="942"/>
    </row>
    <row r="296" spans="2:12">
      <c r="C296" s="211"/>
      <c r="D296" s="211"/>
      <c r="E296" s="211"/>
      <c r="F296" s="212"/>
      <c r="G296" s="211"/>
      <c r="I296" s="253"/>
      <c r="J296" s="253"/>
      <c r="K296" s="253"/>
    </row>
    <row r="297" spans="2:12" ht="26.25" hidden="1" customHeight="1">
      <c r="C297" s="939" t="str">
        <f>IF(GA!F67="nie",IF(GA!F73="nie",CHOOSE(jezyk,n!A942,n!B942,n!C942,n!D940),CHOOSE(jezyk,n!A944,n!B944,n!C944,n!D944)),IF(GA!F73="nie",CHOOSE(jezyk,n!A943,n!B943,n!C943,n!D943),CHOOSE(jezyk,n!A945,n!B945,n!C945,n!D945)))</f>
        <v>Spółka korzysta z uproszczeń i nie kalkuluje podatku odroczonego. Pozycja nie wystąpiła zarówno w bieżącym roku obrotowym jak i w roku poprzednim.</v>
      </c>
      <c r="D297" s="939"/>
      <c r="E297" s="939"/>
      <c r="F297" s="939"/>
      <c r="G297" s="939"/>
      <c r="H297" s="939"/>
      <c r="I297" s="939"/>
      <c r="J297" s="939"/>
      <c r="K297" s="939"/>
    </row>
    <row r="298" spans="2:12" hidden="1">
      <c r="C298" s="211"/>
      <c r="D298" s="211"/>
      <c r="E298" s="211"/>
      <c r="F298" s="212"/>
      <c r="G298" s="211"/>
      <c r="I298" s="253"/>
      <c r="J298" s="253"/>
      <c r="K298" s="253"/>
    </row>
    <row r="299" spans="2:12" ht="28.5" customHeight="1">
      <c r="C299" s="903" t="str">
        <f>CHOOSE(jezyk,n!A946,n!B946,n!C946,n!D941)</f>
        <v>Aktywa z tytułu odroczonego podatku dochodowego - ujemne różnice przejściowe</v>
      </c>
      <c r="D299" s="904"/>
      <c r="E299" s="904"/>
      <c r="F299" s="904"/>
      <c r="G299" s="905"/>
      <c r="H299" s="839" t="str">
        <f>dzb</f>
        <v>31.12.2024</v>
      </c>
      <c r="I299" s="839"/>
      <c r="J299" s="839" t="str">
        <f>pdz</f>
        <v>31.12.2023</v>
      </c>
      <c r="K299" s="839" t="str">
        <f>pdz</f>
        <v>31.12.2023</v>
      </c>
    </row>
    <row r="300" spans="2:12" ht="17.100000000000001" customHeight="1">
      <c r="C300" s="926" t="str">
        <f>CHOOSE(jezyk,n!A1733,n!B1733,n!C1733,n!D1731)</f>
        <v>Utworzone rezerwy</v>
      </c>
      <c r="D300" s="927"/>
      <c r="E300" s="927"/>
      <c r="F300" s="927"/>
      <c r="G300" s="928"/>
      <c r="H300" s="929">
        <v>309406.46999999997</v>
      </c>
      <c r="I300" s="930"/>
      <c r="J300" s="929">
        <v>0</v>
      </c>
      <c r="K300" s="930"/>
    </row>
    <row r="301" spans="2:12" ht="17.100000000000001" customHeight="1">
      <c r="C301" s="926" t="str">
        <f>CHOOSE(jezyk,n!A1727,n!B1727,n!C1727,n!D1722)</f>
        <v>Odpisy aktualizujące należności</v>
      </c>
      <c r="D301" s="927"/>
      <c r="E301" s="927"/>
      <c r="F301" s="927"/>
      <c r="G301" s="928"/>
      <c r="H301" s="929">
        <v>10540.21</v>
      </c>
      <c r="I301" s="930"/>
      <c r="J301" s="929">
        <v>0</v>
      </c>
      <c r="K301" s="930"/>
    </row>
    <row r="302" spans="2:12" ht="17.100000000000001" customHeight="1">
      <c r="C302" s="926" t="str">
        <f>CHOOSE(jezyk,n!A947,n!B947,n!C947,n!D942)</f>
        <v>Odpisy aktualizujące zapasy</v>
      </c>
      <c r="D302" s="927"/>
      <c r="E302" s="927"/>
      <c r="F302" s="927"/>
      <c r="G302" s="928"/>
      <c r="H302" s="929">
        <v>0</v>
      </c>
      <c r="I302" s="930"/>
      <c r="J302" s="929">
        <v>0</v>
      </c>
      <c r="K302" s="930"/>
    </row>
    <row r="303" spans="2:12" ht="17.100000000000001" customHeight="1">
      <c r="C303" s="926" t="str">
        <f>CHOOSE(jezyk,n!A1732,n!B1732,n!C1732,n!D1730)</f>
        <v>Niewypłacone w terminie wynagrodzenia</v>
      </c>
      <c r="D303" s="927"/>
      <c r="E303" s="927"/>
      <c r="F303" s="927"/>
      <c r="G303" s="928"/>
      <c r="H303" s="929">
        <v>85553.05</v>
      </c>
      <c r="I303" s="930"/>
      <c r="J303" s="929">
        <v>0</v>
      </c>
      <c r="K303" s="930"/>
    </row>
    <row r="304" spans="2:12" ht="17.100000000000001" customHeight="1">
      <c r="C304" s="926" t="str">
        <f>CHOOSE(jezyk,n!A1731,n!B1731,n!C1731,n!D1727)</f>
        <v>Nieopłacone do ZUS składki - narzuty na wynagrodzenia</v>
      </c>
      <c r="D304" s="927"/>
      <c r="E304" s="927"/>
      <c r="F304" s="927"/>
      <c r="G304" s="928"/>
      <c r="H304" s="929">
        <v>17235.07</v>
      </c>
      <c r="I304" s="930"/>
      <c r="J304" s="929">
        <v>0</v>
      </c>
      <c r="K304" s="930"/>
    </row>
    <row r="305" spans="3:13" ht="27.75" customHeight="1">
      <c r="C305" s="926" t="str">
        <f>CHOOSE(jezyk,n!A948,n!B948,n!C948,n!D946)</f>
        <v>Zobowiązanie leasingowe - wartość netto środków trwałych w leasingu</v>
      </c>
      <c r="D305" s="927"/>
      <c r="E305" s="927"/>
      <c r="F305" s="927"/>
      <c r="G305" s="928"/>
      <c r="H305" s="929">
        <v>0</v>
      </c>
      <c r="I305" s="930"/>
      <c r="J305" s="929">
        <v>0</v>
      </c>
      <c r="K305" s="930"/>
      <c r="L305" s="214" t="s">
        <v>5951</v>
      </c>
    </row>
    <row r="306" spans="3:13" ht="27.75" customHeight="1">
      <c r="C306" s="926" t="str">
        <f>CHOOSE(jezyk,n!A949,n!B949,n!C949,n!D947)</f>
        <v>Różnica między wartością bilansową a podatkową środków trwałych</v>
      </c>
      <c r="D306" s="927"/>
      <c r="E306" s="927"/>
      <c r="F306" s="927"/>
      <c r="G306" s="928"/>
      <c r="H306" s="929">
        <v>0</v>
      </c>
      <c r="I306" s="930"/>
      <c r="J306" s="929">
        <v>0</v>
      </c>
      <c r="K306" s="930"/>
      <c r="L306" s="214"/>
    </row>
    <row r="307" spans="3:13" ht="17.100000000000001" customHeight="1">
      <c r="C307" s="926" t="str">
        <f>CHOOSE(jezyk,n!A1735,n!B1735,n!C1735,n!D1733)</f>
        <v>Odsetki naliczone</v>
      </c>
      <c r="D307" s="927"/>
      <c r="E307" s="927"/>
      <c r="F307" s="927"/>
      <c r="G307" s="928"/>
      <c r="H307" s="929">
        <v>0</v>
      </c>
      <c r="I307" s="930"/>
      <c r="J307" s="929">
        <v>0</v>
      </c>
      <c r="K307" s="930"/>
    </row>
    <row r="308" spans="3:13" ht="17.100000000000001" customHeight="1">
      <c r="C308" s="926" t="str">
        <f>CHOOSE(jezyk,n!A1730,n!B1730,n!C1730,n!D1724)</f>
        <v>Różnice kursowe ujemne niezrealizowane</v>
      </c>
      <c r="D308" s="927"/>
      <c r="E308" s="927"/>
      <c r="F308" s="927"/>
      <c r="G308" s="928"/>
      <c r="H308" s="929">
        <v>4370.6899999999996</v>
      </c>
      <c r="I308" s="930"/>
      <c r="J308" s="929">
        <v>0</v>
      </c>
      <c r="K308" s="930"/>
    </row>
    <row r="309" spans="3:13" ht="17.100000000000001" customHeight="1">
      <c r="C309" s="926" t="str">
        <f>CHOOSE(jezyk,n!A950,n!B950,n!C950,n!D948)</f>
        <v>Straty podatkowe możliwe do odliczenia</v>
      </c>
      <c r="D309" s="927"/>
      <c r="E309" s="927"/>
      <c r="F309" s="927"/>
      <c r="G309" s="928"/>
      <c r="H309" s="929">
        <v>0</v>
      </c>
      <c r="I309" s="930"/>
      <c r="J309" s="929">
        <v>0</v>
      </c>
      <c r="K309" s="930"/>
    </row>
    <row r="310" spans="3:13" ht="17.25" customHeight="1">
      <c r="C310" s="936" t="str">
        <f>CHOOSE(jezyk,n!A951,n!B951,n!C951,n!D949)</f>
        <v>Razem różnice przejściowe</v>
      </c>
      <c r="D310" s="937"/>
      <c r="E310" s="937"/>
      <c r="F310" s="937"/>
      <c r="G310" s="938"/>
      <c r="H310" s="923">
        <f>SUM(H300:I309)</f>
        <v>427105.49</v>
      </c>
      <c r="I310" s="924"/>
      <c r="J310" s="923">
        <f>SUM(J300:K309)</f>
        <v>0</v>
      </c>
      <c r="K310" s="924"/>
    </row>
    <row r="311" spans="3:13" ht="17.25" customHeight="1">
      <c r="C311" s="936" t="str">
        <f>CHOOSE(jezyk,n!A952,n!B952,n!C952,n!D950)</f>
        <v>Aktywa z tytułu odroczonego podatku dochodowego</v>
      </c>
      <c r="D311" s="937"/>
      <c r="E311" s="937"/>
      <c r="F311" s="937"/>
      <c r="G311" s="938"/>
      <c r="H311" s="923">
        <f>ROUND(H310*G199,0)</f>
        <v>81150</v>
      </c>
      <c r="I311" s="924"/>
      <c r="J311" s="923">
        <f>ROUND(J310*G287,0)</f>
        <v>0</v>
      </c>
      <c r="K311" s="924"/>
    </row>
    <row r="312" spans="3:13" ht="27" customHeight="1">
      <c r="C312" s="903" t="str">
        <f>CHOOSE(jezyk,n!A953,n!B953,n!C953,n!D951)</f>
        <v>Odpis aktualizujący aktywo z tytułu odroczonego podatku dochodowego</v>
      </c>
      <c r="D312" s="904"/>
      <c r="E312" s="904"/>
      <c r="F312" s="904"/>
      <c r="G312" s="905"/>
      <c r="H312" s="934">
        <v>0</v>
      </c>
      <c r="I312" s="935"/>
      <c r="J312" s="934">
        <v>0</v>
      </c>
      <c r="K312" s="935"/>
      <c r="L312" s="144" t="str">
        <f>H299</f>
        <v>31.12.2024</v>
      </c>
      <c r="M312" s="144" t="str">
        <f>J299</f>
        <v>31.12.2023</v>
      </c>
    </row>
    <row r="313" spans="3:13" ht="27.75" customHeight="1">
      <c r="C313" s="903" t="str">
        <f>CHOOSE(jezyk,n!A954,n!B954,n!C954,n!D952)</f>
        <v>Aktywa z tytułu odroczonego podatku dochodowego (po uwzględnieniu odpisu aktualizującego)</v>
      </c>
      <c r="D313" s="904"/>
      <c r="E313" s="904"/>
      <c r="F313" s="904"/>
      <c r="G313" s="905"/>
      <c r="H313" s="923">
        <f>H311+H312</f>
        <v>81150</v>
      </c>
      <c r="I313" s="924"/>
      <c r="J313" s="923">
        <f>J311+J312</f>
        <v>0</v>
      </c>
      <c r="K313" s="924"/>
      <c r="L313" s="148">
        <f>ROUND(H313-Bilans!J66,2)</f>
        <v>81150</v>
      </c>
      <c r="M313" s="148">
        <f>ROUND(J313-Bilans!K66,2)</f>
        <v>0</v>
      </c>
    </row>
    <row r="314" spans="3:13" ht="9.9499999999999993" customHeight="1">
      <c r="C314" s="211"/>
      <c r="D314" s="211"/>
      <c r="E314" s="211"/>
      <c r="F314" s="212"/>
      <c r="G314" s="211"/>
      <c r="I314" s="253"/>
      <c r="J314" s="253"/>
      <c r="K314" s="253"/>
    </row>
    <row r="315" spans="3:13" ht="28.5" customHeight="1">
      <c r="C315" s="903" t="str">
        <f>CHOOSE(jezyk,n!A955,n!B955,n!C955,n!D953)</f>
        <v>Rezerwa na podatek odroczony 
- dodatnie różnice przejściowe</v>
      </c>
      <c r="D315" s="904"/>
      <c r="E315" s="904"/>
      <c r="F315" s="904"/>
      <c r="G315" s="905"/>
      <c r="H315" s="839" t="str">
        <f>dzb</f>
        <v>31.12.2024</v>
      </c>
      <c r="I315" s="839"/>
      <c r="J315" s="839" t="str">
        <f>pdz</f>
        <v>31.12.2023</v>
      </c>
      <c r="K315" s="839" t="str">
        <f>pdz</f>
        <v>31.12.2023</v>
      </c>
    </row>
    <row r="316" spans="3:13" ht="17.100000000000001" customHeight="1">
      <c r="C316" s="926" t="str">
        <f>CHOOSE(jezyk,n!A1699,n!B1699,n!C1699,n!D1697)</f>
        <v>Utworzone rezerwy na przychody</v>
      </c>
      <c r="D316" s="927"/>
      <c r="E316" s="927"/>
      <c r="F316" s="927"/>
      <c r="G316" s="928"/>
      <c r="H316" s="929">
        <v>0</v>
      </c>
      <c r="I316" s="930"/>
      <c r="J316" s="929">
        <v>0</v>
      </c>
      <c r="K316" s="930"/>
    </row>
    <row r="317" spans="3:13" ht="17.100000000000001" customHeight="1">
      <c r="C317" s="926" t="str">
        <f>CHOOSE(jezyk,n!A1696,n!B1696,n!C1696,n!D1694)</f>
        <v>Różnice kursowe dodatnie niezrealizowane</v>
      </c>
      <c r="D317" s="927"/>
      <c r="E317" s="927"/>
      <c r="F317" s="927"/>
      <c r="G317" s="928"/>
      <c r="H317" s="929">
        <v>0</v>
      </c>
      <c r="I317" s="930"/>
      <c r="J317" s="929">
        <v>0</v>
      </c>
      <c r="K317" s="930"/>
    </row>
    <row r="318" spans="3:13" ht="17.100000000000001" customHeight="1">
      <c r="C318" s="926" t="str">
        <f>CHOOSE(jezyk,n!A1703,n!B1703,n!C1703,n!D1699)</f>
        <v>Naliczone odsetki</v>
      </c>
      <c r="D318" s="927"/>
      <c r="E318" s="927"/>
      <c r="F318" s="927"/>
      <c r="G318" s="928"/>
      <c r="H318" s="929">
        <v>0</v>
      </c>
      <c r="I318" s="930"/>
      <c r="J318" s="929">
        <v>0</v>
      </c>
      <c r="K318" s="930"/>
    </row>
    <row r="319" spans="3:13" ht="29.25" customHeight="1">
      <c r="C319" s="926" t="str">
        <f>CHOOSE(jezyk,n!A956,n!B956,n!C956,n!D954)</f>
        <v>Wartość netto środków trwałych w leasingu - zobowiązanie leasingowe</v>
      </c>
      <c r="D319" s="927"/>
      <c r="E319" s="927"/>
      <c r="F319" s="927"/>
      <c r="G319" s="928"/>
      <c r="H319" s="929">
        <v>0</v>
      </c>
      <c r="I319" s="930"/>
      <c r="J319" s="929">
        <v>0</v>
      </c>
      <c r="K319" s="930"/>
      <c r="L319" s="214" t="s">
        <v>5953</v>
      </c>
    </row>
    <row r="320" spans="3:13" ht="17.25" customHeight="1">
      <c r="C320" s="936" t="str">
        <f>CHOOSE(jezyk,n!A951,n!B951,n!C951,n!D949)</f>
        <v>Razem różnice przejściowe</v>
      </c>
      <c r="D320" s="937"/>
      <c r="E320" s="937"/>
      <c r="F320" s="937"/>
      <c r="G320" s="938"/>
      <c r="H320" s="923">
        <f>SUM(H316:I319)</f>
        <v>0</v>
      </c>
      <c r="I320" s="924"/>
      <c r="J320" s="923">
        <f>SUM(J316:K319)</f>
        <v>0</v>
      </c>
      <c r="K320" s="924"/>
      <c r="L320" s="144" t="str">
        <f>L312</f>
        <v>31.12.2024</v>
      </c>
      <c r="M320" s="144" t="str">
        <f>M312</f>
        <v>31.12.2023</v>
      </c>
    </row>
    <row r="321" spans="1:13" ht="17.25" customHeight="1">
      <c r="C321" s="936" t="str">
        <f>CHOOSE(jezyk,n!A958,n!B958,n!C958,n!D956)</f>
        <v xml:space="preserve">Rezerwa na podatek odroczony </v>
      </c>
      <c r="D321" s="937"/>
      <c r="E321" s="937"/>
      <c r="F321" s="937"/>
      <c r="G321" s="938"/>
      <c r="H321" s="923">
        <f>ROUND(H320*G199,0)</f>
        <v>0</v>
      </c>
      <c r="I321" s="924"/>
      <c r="J321" s="923">
        <f>ROUND(J320*G287,0)</f>
        <v>0</v>
      </c>
      <c r="K321" s="924"/>
      <c r="L321" s="148">
        <f>ROUND(H321-ROUND(Bilans!S31,0),2)</f>
        <v>0</v>
      </c>
      <c r="M321" s="148">
        <f>ROUND(J321-ROUND(Bilans!T31,0),2)</f>
        <v>0</v>
      </c>
    </row>
    <row r="322" spans="1:13">
      <c r="C322" s="211"/>
      <c r="D322" s="211"/>
      <c r="E322" s="211"/>
      <c r="F322" s="212"/>
      <c r="G322" s="211"/>
      <c r="I322" s="253"/>
      <c r="J322" s="253"/>
      <c r="K322" s="253"/>
    </row>
    <row r="323" spans="1:13" ht="28.5" customHeight="1">
      <c r="C323" s="211"/>
      <c r="D323" s="211"/>
      <c r="E323" s="211"/>
      <c r="F323" s="212"/>
      <c r="G323" s="211"/>
      <c r="H323" s="839" t="str">
        <f>dzb</f>
        <v>31.12.2024</v>
      </c>
      <c r="I323" s="839"/>
      <c r="J323" s="839" t="str">
        <f>pdz</f>
        <v>31.12.2023</v>
      </c>
      <c r="K323" s="839" t="str">
        <f>pdz</f>
        <v>31.12.2023</v>
      </c>
    </row>
    <row r="324" spans="1:13" ht="27" customHeight="1">
      <c r="C324" s="903" t="str">
        <f>CHOOSE(jezyk,n!A959,n!B959,n!C959,n!D957)</f>
        <v>Zmiana stanu aktywów z tytułu odroczonego podatku dochodowego</v>
      </c>
      <c r="D324" s="904"/>
      <c r="E324" s="904"/>
      <c r="F324" s="904"/>
      <c r="G324" s="905"/>
      <c r="H324" s="923">
        <f>H313-J313</f>
        <v>81150</v>
      </c>
      <c r="I324" s="924"/>
      <c r="J324" s="929">
        <v>0</v>
      </c>
      <c r="K324" s="930"/>
    </row>
    <row r="325" spans="1:13" ht="22.5" customHeight="1">
      <c r="C325" s="903" t="str">
        <f>CHOOSE(jezyk,n!A960,n!B960,n!C960,n!D958)</f>
        <v>Zmiana stanu rezerw na podatek odroczony</v>
      </c>
      <c r="D325" s="904"/>
      <c r="E325" s="904"/>
      <c r="F325" s="904"/>
      <c r="G325" s="905"/>
      <c r="H325" s="923">
        <f>H321-J321</f>
        <v>0</v>
      </c>
      <c r="I325" s="924"/>
      <c r="J325" s="929">
        <v>0</v>
      </c>
      <c r="K325" s="930"/>
      <c r="L325" s="144" t="str">
        <f>L320</f>
        <v>31.12.2024</v>
      </c>
      <c r="M325" s="144" t="str">
        <f>M320</f>
        <v>31.12.2023</v>
      </c>
    </row>
    <row r="326" spans="1:13" ht="30" customHeight="1">
      <c r="C326" s="903" t="str">
        <f>CHOOSE(jezyk,n!A961,n!B961,n!C961,n!D959)</f>
        <v>Korekta podatku dochodowego w RZiS z tytułu podatku odroczonego</v>
      </c>
      <c r="D326" s="904"/>
      <c r="E326" s="904"/>
      <c r="F326" s="904"/>
      <c r="G326" s="905"/>
      <c r="H326" s="923">
        <f>H325-H324</f>
        <v>-81150</v>
      </c>
      <c r="I326" s="924"/>
      <c r="J326" s="923">
        <f>J325-J324</f>
        <v>0</v>
      </c>
      <c r="K326" s="924"/>
      <c r="L326" s="148">
        <f>H326-K201</f>
        <v>0</v>
      </c>
      <c r="M326" s="148">
        <f>J326-K289</f>
        <v>0</v>
      </c>
    </row>
    <row r="327" spans="1:13">
      <c r="C327" s="211"/>
      <c r="D327" s="211"/>
      <c r="E327" s="211"/>
      <c r="F327" s="212"/>
      <c r="G327" s="211"/>
      <c r="I327" s="253"/>
      <c r="J327" s="253"/>
      <c r="K327" s="253"/>
    </row>
    <row r="328" spans="1:13" ht="26.25" customHeight="1">
      <c r="B328" s="111" t="s">
        <v>1519</v>
      </c>
      <c r="C328" s="762" t="str">
        <f>CHOOSE(jezyk,n!A962,n!B962,n!C962,n!D960)</f>
        <v>Koszt wytworzenia środków trwałych w budowie, w tym odsetki oraz różnice kursowe, które powiększyły koszt wytworzenia środków trwałych w budowie w roku obrotowym</v>
      </c>
      <c r="D328" s="762"/>
      <c r="E328" s="762"/>
      <c r="F328" s="762"/>
      <c r="G328" s="762"/>
      <c r="H328" s="762"/>
      <c r="I328" s="762"/>
      <c r="J328" s="762"/>
      <c r="K328" s="762"/>
    </row>
    <row r="330" spans="1:13">
      <c r="C330" s="747" t="str">
        <f>CHOOSE(jezyk,n!A643,n!B643,n!C643,n!D641)</f>
        <v>Pozycja nie wystąpiła zarówno w roku obrotowym 2024, jak i w roku poprzednim.</v>
      </c>
      <c r="D330" s="747"/>
      <c r="E330" s="747"/>
      <c r="F330" s="747"/>
      <c r="G330" s="747"/>
      <c r="H330" s="747"/>
      <c r="I330" s="747"/>
      <c r="J330" s="747"/>
      <c r="K330" s="747"/>
      <c r="L330" s="131" t="s">
        <v>2186</v>
      </c>
    </row>
    <row r="332" spans="1:13" s="151" customFormat="1" ht="19.5" hidden="1" customHeight="1">
      <c r="A332" s="252"/>
      <c r="H332" s="839">
        <f>ro</f>
        <v>2024</v>
      </c>
      <c r="I332" s="839"/>
      <c r="J332" s="839">
        <f>IF(LEN(ro)&gt;4,_xlfn.TEXTBEFORE(ro,"/")-1&amp;"/"&amp;_xlfn.TEXTAFTER(ro,"/")-1,ro-1)</f>
        <v>2023</v>
      </c>
      <c r="K332" s="839"/>
    </row>
    <row r="333" spans="1:13" ht="24.75" hidden="1" customHeight="1">
      <c r="C333" s="936" t="str">
        <f>CHOOSE(jezyk,n!A963,n!B963,n!C963,n!D961)</f>
        <v>Koszty wytworzenia środków trwałych w budowie</v>
      </c>
      <c r="D333" s="937"/>
      <c r="E333" s="937"/>
      <c r="F333" s="937"/>
      <c r="G333" s="938"/>
      <c r="H333" s="929"/>
      <c r="I333" s="930"/>
      <c r="J333" s="929"/>
      <c r="K333" s="930"/>
    </row>
    <row r="334" spans="1:13" ht="25.5" hidden="1" customHeight="1">
      <c r="C334" s="903" t="str">
        <f>CHOOSE(jezyk,n!A964,n!B964,n!C964,n!D962)</f>
        <v xml:space="preserve"> - w tym skapitalizowane odsetki</v>
      </c>
      <c r="D334" s="904"/>
      <c r="E334" s="904"/>
      <c r="F334" s="904"/>
      <c r="G334" s="905"/>
      <c r="H334" s="929"/>
      <c r="I334" s="930"/>
      <c r="J334" s="929"/>
      <c r="K334" s="930"/>
    </row>
    <row r="335" spans="1:13" ht="25.5" hidden="1" customHeight="1">
      <c r="C335" s="903" t="str">
        <f>CHOOSE(jezyk,n!A965,n!B965,n!C965,n!D963)</f>
        <v xml:space="preserve"> - w tym skapitalizowane różnice kursowe od zobowiązań zaciągniętych w celu ich sfinansowania</v>
      </c>
      <c r="D335" s="904"/>
      <c r="E335" s="904"/>
      <c r="F335" s="904"/>
      <c r="G335" s="905"/>
      <c r="H335" s="690"/>
      <c r="I335" s="691"/>
      <c r="J335" s="690"/>
      <c r="K335" s="691"/>
    </row>
    <row r="336" spans="1:13" ht="33.75" hidden="1" customHeight="1">
      <c r="C336" s="903" t="str">
        <f>CHOOSE(jezyk,n!A966,n!B966,n!C966,n!D963)</f>
        <v>Koszty wytworzenia środków trwałych oddanych do użytkowania w roku obrotowym</v>
      </c>
      <c r="D336" s="904"/>
      <c r="E336" s="904"/>
      <c r="F336" s="904"/>
      <c r="G336" s="905"/>
      <c r="H336" s="929"/>
      <c r="I336" s="930"/>
      <c r="J336" s="929"/>
      <c r="K336" s="930"/>
    </row>
    <row r="337" spans="2:12" ht="25.5" hidden="1" customHeight="1">
      <c r="C337" s="903" t="str">
        <f>C334</f>
        <v xml:space="preserve"> - w tym skapitalizowane odsetki</v>
      </c>
      <c r="D337" s="904"/>
      <c r="E337" s="904"/>
      <c r="F337" s="904"/>
      <c r="G337" s="905"/>
      <c r="H337" s="690"/>
      <c r="I337" s="691"/>
      <c r="J337" s="690"/>
      <c r="K337" s="691"/>
    </row>
    <row r="338" spans="2:12" ht="25.5" hidden="1" customHeight="1">
      <c r="C338" s="903" t="str">
        <f>C335</f>
        <v xml:space="preserve"> - w tym skapitalizowane różnice kursowe od zobowiązań zaciągniętych w celu ich sfinansowania</v>
      </c>
      <c r="D338" s="904"/>
      <c r="E338" s="904"/>
      <c r="F338" s="904"/>
      <c r="G338" s="905"/>
      <c r="H338" s="929"/>
      <c r="I338" s="930"/>
      <c r="J338" s="929"/>
      <c r="K338" s="930"/>
    </row>
    <row r="339" spans="2:12" ht="16.5" hidden="1" customHeight="1">
      <c r="H339" s="923">
        <f>H333+H336</f>
        <v>0</v>
      </c>
      <c r="I339" s="924"/>
      <c r="J339" s="923">
        <f>J333+J336</f>
        <v>0</v>
      </c>
      <c r="K339" s="924"/>
    </row>
    <row r="340" spans="2:12" hidden="1"/>
    <row r="341" spans="2:12" ht="26.25" customHeight="1">
      <c r="B341" s="111" t="s">
        <v>1521</v>
      </c>
      <c r="C341" s="762" t="str">
        <f>CHOOSE(jezyk,n!A939,n!B939,n!C939,n!D937)</f>
        <v>Odsetki oraz różnice kursowe, które powiększyły cenę nabycia towarów lub koszt wytworzenia produktów w roku obrotowym</v>
      </c>
      <c r="D341" s="762"/>
      <c r="E341" s="762"/>
      <c r="F341" s="762"/>
      <c r="G341" s="762"/>
      <c r="H341" s="762"/>
      <c r="I341" s="762"/>
      <c r="J341" s="762"/>
      <c r="K341" s="762"/>
    </row>
    <row r="343" spans="2:12">
      <c r="C343" s="747" t="str">
        <f>CHOOSE(jezyk,n!A643,n!B643,n!C643,n!D641)</f>
        <v>Pozycja nie wystąpiła zarówno w roku obrotowym 2024, jak i w roku poprzednim.</v>
      </c>
      <c r="D343" s="747"/>
      <c r="E343" s="747"/>
      <c r="F343" s="747"/>
      <c r="G343" s="747"/>
      <c r="H343" s="747"/>
      <c r="I343" s="747"/>
      <c r="J343" s="747"/>
      <c r="K343" s="747"/>
      <c r="L343" s="131" t="s">
        <v>2186</v>
      </c>
    </row>
    <row r="344" spans="2:12">
      <c r="C344" s="838"/>
      <c r="D344" s="838"/>
      <c r="E344" s="838"/>
      <c r="F344" s="838"/>
      <c r="G344" s="838"/>
      <c r="H344" s="838"/>
      <c r="I344" s="838"/>
      <c r="J344" s="838"/>
      <c r="K344" s="838"/>
      <c r="L344" s="131"/>
    </row>
    <row r="345" spans="2:12" ht="12.75" customHeight="1">
      <c r="C345" s="406"/>
      <c r="D345" s="406"/>
      <c r="E345" s="406"/>
      <c r="F345" s="406"/>
      <c r="G345" s="955">
        <f>ro</f>
        <v>2024</v>
      </c>
      <c r="H345" s="956"/>
      <c r="I345" s="955">
        <f>IF(LEN(ro)&gt;4,_xlfn.TEXTBEFORE(ro,"/")-1&amp;"/"&amp;_xlfn.TEXTAFTER(ro,"/")-1,ro-1)</f>
        <v>2023</v>
      </c>
      <c r="J345" s="956"/>
    </row>
    <row r="346" spans="2:12" ht="18" customHeight="1">
      <c r="C346" s="936" t="str">
        <f>CHOOSE(jezyk,n!A940,n!B940,n!C940,n!D938)</f>
        <v>odsetki</v>
      </c>
      <c r="D346" s="937"/>
      <c r="E346" s="937"/>
      <c r="F346" s="938"/>
      <c r="G346" s="929"/>
      <c r="H346" s="930"/>
      <c r="I346" s="929"/>
      <c r="J346" s="930"/>
    </row>
    <row r="347" spans="2:12" ht="18.75" customHeight="1">
      <c r="C347" s="936" t="str">
        <f>CHOOSE(jezyk,n!A941,n!B941,n!C941,n!D939)</f>
        <v>różnice kursowe</v>
      </c>
      <c r="D347" s="937"/>
      <c r="E347" s="937"/>
      <c r="F347" s="938"/>
      <c r="G347" s="929"/>
      <c r="H347" s="930"/>
      <c r="I347" s="929"/>
      <c r="J347" s="930"/>
    </row>
    <row r="349" spans="2:12">
      <c r="B349" s="111" t="s">
        <v>851</v>
      </c>
      <c r="C349" s="762" t="str">
        <f>CHOOSE(jezyk,n!A968,n!B968,n!C968,n!D966)</f>
        <v>Poniesione w ostatnim roku i planowane na następny rok nakłady na niefinansowe aktywa trwałe</v>
      </c>
      <c r="D349" s="762"/>
      <c r="E349" s="762"/>
      <c r="F349" s="762"/>
      <c r="G349" s="762"/>
      <c r="H349" s="762"/>
      <c r="I349" s="762"/>
      <c r="J349" s="762"/>
      <c r="K349" s="762"/>
    </row>
    <row r="350" spans="2:12">
      <c r="C350" s="762"/>
      <c r="D350" s="762"/>
      <c r="E350" s="762"/>
      <c r="F350" s="762"/>
      <c r="G350" s="762"/>
      <c r="H350" s="762"/>
      <c r="I350" s="762"/>
      <c r="J350" s="762"/>
      <c r="K350" s="762"/>
    </row>
    <row r="351" spans="2:12">
      <c r="C351" s="741" t="str">
        <f>IF(GA!F67="nie",CHOOSE(jezyk,n!A969,n!B969,n!C969,n!D967),CHOOSE(jezyk,n!A970,n!B970,n!C970,n!D970))</f>
        <v>Spółka nie ponosiła w roku obrotowym 2024 nakładów na niefinansowe aktywa trwałe.</v>
      </c>
      <c r="D351" s="741"/>
      <c r="E351" s="741"/>
      <c r="F351" s="741"/>
      <c r="G351" s="741"/>
      <c r="H351" s="741"/>
      <c r="I351" s="741"/>
      <c r="J351" s="741"/>
      <c r="K351" s="741"/>
      <c r="L351" s="131" t="s">
        <v>2186</v>
      </c>
    </row>
    <row r="352" spans="2:12">
      <c r="C352" s="741" t="str">
        <f>CHOOSE(jezyk,n!A971,n!B971,n!C971,n!D968)</f>
        <v>Nie planuje się również istotnych nakładów na niefinansowe aktywa trwałe w kolejnym roku obrotowym.</v>
      </c>
      <c r="D352" s="741"/>
      <c r="E352" s="741"/>
      <c r="F352" s="741"/>
      <c r="G352" s="741"/>
      <c r="H352" s="741"/>
      <c r="I352" s="741"/>
      <c r="J352" s="741"/>
      <c r="K352" s="741"/>
      <c r="L352" s="131" t="s">
        <v>2186</v>
      </c>
    </row>
    <row r="353" spans="2:12">
      <c r="C353" s="106"/>
      <c r="D353" s="106"/>
      <c r="E353" s="106"/>
      <c r="F353" s="106"/>
      <c r="G353" s="106"/>
      <c r="H353" s="106"/>
      <c r="I353" s="106"/>
      <c r="J353" s="106"/>
      <c r="K353" s="106"/>
      <c r="L353" s="131"/>
    </row>
    <row r="354" spans="2:12" ht="19.5" customHeight="1">
      <c r="G354" s="953">
        <f>rok</f>
        <v>2024</v>
      </c>
      <c r="H354" s="954"/>
      <c r="I354" s="953">
        <f>IF(LEN(ro)&gt;4,_xlfn.TEXTBEFORE(ro,"/")-1&amp;"/"&amp;_xlfn.TEXTAFTER(ro,"/")-1,ro-1)</f>
        <v>2023</v>
      </c>
      <c r="J354" s="954"/>
    </row>
    <row r="355" spans="2:12" ht="30.75" customHeight="1">
      <c r="C355" s="936" t="str">
        <f>CHOOSE(jezyk,n!A972,n!B972,n!C972,n!D969)</f>
        <v>Poniesione nakłady w roku obrotowym</v>
      </c>
      <c r="D355" s="937"/>
      <c r="E355" s="937"/>
      <c r="F355" s="938"/>
      <c r="G355" s="929"/>
      <c r="H355" s="930"/>
      <c r="I355" s="929"/>
      <c r="J355" s="930"/>
    </row>
    <row r="356" spans="2:12" ht="25.5" customHeight="1">
      <c r="C356" s="986" t="str">
        <f>"   "&amp;CHOOSE(jezyk,n!A973,n!B973,n!C973,n!D971)</f>
        <v xml:space="preserve">   w tym poniesione nakłady na ochronę środowiska</v>
      </c>
      <c r="D356" s="987"/>
      <c r="E356" s="987"/>
      <c r="F356" s="988"/>
      <c r="G356" s="929"/>
      <c r="H356" s="930"/>
      <c r="I356" s="929"/>
      <c r="J356" s="930"/>
    </row>
    <row r="357" spans="2:12" ht="28.5" customHeight="1">
      <c r="C357" s="903" t="str">
        <f>CHOOSE(jezyk,n!A974,n!B974,n!C974,n!D972)</f>
        <v>Planowane nakłady w kolejnym roku obrotowym</v>
      </c>
      <c r="D357" s="904"/>
      <c r="E357" s="904"/>
      <c r="F357" s="905"/>
      <c r="G357" s="929"/>
      <c r="H357" s="930"/>
      <c r="I357" s="929"/>
      <c r="J357" s="930"/>
    </row>
    <row r="358" spans="2:12" ht="28.5" customHeight="1">
      <c r="C358" s="986" t="str">
        <f>"   "&amp;CHOOSE(jezyk,n!A975,n!B975,n!C975,n!D973)</f>
        <v xml:space="preserve">   w tym planowane nakłady na ochronę środowiska</v>
      </c>
      <c r="D358" s="987"/>
      <c r="E358" s="987"/>
      <c r="F358" s="988"/>
      <c r="G358" s="929"/>
      <c r="H358" s="930"/>
      <c r="I358" s="929"/>
      <c r="J358" s="930"/>
    </row>
    <row r="360" spans="2:12" ht="27" customHeight="1">
      <c r="B360" s="111" t="s">
        <v>729</v>
      </c>
      <c r="C360" s="762" t="str">
        <f>CHOOSE(jezyk,n!A976,n!B976,n!C976,n!D974)</f>
        <v>Kwota i charakter poszczególnych pozycji przychodów lub kosztów o nadzwyczajnej wartości lub które wystąpiły incydentalnie</v>
      </c>
      <c r="D360" s="762"/>
      <c r="E360" s="762"/>
      <c r="F360" s="762"/>
      <c r="G360" s="762"/>
      <c r="H360" s="762"/>
      <c r="I360" s="762"/>
      <c r="J360" s="762"/>
      <c r="K360" s="762"/>
    </row>
    <row r="362" spans="2:12">
      <c r="C362" s="741" t="str">
        <f>CHOOSE(jezyk,n!A643,n!B643,n!C643,n!D641)</f>
        <v>Pozycja nie wystąpiła zarówno w roku obrotowym 2024, jak i w roku poprzednim.</v>
      </c>
      <c r="D362" s="741"/>
      <c r="E362" s="741"/>
      <c r="F362" s="741"/>
      <c r="G362" s="741"/>
      <c r="H362" s="741"/>
      <c r="I362" s="741"/>
      <c r="J362" s="741"/>
      <c r="K362" s="741"/>
      <c r="L362" s="131" t="s">
        <v>2186</v>
      </c>
    </row>
    <row r="363" spans="2:12" hidden="1">
      <c r="C363" s="801"/>
      <c r="D363" s="801"/>
      <c r="E363" s="801"/>
      <c r="F363" s="801"/>
      <c r="G363" s="801"/>
      <c r="H363" s="801"/>
      <c r="I363" s="801"/>
      <c r="J363" s="801"/>
      <c r="K363" s="801"/>
      <c r="L363" s="131"/>
    </row>
    <row r="364" spans="2:12" hidden="1"/>
    <row r="365" spans="2:12" ht="19.5" hidden="1" customHeight="1">
      <c r="C365" s="936" t="str">
        <f>CHOOSE(jezyk,n!A977,n!B977,n!C977,n!D975)</f>
        <v>Przychody</v>
      </c>
      <c r="D365" s="937"/>
      <c r="E365" s="937"/>
      <c r="F365" s="938"/>
      <c r="G365" s="839">
        <f>ro</f>
        <v>2024</v>
      </c>
      <c r="H365" s="839"/>
      <c r="I365" s="839">
        <f>IF(LEN(ro)&gt;4,_xlfn.TEXTBEFORE(ro,"/")-1&amp;"/"&amp;_xlfn.TEXTAFTER(ro,"/")-1,ro-1)</f>
        <v>2023</v>
      </c>
      <c r="J365" s="839"/>
    </row>
    <row r="366" spans="2:12" ht="19.5" hidden="1" customHeight="1">
      <c r="C366" s="978"/>
      <c r="D366" s="979"/>
      <c r="E366" s="979"/>
      <c r="F366" s="980"/>
      <c r="G366" s="981"/>
      <c r="H366" s="981"/>
      <c r="I366" s="981"/>
      <c r="J366" s="981"/>
    </row>
    <row r="367" spans="2:12" ht="20.25" hidden="1" customHeight="1">
      <c r="C367" s="978"/>
      <c r="D367" s="979"/>
      <c r="E367" s="979"/>
      <c r="F367" s="980"/>
      <c r="G367" s="981"/>
      <c r="H367" s="981"/>
      <c r="I367" s="981"/>
      <c r="J367" s="981"/>
    </row>
    <row r="368" spans="2:12" ht="19.5" hidden="1" customHeight="1">
      <c r="C368" s="72"/>
      <c r="D368" s="72"/>
      <c r="E368" s="72"/>
      <c r="F368" s="72"/>
      <c r="G368" s="949">
        <f>SUM(G366:H367)</f>
        <v>0</v>
      </c>
      <c r="H368" s="950"/>
      <c r="I368" s="949">
        <f>SUM(I366:J367)</f>
        <v>0</v>
      </c>
      <c r="J368" s="950"/>
      <c r="L368" s="215"/>
    </row>
    <row r="369" spans="1:12" hidden="1"/>
    <row r="370" spans="1:12" ht="19.5" hidden="1" customHeight="1">
      <c r="C370" s="936" t="str">
        <f>CHOOSE(jezyk,n!A978,n!B978,n!C978,n!D976)</f>
        <v>Koszty</v>
      </c>
      <c r="D370" s="937"/>
      <c r="E370" s="937"/>
      <c r="F370" s="938"/>
      <c r="G370" s="839">
        <f>ro</f>
        <v>2024</v>
      </c>
      <c r="H370" s="839"/>
      <c r="I370" s="839">
        <f>IF(LEN(ro)&gt;4,_xlfn.TEXTBEFORE(ro,"/")-1&amp;"/"&amp;_xlfn.TEXTAFTER(ro,"/")-1,ro-1)</f>
        <v>2023</v>
      </c>
      <c r="J370" s="839"/>
    </row>
    <row r="371" spans="1:12" ht="23.25" hidden="1" customHeight="1">
      <c r="C371" s="978"/>
      <c r="D371" s="979"/>
      <c r="E371" s="979"/>
      <c r="F371" s="980"/>
      <c r="G371" s="981"/>
      <c r="H371" s="981"/>
      <c r="I371" s="981"/>
      <c r="J371" s="981"/>
    </row>
    <row r="372" spans="1:12" ht="21" hidden="1" customHeight="1">
      <c r="C372" s="978"/>
      <c r="D372" s="979"/>
      <c r="E372" s="979"/>
      <c r="F372" s="980"/>
      <c r="G372" s="981"/>
      <c r="H372" s="981"/>
      <c r="I372" s="981"/>
      <c r="J372" s="981"/>
    </row>
    <row r="373" spans="1:12" ht="19.5" hidden="1" customHeight="1">
      <c r="G373" s="949">
        <f>SUM(G371:H372)</f>
        <v>0</v>
      </c>
      <c r="H373" s="950"/>
      <c r="I373" s="949">
        <f>SUM(I371:J372)</f>
        <v>0</v>
      </c>
      <c r="J373" s="950"/>
      <c r="L373" s="215"/>
    </row>
    <row r="374" spans="1:12">
      <c r="I374" s="216"/>
      <c r="J374" s="216"/>
      <c r="L374" s="215"/>
    </row>
    <row r="375" spans="1:12" ht="26.25" customHeight="1">
      <c r="B375" s="111" t="s">
        <v>2478</v>
      </c>
      <c r="C375" s="762" t="str">
        <f>CHOOSE(jezyk,n!A989,n!B989,n!C989,n!D987)</f>
        <v>Informacje o kosztach związanych z pracami badawczymi i pracami rozwojowymi, które nie zostały zakwalifikowane zgodnie z art. 33 ust. 2 do wartości niematerialnych i prawnych</v>
      </c>
      <c r="D375" s="762"/>
      <c r="E375" s="762"/>
      <c r="F375" s="762"/>
      <c r="G375" s="762"/>
      <c r="H375" s="762"/>
      <c r="I375" s="762"/>
      <c r="J375" s="762"/>
      <c r="K375" s="762"/>
      <c r="L375" s="215"/>
    </row>
    <row r="376" spans="1:12">
      <c r="I376" s="216"/>
      <c r="J376" s="216"/>
      <c r="L376" s="215"/>
    </row>
    <row r="377" spans="1:12">
      <c r="C377" s="741" t="str">
        <f>CHOOSE(jezyk,n!A643,n!B643,n!C643,n!D641)</f>
        <v>Pozycja nie wystąpiła zarówno w roku obrotowym 2024, jak i w roku poprzednim.</v>
      </c>
      <c r="D377" s="741"/>
      <c r="E377" s="741"/>
      <c r="F377" s="741"/>
      <c r="G377" s="741"/>
      <c r="H377" s="741"/>
      <c r="I377" s="741"/>
      <c r="J377" s="741"/>
      <c r="K377" s="741"/>
      <c r="L377" s="131" t="s">
        <v>2186</v>
      </c>
    </row>
    <row r="379" spans="1:12" s="151" customFormat="1" ht="19.5" hidden="1" customHeight="1">
      <c r="A379" s="252"/>
      <c r="B379" s="72"/>
      <c r="C379" s="936" t="str">
        <f>CHOOSE(jezyk,n!A990,n!B990,n!C990,n!D988)</f>
        <v>Prace badawcze</v>
      </c>
      <c r="D379" s="937"/>
      <c r="E379" s="937"/>
      <c r="F379" s="938"/>
      <c r="G379" s="839">
        <f>ro</f>
        <v>2024</v>
      </c>
      <c r="H379" s="839"/>
      <c r="I379" s="839">
        <f>IF(LEN(ro)&gt;4,_xlfn.TEXTBEFORE(ro,"/")-1&amp;"/"&amp;_xlfn.TEXTAFTER(ro,"/")-1,ro-1)</f>
        <v>2023</v>
      </c>
      <c r="J379" s="839"/>
    </row>
    <row r="380" spans="1:12" s="151" customFormat="1" ht="20.25" hidden="1" customHeight="1">
      <c r="A380" s="252"/>
      <c r="B380" s="72"/>
      <c r="C380" s="978"/>
      <c r="D380" s="979"/>
      <c r="E380" s="979"/>
      <c r="F380" s="980"/>
      <c r="G380" s="981"/>
      <c r="H380" s="981"/>
      <c r="I380" s="981"/>
      <c r="J380" s="981"/>
    </row>
    <row r="381" spans="1:12" s="151" customFormat="1" ht="20.25" hidden="1" customHeight="1">
      <c r="A381" s="252"/>
      <c r="B381" s="72"/>
      <c r="C381" s="978"/>
      <c r="D381" s="979"/>
      <c r="E381" s="979"/>
      <c r="F381" s="980"/>
      <c r="G381" s="981"/>
      <c r="H381" s="981"/>
      <c r="I381" s="981"/>
      <c r="J381" s="981"/>
    </row>
    <row r="382" spans="1:12" s="151" customFormat="1" hidden="1">
      <c r="A382" s="252"/>
      <c r="B382" s="72"/>
      <c r="G382" s="949">
        <f>SUM(G380:H381)</f>
        <v>0</v>
      </c>
      <c r="H382" s="950"/>
      <c r="I382" s="949">
        <f>SUM(I380:J381)</f>
        <v>0</v>
      </c>
      <c r="J382" s="950"/>
    </row>
    <row r="383" spans="1:12" s="151" customFormat="1" hidden="1">
      <c r="A383" s="252"/>
      <c r="B383" s="72"/>
    </row>
    <row r="384" spans="1:12" s="151" customFormat="1" ht="19.5" hidden="1" customHeight="1">
      <c r="A384" s="252"/>
      <c r="B384" s="72"/>
      <c r="C384" s="936" t="str">
        <f>CHOOSE(jezyk,n!A991,n!B991,n!C991,n!D989)</f>
        <v>Prace rozwojowe</v>
      </c>
      <c r="D384" s="937"/>
      <c r="E384" s="937"/>
      <c r="F384" s="938"/>
      <c r="G384" s="839">
        <f>ro</f>
        <v>2024</v>
      </c>
      <c r="H384" s="839"/>
      <c r="I384" s="839">
        <f>IF(LEN(ro)&gt;4,_xlfn.TEXTBEFORE(ro,"/")-1&amp;"/"&amp;_xlfn.TEXTAFTER(ro,"/")-1,ro-1)</f>
        <v>2023</v>
      </c>
      <c r="J384" s="839"/>
    </row>
    <row r="385" spans="1:11" s="151" customFormat="1" ht="20.25" hidden="1" customHeight="1">
      <c r="A385" s="252"/>
      <c r="B385" s="72"/>
      <c r="C385" s="978"/>
      <c r="D385" s="979"/>
      <c r="E385" s="979"/>
      <c r="F385" s="980"/>
      <c r="G385" s="981"/>
      <c r="H385" s="981"/>
      <c r="I385" s="981"/>
      <c r="J385" s="981"/>
    </row>
    <row r="386" spans="1:11" s="151" customFormat="1" ht="20.25" hidden="1" customHeight="1">
      <c r="A386" s="252"/>
      <c r="B386" s="72"/>
      <c r="C386" s="978"/>
      <c r="D386" s="979"/>
      <c r="E386" s="979"/>
      <c r="F386" s="980"/>
      <c r="G386" s="981"/>
      <c r="H386" s="981"/>
      <c r="I386" s="981"/>
      <c r="J386" s="981"/>
    </row>
    <row r="387" spans="1:11" s="151" customFormat="1" hidden="1">
      <c r="A387" s="252"/>
      <c r="B387" s="72"/>
      <c r="G387" s="949">
        <f>SUM(G385:H386)</f>
        <v>0</v>
      </c>
      <c r="H387" s="950"/>
      <c r="I387" s="949">
        <f>SUM(I385:J386)</f>
        <v>0</v>
      </c>
      <c r="J387" s="950"/>
    </row>
    <row r="388" spans="1:11" hidden="1"/>
    <row r="389" spans="1:11" ht="39.75" customHeight="1">
      <c r="B389" s="111" t="s">
        <v>5484</v>
      </c>
      <c r="C389" s="762" t="str">
        <f>CHOOSE(jezyk,n!A992,n!B992,n!C992,n!D990)</f>
        <v>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v>
      </c>
      <c r="D389" s="762"/>
      <c r="E389" s="762"/>
      <c r="F389" s="762"/>
      <c r="G389" s="762"/>
      <c r="H389" s="762"/>
      <c r="I389" s="762"/>
      <c r="J389" s="762"/>
      <c r="K389" s="762"/>
    </row>
    <row r="390" spans="1:11">
      <c r="C390" s="762"/>
      <c r="D390" s="762"/>
      <c r="E390" s="762"/>
      <c r="F390" s="762"/>
      <c r="G390" s="762"/>
      <c r="H390" s="762"/>
      <c r="I390" s="762"/>
      <c r="J390" s="762"/>
      <c r="K390" s="762"/>
    </row>
    <row r="391" spans="1:11">
      <c r="C391" s="741" t="str">
        <f>CHOOSE(jezyk,n!A1131,n!B1131,n!C1131,n!D1129)</f>
        <v>Nie dotyczy</v>
      </c>
      <c r="D391" s="741"/>
      <c r="E391" s="741"/>
      <c r="F391" s="741"/>
      <c r="G391" s="741"/>
      <c r="H391" s="741"/>
      <c r="I391" s="741"/>
      <c r="J391" s="741"/>
      <c r="K391" s="741"/>
    </row>
    <row r="392" spans="1:11" s="219" customFormat="1" ht="9.75" hidden="1" customHeight="1">
      <c r="A392" s="218"/>
      <c r="B392" s="217"/>
      <c r="C392" s="218"/>
      <c r="D392" s="218"/>
      <c r="E392" s="218"/>
      <c r="F392" s="218"/>
      <c r="G392" s="218"/>
      <c r="H392" s="218"/>
      <c r="I392" s="218"/>
      <c r="J392" s="218"/>
      <c r="K392" s="218"/>
    </row>
    <row r="393" spans="1:11" ht="17.25" hidden="1" customHeight="1">
      <c r="C393" s="151"/>
      <c r="F393" s="164"/>
      <c r="G393" s="164"/>
      <c r="H393" s="839">
        <f>ro</f>
        <v>2024</v>
      </c>
      <c r="I393" s="839"/>
      <c r="J393" s="839">
        <f>IF(LEN(ro)&gt;4,_xlfn.TEXTBEFORE(ro,"/")-1&amp;"/"&amp;_xlfn.TEXTAFTER(ro,"/")-1,ro-1)</f>
        <v>2023</v>
      </c>
      <c r="K393" s="839"/>
    </row>
    <row r="394" spans="1:11" ht="27.75" hidden="1" customHeight="1">
      <c r="C394" s="903" t="str">
        <f>CHOOSE(jezyk,n!A993,n!B993,n!C993,n!D991)</f>
        <v>Wartość żywności przekazanej organizacjom pozarządowym</v>
      </c>
      <c r="D394" s="904"/>
      <c r="E394" s="904"/>
      <c r="F394" s="904"/>
      <c r="G394" s="905"/>
      <c r="H394" s="883"/>
      <c r="I394" s="884"/>
      <c r="J394" s="883"/>
      <c r="K394" s="884"/>
    </row>
    <row r="395" spans="1:11" ht="27" hidden="1" customHeight="1">
      <c r="C395" s="903" t="str">
        <f>CHOOSE(jezyk,n!A994,n!B994,n!C994,n!D992)</f>
        <v>Kwota opłaty za marnowanie żywności</v>
      </c>
      <c r="D395" s="904"/>
      <c r="E395" s="904"/>
      <c r="F395" s="904"/>
      <c r="G395" s="905"/>
      <c r="H395" s="883"/>
      <c r="I395" s="884"/>
      <c r="J395" s="883"/>
      <c r="K395" s="884"/>
    </row>
  </sheetData>
  <mergeCells count="502">
    <mergeCell ref="C233:H233"/>
    <mergeCell ref="C234:H234"/>
    <mergeCell ref="C239:H239"/>
    <mergeCell ref="C246:H246"/>
    <mergeCell ref="C250:H250"/>
    <mergeCell ref="C256:H256"/>
    <mergeCell ref="C257:H257"/>
    <mergeCell ref="C259:H259"/>
    <mergeCell ref="C260:H260"/>
    <mergeCell ref="C258:H258"/>
    <mergeCell ref="C162:H162"/>
    <mergeCell ref="C168:H168"/>
    <mergeCell ref="C169:H169"/>
    <mergeCell ref="C171:H171"/>
    <mergeCell ref="C172:H172"/>
    <mergeCell ref="C223:H223"/>
    <mergeCell ref="C224:H224"/>
    <mergeCell ref="C135:H135"/>
    <mergeCell ref="C136:H136"/>
    <mergeCell ref="C145:H145"/>
    <mergeCell ref="C146:H146"/>
    <mergeCell ref="C156:H156"/>
    <mergeCell ref="C157:H157"/>
    <mergeCell ref="C158:H158"/>
    <mergeCell ref="C151:H151"/>
    <mergeCell ref="C49:K49"/>
    <mergeCell ref="C219:H219"/>
    <mergeCell ref="C93:K93"/>
    <mergeCell ref="C367:F367"/>
    <mergeCell ref="C29:K29"/>
    <mergeCell ref="C90:K91"/>
    <mergeCell ref="G367:H367"/>
    <mergeCell ref="H339:I339"/>
    <mergeCell ref="C336:G336"/>
    <mergeCell ref="H336:I336"/>
    <mergeCell ref="H333:I333"/>
    <mergeCell ref="C334:G334"/>
    <mergeCell ref="C338:G338"/>
    <mergeCell ref="C341:K341"/>
    <mergeCell ref="J338:K338"/>
    <mergeCell ref="J339:K339"/>
    <mergeCell ref="J334:K334"/>
    <mergeCell ref="C330:K330"/>
    <mergeCell ref="H338:I338"/>
    <mergeCell ref="C333:G333"/>
    <mergeCell ref="J332:K332"/>
    <mergeCell ref="C347:F347"/>
    <mergeCell ref="G346:H346"/>
    <mergeCell ref="H306:I306"/>
    <mergeCell ref="G385:H385"/>
    <mergeCell ref="I210:J210"/>
    <mergeCell ref="C231:H231"/>
    <mergeCell ref="C232:H232"/>
    <mergeCell ref="C235:H235"/>
    <mergeCell ref="C216:H216"/>
    <mergeCell ref="C328:K328"/>
    <mergeCell ref="C211:H211"/>
    <mergeCell ref="C212:H212"/>
    <mergeCell ref="C213:H213"/>
    <mergeCell ref="C214:H214"/>
    <mergeCell ref="C240:H240"/>
    <mergeCell ref="C241:H241"/>
    <mergeCell ref="C218:H218"/>
    <mergeCell ref="C215:H215"/>
    <mergeCell ref="C228:H228"/>
    <mergeCell ref="C230:H230"/>
    <mergeCell ref="I367:J367"/>
    <mergeCell ref="C360:K360"/>
    <mergeCell ref="C355:F355"/>
    <mergeCell ref="H332:I332"/>
    <mergeCell ref="G347:H347"/>
    <mergeCell ref="C346:F346"/>
    <mergeCell ref="C352:K352"/>
    <mergeCell ref="H334:I334"/>
    <mergeCell ref="C344:K344"/>
    <mergeCell ref="I345:J345"/>
    <mergeCell ref="C350:K350"/>
    <mergeCell ref="C371:F371"/>
    <mergeCell ref="I365:J365"/>
    <mergeCell ref="C366:F366"/>
    <mergeCell ref="G366:H366"/>
    <mergeCell ref="C363:K363"/>
    <mergeCell ref="I355:J355"/>
    <mergeCell ref="I356:J356"/>
    <mergeCell ref="G356:H356"/>
    <mergeCell ref="I357:J357"/>
    <mergeCell ref="C358:F358"/>
    <mergeCell ref="G368:H368"/>
    <mergeCell ref="G370:H370"/>
    <mergeCell ref="C356:F356"/>
    <mergeCell ref="C357:F357"/>
    <mergeCell ref="G355:H355"/>
    <mergeCell ref="I368:J368"/>
    <mergeCell ref="I370:J370"/>
    <mergeCell ref="C370:F370"/>
    <mergeCell ref="I346:J346"/>
    <mergeCell ref="I347:J347"/>
    <mergeCell ref="J394:K394"/>
    <mergeCell ref="J395:K395"/>
    <mergeCell ref="C394:G394"/>
    <mergeCell ref="C395:G395"/>
    <mergeCell ref="G387:H387"/>
    <mergeCell ref="C380:F380"/>
    <mergeCell ref="C381:F381"/>
    <mergeCell ref="C385:F385"/>
    <mergeCell ref="C386:F386"/>
    <mergeCell ref="H395:I395"/>
    <mergeCell ref="C390:K390"/>
    <mergeCell ref="H393:I393"/>
    <mergeCell ref="H394:I394"/>
    <mergeCell ref="C391:K391"/>
    <mergeCell ref="C389:K389"/>
    <mergeCell ref="I387:J387"/>
    <mergeCell ref="G386:H386"/>
    <mergeCell ref="I386:J386"/>
    <mergeCell ref="I382:J382"/>
    <mergeCell ref="I384:J384"/>
    <mergeCell ref="I385:J385"/>
    <mergeCell ref="G384:H384"/>
    <mergeCell ref="C384:F384"/>
    <mergeCell ref="J393:K393"/>
    <mergeCell ref="G379:H379"/>
    <mergeCell ref="G380:H380"/>
    <mergeCell ref="G381:H381"/>
    <mergeCell ref="G382:H382"/>
    <mergeCell ref="G371:H371"/>
    <mergeCell ref="I373:J373"/>
    <mergeCell ref="I371:J371"/>
    <mergeCell ref="I372:J372"/>
    <mergeCell ref="I379:J379"/>
    <mergeCell ref="I380:J380"/>
    <mergeCell ref="I381:J381"/>
    <mergeCell ref="G372:H372"/>
    <mergeCell ref="G373:H373"/>
    <mergeCell ref="C372:F372"/>
    <mergeCell ref="C365:F365"/>
    <mergeCell ref="G365:H365"/>
    <mergeCell ref="I366:J366"/>
    <mergeCell ref="C379:F379"/>
    <mergeCell ref="C375:K375"/>
    <mergeCell ref="C377:K377"/>
    <mergeCell ref="H44:I44"/>
    <mergeCell ref="I358:J358"/>
    <mergeCell ref="I354:J354"/>
    <mergeCell ref="K52:K53"/>
    <mergeCell ref="C52:D53"/>
    <mergeCell ref="E52:F53"/>
    <mergeCell ref="G52:H53"/>
    <mergeCell ref="I52:J53"/>
    <mergeCell ref="C57:D57"/>
    <mergeCell ref="C50:D50"/>
    <mergeCell ref="C59:D60"/>
    <mergeCell ref="E59:F60"/>
    <mergeCell ref="G59:H60"/>
    <mergeCell ref="I59:J60"/>
    <mergeCell ref="K59:K60"/>
    <mergeCell ref="I61:J62"/>
    <mergeCell ref="C134:H134"/>
    <mergeCell ref="B1:K1"/>
    <mergeCell ref="C48:K48"/>
    <mergeCell ref="G14:H14"/>
    <mergeCell ref="G15:H15"/>
    <mergeCell ref="C26:K26"/>
    <mergeCell ref="B4:K4"/>
    <mergeCell ref="C6:K8"/>
    <mergeCell ref="I14:J14"/>
    <mergeCell ref="C10:D10"/>
    <mergeCell ref="C17:D17"/>
    <mergeCell ref="C19:D19"/>
    <mergeCell ref="E19:F19"/>
    <mergeCell ref="G19:H19"/>
    <mergeCell ref="I19:J19"/>
    <mergeCell ref="C20:D20"/>
    <mergeCell ref="E20:F20"/>
    <mergeCell ref="C46:K46"/>
    <mergeCell ref="J42:K42"/>
    <mergeCell ref="J43:K43"/>
    <mergeCell ref="J44:K44"/>
    <mergeCell ref="H33:I33"/>
    <mergeCell ref="C47:K47"/>
    <mergeCell ref="E15:F15"/>
    <mergeCell ref="C25:K25"/>
    <mergeCell ref="I22:J22"/>
    <mergeCell ref="H31:I32"/>
    <mergeCell ref="J31:K32"/>
    <mergeCell ref="J40:K40"/>
    <mergeCell ref="G20:H20"/>
    <mergeCell ref="C41:G41"/>
    <mergeCell ref="C43:G43"/>
    <mergeCell ref="D42:F42"/>
    <mergeCell ref="J33:K33"/>
    <mergeCell ref="H37:I37"/>
    <mergeCell ref="H38:I38"/>
    <mergeCell ref="H41:I41"/>
    <mergeCell ref="H42:I42"/>
    <mergeCell ref="H43:I43"/>
    <mergeCell ref="H36:I36"/>
    <mergeCell ref="J41:K41"/>
    <mergeCell ref="H40:I40"/>
    <mergeCell ref="C34:K35"/>
    <mergeCell ref="C33:G33"/>
    <mergeCell ref="C36:G36"/>
    <mergeCell ref="C37:G37"/>
    <mergeCell ref="C38:G38"/>
    <mergeCell ref="C39:G39"/>
    <mergeCell ref="C40:G40"/>
    <mergeCell ref="E22:F22"/>
    <mergeCell ref="G22:H22"/>
    <mergeCell ref="C66:K66"/>
    <mergeCell ref="I54:J55"/>
    <mergeCell ref="K54:K55"/>
    <mergeCell ref="C65:K65"/>
    <mergeCell ref="C68:K68"/>
    <mergeCell ref="C79:K79"/>
    <mergeCell ref="E73:F73"/>
    <mergeCell ref="G73:H73"/>
    <mergeCell ref="E74:F74"/>
    <mergeCell ref="G74:H74"/>
    <mergeCell ref="C75:D75"/>
    <mergeCell ref="C77:D77"/>
    <mergeCell ref="K61:K62"/>
    <mergeCell ref="C67:K67"/>
    <mergeCell ref="E77:F77"/>
    <mergeCell ref="G77:H77"/>
    <mergeCell ref="C64:K64"/>
    <mergeCell ref="C54:D55"/>
    <mergeCell ref="E54:F55"/>
    <mergeCell ref="G54:H55"/>
    <mergeCell ref="C61:D62"/>
    <mergeCell ref="E61:F62"/>
    <mergeCell ref="G61:H62"/>
    <mergeCell ref="I20:J20"/>
    <mergeCell ref="J36:K36"/>
    <mergeCell ref="J37:K37"/>
    <mergeCell ref="J38:K38"/>
    <mergeCell ref="J39:K39"/>
    <mergeCell ref="C12:D12"/>
    <mergeCell ref="C13:D13"/>
    <mergeCell ref="C14:D14"/>
    <mergeCell ref="E12:F12"/>
    <mergeCell ref="E13:F13"/>
    <mergeCell ref="E14:F14"/>
    <mergeCell ref="C21:D21"/>
    <mergeCell ref="E21:F21"/>
    <mergeCell ref="G21:H21"/>
    <mergeCell ref="G12:H12"/>
    <mergeCell ref="G13:H13"/>
    <mergeCell ref="I12:J12"/>
    <mergeCell ref="I21:J21"/>
    <mergeCell ref="I13:J13"/>
    <mergeCell ref="I15:J15"/>
    <mergeCell ref="C28:K28"/>
    <mergeCell ref="C24:K24"/>
    <mergeCell ref="C30:K30"/>
    <mergeCell ref="H39:I39"/>
    <mergeCell ref="C181:H181"/>
    <mergeCell ref="C189:H189"/>
    <mergeCell ref="C125:H125"/>
    <mergeCell ref="C126:H126"/>
    <mergeCell ref="C128:H128"/>
    <mergeCell ref="C131:H131"/>
    <mergeCell ref="C132:H132"/>
    <mergeCell ref="C155:H155"/>
    <mergeCell ref="C137:H137"/>
    <mergeCell ref="C154:H154"/>
    <mergeCell ref="C149:H149"/>
    <mergeCell ref="C147:H147"/>
    <mergeCell ref="C124:H124"/>
    <mergeCell ref="C127:H127"/>
    <mergeCell ref="I129:J129"/>
    <mergeCell ref="C130:H130"/>
    <mergeCell ref="C117:K117"/>
    <mergeCell ref="F97:G98"/>
    <mergeCell ref="H97:I98"/>
    <mergeCell ref="J97:K98"/>
    <mergeCell ref="F99:G100"/>
    <mergeCell ref="C97:E98"/>
    <mergeCell ref="C111:K111"/>
    <mergeCell ref="I119:K119"/>
    <mergeCell ref="I217:J217"/>
    <mergeCell ref="I236:J236"/>
    <mergeCell ref="C237:H237"/>
    <mergeCell ref="C238:H238"/>
    <mergeCell ref="C280:H280"/>
    <mergeCell ref="C281:G281"/>
    <mergeCell ref="C242:H242"/>
    <mergeCell ref="C243:H243"/>
    <mergeCell ref="C244:H244"/>
    <mergeCell ref="C245:H245"/>
    <mergeCell ref="C247:H247"/>
    <mergeCell ref="C248:H248"/>
    <mergeCell ref="C249:H249"/>
    <mergeCell ref="C278:G278"/>
    <mergeCell ref="C220:H220"/>
    <mergeCell ref="C221:H221"/>
    <mergeCell ref="C222:H222"/>
    <mergeCell ref="C225:H225"/>
    <mergeCell ref="C226:H226"/>
    <mergeCell ref="C227:H227"/>
    <mergeCell ref="I207:K207"/>
    <mergeCell ref="C138:H138"/>
    <mergeCell ref="C255:H255"/>
    <mergeCell ref="J333:K333"/>
    <mergeCell ref="J336:K336"/>
    <mergeCell ref="C299:G299"/>
    <mergeCell ref="C300:G300"/>
    <mergeCell ref="C301:G301"/>
    <mergeCell ref="C307:G307"/>
    <mergeCell ref="H307:I307"/>
    <mergeCell ref="J307:K307"/>
    <mergeCell ref="C305:G305"/>
    <mergeCell ref="H305:I305"/>
    <mergeCell ref="J305:K305"/>
    <mergeCell ref="C306:G306"/>
    <mergeCell ref="C303:G303"/>
    <mergeCell ref="H303:I303"/>
    <mergeCell ref="J303:K303"/>
    <mergeCell ref="C304:G304"/>
    <mergeCell ref="H304:I304"/>
    <mergeCell ref="J304:K304"/>
    <mergeCell ref="J306:K306"/>
    <mergeCell ref="J308:K308"/>
    <mergeCell ref="H310:I310"/>
    <mergeCell ref="J310:K310"/>
    <mergeCell ref="C308:G308"/>
    <mergeCell ref="C310:G310"/>
    <mergeCell ref="C351:K351"/>
    <mergeCell ref="C275:H275"/>
    <mergeCell ref="C277:H277"/>
    <mergeCell ref="C133:H133"/>
    <mergeCell ref="C102:K102"/>
    <mergeCell ref="I148:J148"/>
    <mergeCell ref="C184:H184"/>
    <mergeCell ref="C197:H197"/>
    <mergeCell ref="C251:H251"/>
    <mergeCell ref="C269:H269"/>
    <mergeCell ref="C270:H270"/>
    <mergeCell ref="C271:H271"/>
    <mergeCell ref="C272:H272"/>
    <mergeCell ref="C273:H273"/>
    <mergeCell ref="C274:H274"/>
    <mergeCell ref="C192:H192"/>
    <mergeCell ref="I205:J205"/>
    <mergeCell ref="C190:G190"/>
    <mergeCell ref="C193:G193"/>
    <mergeCell ref="C143:H143"/>
    <mergeCell ref="C144:H144"/>
    <mergeCell ref="C160:H160"/>
    <mergeCell ref="C283:H283"/>
    <mergeCell ref="C285:H286"/>
    <mergeCell ref="C362:K362"/>
    <mergeCell ref="G357:H357"/>
    <mergeCell ref="G358:H358"/>
    <mergeCell ref="H99:I100"/>
    <mergeCell ref="J99:K100"/>
    <mergeCell ref="J106:K107"/>
    <mergeCell ref="J108:K109"/>
    <mergeCell ref="C99:E100"/>
    <mergeCell ref="C106:E107"/>
    <mergeCell ref="F106:G107"/>
    <mergeCell ref="H106:I107"/>
    <mergeCell ref="C108:E109"/>
    <mergeCell ref="F108:G109"/>
    <mergeCell ref="H108:I109"/>
    <mergeCell ref="C343:K343"/>
    <mergeCell ref="C349:K349"/>
    <mergeCell ref="G354:H354"/>
    <mergeCell ref="G345:H345"/>
    <mergeCell ref="C153:H153"/>
    <mergeCell ref="C150:H150"/>
    <mergeCell ref="C195:H195"/>
    <mergeCell ref="C182:H182"/>
    <mergeCell ref="C187:H187"/>
    <mergeCell ref="C142:H142"/>
    <mergeCell ref="A6:A8"/>
    <mergeCell ref="C167:H167"/>
    <mergeCell ref="C123:H123"/>
    <mergeCell ref="C170:H170"/>
    <mergeCell ref="C174:H174"/>
    <mergeCell ref="C185:H185"/>
    <mergeCell ref="C186:H186"/>
    <mergeCell ref="C159:H159"/>
    <mergeCell ref="C161:H161"/>
    <mergeCell ref="C163:H163"/>
    <mergeCell ref="C173:H173"/>
    <mergeCell ref="C175:H175"/>
    <mergeCell ref="C176:H176"/>
    <mergeCell ref="C177:H177"/>
    <mergeCell ref="C178:H178"/>
    <mergeCell ref="C179:H179"/>
    <mergeCell ref="C183:H183"/>
    <mergeCell ref="C114:K115"/>
    <mergeCell ref="I122:J122"/>
    <mergeCell ref="C139:H139"/>
    <mergeCell ref="C152:H152"/>
    <mergeCell ref="C140:H140"/>
    <mergeCell ref="C84:D84"/>
    <mergeCell ref="E84:F84"/>
    <mergeCell ref="C302:G302"/>
    <mergeCell ref="H302:I302"/>
    <mergeCell ref="J302:K302"/>
    <mergeCell ref="C309:G309"/>
    <mergeCell ref="H309:I309"/>
    <mergeCell ref="H308:I308"/>
    <mergeCell ref="J309:K309"/>
    <mergeCell ref="C261:H261"/>
    <mergeCell ref="C262:H262"/>
    <mergeCell ref="C263:H263"/>
    <mergeCell ref="C264:H264"/>
    <mergeCell ref="C265:H265"/>
    <mergeCell ref="C266:H266"/>
    <mergeCell ref="C267:H267"/>
    <mergeCell ref="C295:K295"/>
    <mergeCell ref="H299:I299"/>
    <mergeCell ref="J299:K299"/>
    <mergeCell ref="C325:G325"/>
    <mergeCell ref="C326:G326"/>
    <mergeCell ref="H323:I323"/>
    <mergeCell ref="J323:K323"/>
    <mergeCell ref="H324:I324"/>
    <mergeCell ref="J324:K324"/>
    <mergeCell ref="H325:I325"/>
    <mergeCell ref="J325:K325"/>
    <mergeCell ref="H326:I326"/>
    <mergeCell ref="J326:K326"/>
    <mergeCell ref="J317:K317"/>
    <mergeCell ref="C318:G318"/>
    <mergeCell ref="H318:I318"/>
    <mergeCell ref="J318:K318"/>
    <mergeCell ref="C320:G320"/>
    <mergeCell ref="H320:I320"/>
    <mergeCell ref="J320:K320"/>
    <mergeCell ref="C321:G321"/>
    <mergeCell ref="H321:I321"/>
    <mergeCell ref="J321:K321"/>
    <mergeCell ref="C319:G319"/>
    <mergeCell ref="H319:I319"/>
    <mergeCell ref="J319:K319"/>
    <mergeCell ref="C81:D81"/>
    <mergeCell ref="E81:F81"/>
    <mergeCell ref="G81:H81"/>
    <mergeCell ref="C71:D71"/>
    <mergeCell ref="C315:G315"/>
    <mergeCell ref="H315:I315"/>
    <mergeCell ref="J315:K315"/>
    <mergeCell ref="C316:G316"/>
    <mergeCell ref="H316:I316"/>
    <mergeCell ref="J316:K316"/>
    <mergeCell ref="C312:G312"/>
    <mergeCell ref="C313:G313"/>
    <mergeCell ref="H312:I312"/>
    <mergeCell ref="J312:K312"/>
    <mergeCell ref="H313:I313"/>
    <mergeCell ref="J313:K313"/>
    <mergeCell ref="C311:G311"/>
    <mergeCell ref="H311:I311"/>
    <mergeCell ref="J311:K311"/>
    <mergeCell ref="H300:I300"/>
    <mergeCell ref="J300:K300"/>
    <mergeCell ref="H301:I301"/>
    <mergeCell ref="J301:K301"/>
    <mergeCell ref="C297:K297"/>
    <mergeCell ref="M69:N69"/>
    <mergeCell ref="C76:D76"/>
    <mergeCell ref="E70:F70"/>
    <mergeCell ref="G70:H70"/>
    <mergeCell ref="E71:F71"/>
    <mergeCell ref="G71:H71"/>
    <mergeCell ref="E72:F72"/>
    <mergeCell ref="G72:H72"/>
    <mergeCell ref="C72:D72"/>
    <mergeCell ref="C73:D73"/>
    <mergeCell ref="C74:D74"/>
    <mergeCell ref="E76:F76"/>
    <mergeCell ref="G76:H76"/>
    <mergeCell ref="C70:D70"/>
    <mergeCell ref="E75:F75"/>
    <mergeCell ref="G75:H75"/>
    <mergeCell ref="C335:G335"/>
    <mergeCell ref="C337:G337"/>
    <mergeCell ref="E88:F88"/>
    <mergeCell ref="G88:H88"/>
    <mergeCell ref="C82:D82"/>
    <mergeCell ref="C86:D86"/>
    <mergeCell ref="C87:D87"/>
    <mergeCell ref="C88:D88"/>
    <mergeCell ref="C85:D85"/>
    <mergeCell ref="E85:F85"/>
    <mergeCell ref="G85:H85"/>
    <mergeCell ref="E86:F86"/>
    <mergeCell ref="G86:H86"/>
    <mergeCell ref="E87:F87"/>
    <mergeCell ref="G87:H87"/>
    <mergeCell ref="E82:F82"/>
    <mergeCell ref="G82:H82"/>
    <mergeCell ref="C83:D83"/>
    <mergeCell ref="E83:F83"/>
    <mergeCell ref="G83:H83"/>
    <mergeCell ref="G84:H84"/>
    <mergeCell ref="C317:G317"/>
    <mergeCell ref="H317:I317"/>
    <mergeCell ref="C324:G324"/>
  </mergeCells>
  <phoneticPr fontId="0" type="noConversion"/>
  <hyperlinks>
    <hyperlink ref="B1:K1" location="'spis treści'!A1" display="SPIS TREŚCI" xr:uid="{00000000-0004-0000-2800-000000000000}"/>
  </hyperlinks>
  <pageMargins left="0.39370078740157483" right="0.19685039370078741" top="0.35433070866141736" bottom="0.98425196850393704" header="0.27559055118110237" footer="0.51181102362204722"/>
  <pageSetup paperSize="9" scale="98" fitToHeight="0" orientation="portrait" blackAndWhite="1" r:id="rId1"/>
  <headerFooter>
    <oddFooter>&amp;Lnota 2</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6">
    <pageSetUpPr fitToPage="1"/>
  </sheetPr>
  <dimension ref="A1:AB146"/>
  <sheetViews>
    <sheetView showGridLines="0" view="pageBreakPreview" topLeftCell="A122" zoomScaleNormal="100" zoomScaleSheetLayoutView="100" workbookViewId="0">
      <selection activeCell="D21" sqref="D21"/>
    </sheetView>
  </sheetViews>
  <sheetFormatPr defaultColWidth="9.140625" defaultRowHeight="12.75"/>
  <cols>
    <col min="1" max="1" width="20" style="66" bestFit="1" customWidth="1"/>
    <col min="2" max="2" width="4.85546875" style="72" customWidth="1"/>
    <col min="3" max="3" width="9.7109375" style="66" bestFit="1" customWidth="1"/>
    <col min="4" max="7" width="9.140625" style="66"/>
    <col min="8" max="8" width="6.28515625" style="66" customWidth="1"/>
    <col min="9" max="9" width="10.140625" style="66" customWidth="1"/>
    <col min="10" max="11" width="9.85546875" style="66" customWidth="1"/>
    <col min="12" max="12" width="9.7109375" style="66" customWidth="1"/>
    <col min="13" max="13" width="14.5703125" style="66" customWidth="1"/>
    <col min="14" max="14" width="13.5703125" style="66" customWidth="1"/>
    <col min="15" max="16384" width="9.140625" style="66"/>
  </cols>
  <sheetData>
    <row r="1" spans="1:28">
      <c r="B1" s="773" t="s">
        <v>1257</v>
      </c>
      <c r="C1" s="773"/>
      <c r="D1" s="773"/>
      <c r="E1" s="773"/>
      <c r="F1" s="773"/>
      <c r="G1" s="773"/>
      <c r="H1" s="773"/>
      <c r="I1" s="773"/>
      <c r="J1" s="773"/>
      <c r="K1" s="773"/>
      <c r="L1" s="773"/>
    </row>
    <row r="2" spans="1:28">
      <c r="B2" s="393" t="str">
        <f>nazwa_spolki</f>
        <v>Rhenus Digital Workforce Sp. z o.o.</v>
      </c>
      <c r="C2" s="397"/>
      <c r="D2" s="397"/>
      <c r="E2" s="397"/>
      <c r="F2" s="397"/>
      <c r="G2" s="397"/>
      <c r="H2" s="397"/>
      <c r="I2" s="397"/>
      <c r="J2" s="397"/>
      <c r="K2" s="397"/>
      <c r="L2" s="397"/>
    </row>
    <row r="3" spans="1:28" ht="45.95" customHeight="1">
      <c r="B3" s="130" t="str">
        <f>tytul</f>
        <v>Sprawozdanie finansowe sporządzone za rok obrotowy 2024</v>
      </c>
      <c r="C3" s="397"/>
      <c r="D3" s="397"/>
      <c r="E3" s="397"/>
      <c r="F3" s="397"/>
      <c r="G3" s="397"/>
      <c r="H3" s="397"/>
      <c r="I3" s="397"/>
      <c r="J3" s="397"/>
      <c r="K3" s="397"/>
      <c r="L3" s="397"/>
    </row>
    <row r="4" spans="1:28" s="180" customFormat="1" ht="20.25">
      <c r="B4" s="800" t="str">
        <f>"3. "&amp;CHOOSE(jezyk,n!A613,n!B613,n!C613,n!D611)</f>
        <v>3. DODATKOWE INFORMACJE I OBJAŚNIENIA</v>
      </c>
      <c r="C4" s="800"/>
      <c r="D4" s="800"/>
      <c r="E4" s="800"/>
      <c r="F4" s="800"/>
      <c r="G4" s="800"/>
      <c r="H4" s="800"/>
      <c r="I4" s="800"/>
      <c r="J4" s="800"/>
      <c r="K4" s="800"/>
      <c r="L4" s="800"/>
    </row>
    <row r="6" spans="1:28" ht="12.75" customHeight="1">
      <c r="A6" s="72"/>
      <c r="B6" s="111" t="s">
        <v>782</v>
      </c>
      <c r="C6" s="854" t="str">
        <f>CHOOSE(jezyk,n!A1633,n!B1633,n!C1633,n!D1629)</f>
        <v>Kursy przyjęte do wyceny pozycji bilansu oraz rachunku zysków i strat wyrażonych w walutach obcych</v>
      </c>
      <c r="D6" s="854"/>
      <c r="E6" s="854"/>
      <c r="F6" s="854"/>
      <c r="G6" s="854"/>
      <c r="H6" s="854"/>
      <c r="I6" s="854"/>
      <c r="J6" s="854"/>
      <c r="K6" s="854"/>
      <c r="L6" s="854"/>
      <c r="M6" s="220"/>
      <c r="N6" s="220"/>
      <c r="O6" s="220"/>
      <c r="P6" s="220"/>
      <c r="Q6" s="220"/>
      <c r="R6" s="220"/>
      <c r="S6" s="220"/>
      <c r="T6" s="220"/>
      <c r="U6" s="220"/>
      <c r="V6" s="220"/>
      <c r="W6" s="220"/>
      <c r="X6" s="220"/>
      <c r="Y6" s="220"/>
      <c r="Z6" s="220"/>
      <c r="AA6" s="220"/>
    </row>
    <row r="7" spans="1:28">
      <c r="C7" s="424"/>
      <c r="D7" s="424"/>
      <c r="E7" s="424"/>
      <c r="F7" s="424"/>
      <c r="G7" s="424"/>
      <c r="H7" s="424"/>
      <c r="I7" s="424"/>
      <c r="J7" s="424"/>
      <c r="K7" s="424"/>
      <c r="L7" s="424"/>
    </row>
    <row r="8" spans="1:28" ht="67.5" customHeight="1">
      <c r="A8" s="72"/>
      <c r="C8" s="851" t="str">
        <f>CHOOSE(jezyk,n!A1634,n!B1634,n!C1634,n!D1632)</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D8" s="851"/>
      <c r="E8" s="851"/>
      <c r="F8" s="851"/>
      <c r="G8" s="851"/>
      <c r="H8" s="851"/>
      <c r="I8" s="851"/>
      <c r="J8" s="851"/>
      <c r="K8" s="851"/>
      <c r="L8" s="851"/>
      <c r="M8" s="131" t="s">
        <v>4398</v>
      </c>
      <c r="N8" s="221"/>
      <c r="O8" s="221"/>
      <c r="P8" s="221"/>
      <c r="Q8" s="221"/>
      <c r="R8" s="221"/>
      <c r="S8" s="221"/>
      <c r="T8" s="221"/>
      <c r="U8" s="221"/>
      <c r="V8" s="221"/>
      <c r="W8" s="221"/>
      <c r="X8" s="221"/>
      <c r="Y8" s="221"/>
      <c r="Z8" s="221"/>
      <c r="AA8" s="221"/>
      <c r="AB8" s="221"/>
    </row>
    <row r="9" spans="1:28" ht="14.25">
      <c r="M9" s="131"/>
      <c r="N9" s="222"/>
      <c r="O9" s="222"/>
      <c r="P9" s="222"/>
      <c r="Q9" s="222"/>
      <c r="R9" s="222"/>
      <c r="S9" s="222"/>
      <c r="T9" s="222"/>
      <c r="U9" s="222"/>
      <c r="V9" s="222"/>
      <c r="W9" s="222"/>
      <c r="X9" s="222"/>
      <c r="Y9" s="222"/>
      <c r="Z9" s="222"/>
      <c r="AA9" s="222"/>
      <c r="AB9" s="222"/>
    </row>
    <row r="10" spans="1:28" ht="54" hidden="1" customHeight="1">
      <c r="C10" s="851" t="str">
        <f>CHOOSE(jezyk,n!A1635,n!B1635,n!C1635,n!D1633)</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D10" s="851"/>
      <c r="E10" s="851"/>
      <c r="F10" s="851"/>
      <c r="G10" s="851"/>
      <c r="H10" s="851"/>
      <c r="I10" s="851"/>
      <c r="J10" s="851"/>
      <c r="K10" s="851"/>
      <c r="L10" s="851"/>
      <c r="M10" s="131"/>
      <c r="N10" s="221"/>
      <c r="O10" s="221"/>
      <c r="P10" s="221"/>
      <c r="Q10" s="221"/>
      <c r="R10" s="221"/>
      <c r="S10" s="221"/>
      <c r="T10" s="221"/>
      <c r="U10" s="221"/>
      <c r="V10" s="221"/>
      <c r="W10" s="221"/>
      <c r="X10" s="221"/>
      <c r="Y10" s="221"/>
      <c r="Z10" s="221"/>
      <c r="AA10" s="221"/>
      <c r="AB10" s="221"/>
    </row>
    <row r="11" spans="1:28" hidden="1"/>
    <row r="12" spans="1:28" ht="20.25">
      <c r="B12" s="800" t="str">
        <f>"4. "&amp;CHOOSE(jezyk,n!A613,n!B613,n!C613,n!D611)</f>
        <v>4. DODATKOWE INFORMACJE I OBJAŚNIENIA</v>
      </c>
      <c r="C12" s="800"/>
      <c r="D12" s="800"/>
      <c r="E12" s="800"/>
      <c r="F12" s="800"/>
      <c r="G12" s="800"/>
      <c r="H12" s="800"/>
      <c r="I12" s="800"/>
      <c r="J12" s="800"/>
      <c r="K12" s="800"/>
      <c r="L12" s="800"/>
      <c r="M12" s="180"/>
    </row>
    <row r="13" spans="1:28" ht="7.5" customHeight="1">
      <c r="C13" s="399"/>
      <c r="D13" s="399"/>
      <c r="E13" s="399"/>
      <c r="F13" s="399"/>
      <c r="G13" s="399"/>
      <c r="H13" s="399"/>
      <c r="I13" s="399"/>
      <c r="J13" s="399"/>
      <c r="K13" s="399"/>
      <c r="L13" s="399"/>
      <c r="M13" s="399"/>
    </row>
    <row r="14" spans="1:28" ht="7.5" customHeight="1">
      <c r="P14" s="131"/>
    </row>
    <row r="15" spans="1:28" ht="25.5" customHeight="1">
      <c r="B15" s="111" t="s">
        <v>2106</v>
      </c>
      <c r="C15" s="854" t="str">
        <f>CHOOSE(jezyk,n!A996,n!B996,n!C996,n!D994)</f>
        <v>Objaśnienia struktury środków pieniężnych przyjętych do rachunku przepływów pieniężnych (przy stosowaniu metody bezpośredniej i pośredniej)</v>
      </c>
      <c r="D15" s="854"/>
      <c r="E15" s="854"/>
      <c r="F15" s="854"/>
      <c r="G15" s="854"/>
      <c r="H15" s="854"/>
      <c r="I15" s="854"/>
      <c r="J15" s="854"/>
      <c r="K15" s="854"/>
      <c r="L15" s="854"/>
      <c r="M15" s="384"/>
    </row>
    <row r="16" spans="1:28" ht="25.5" customHeight="1">
      <c r="C16" s="854" t="str">
        <f>CHOOSE(jezyk,n!A997,n!B997,n!C997,n!D995)</f>
        <v>Uzgodnienie przepływów netto z działalności operacyjnej, sporządzone metodą pośrednią (przy stosowaniu metody bezpośredniej)</v>
      </c>
      <c r="D16" s="854"/>
      <c r="E16" s="854"/>
      <c r="F16" s="854"/>
      <c r="G16" s="854"/>
      <c r="H16" s="854"/>
      <c r="I16" s="854"/>
      <c r="J16" s="854"/>
      <c r="K16" s="854"/>
      <c r="L16" s="854"/>
      <c r="M16" s="384"/>
    </row>
    <row r="17" spans="2:16" ht="25.5" customHeight="1">
      <c r="C17" s="854" t="str">
        <f>CHOOSE(jezyk,n!A998,n!B998,n!C998,n!D996)</f>
        <v>(w przypadku różnic pomiędzy zmianami stanu niektórych pozycji w bilansie oraz zmianami tych samych pozycji wykazanymi w rachunku przepływów pieniężnych należy wyjaśnić ich przyczyny)</v>
      </c>
      <c r="D17" s="854"/>
      <c r="E17" s="854"/>
      <c r="F17" s="854"/>
      <c r="G17" s="854"/>
      <c r="H17" s="854"/>
      <c r="I17" s="854"/>
      <c r="J17" s="854"/>
      <c r="K17" s="854"/>
      <c r="L17" s="854"/>
      <c r="M17" s="384"/>
    </row>
    <row r="18" spans="2:16">
      <c r="C18" s="861"/>
      <c r="D18" s="861"/>
      <c r="E18" s="861"/>
      <c r="F18" s="861"/>
      <c r="G18" s="861"/>
      <c r="H18" s="861"/>
      <c r="I18" s="861"/>
      <c r="J18" s="861"/>
      <c r="K18" s="861"/>
      <c r="L18" s="861"/>
    </row>
    <row r="19" spans="2:16" ht="15" customHeight="1">
      <c r="C19" s="745" t="str">
        <f>IF(GA!F67="nie",IF(wCF=1,"uzupełnij notę",CHOOSE(jezyk,n!A999,n!B999,n!C999,n!D997)),IF(wCF=1,"uzupełnij notę",CHOOSE(jezyk,n!A1000,n!B1000,n!C1000,n!D1000)))</f>
        <v>Spółka nie ma obowiązku sporządzania rachunku przepływów pieniężnych.</v>
      </c>
      <c r="D19" s="745"/>
      <c r="E19" s="745"/>
      <c r="F19" s="745"/>
      <c r="G19" s="745"/>
      <c r="H19" s="745"/>
      <c r="I19" s="745"/>
      <c r="J19" s="745"/>
      <c r="K19" s="745"/>
      <c r="L19" s="745"/>
      <c r="M19" s="131" t="s">
        <v>2186</v>
      </c>
    </row>
    <row r="20" spans="2:16" s="186" customFormat="1" ht="6" customHeight="1">
      <c r="B20" s="96"/>
      <c r="C20" s="396"/>
      <c r="D20" s="396"/>
      <c r="E20" s="396"/>
      <c r="F20" s="396"/>
      <c r="G20" s="396"/>
      <c r="H20" s="396"/>
      <c r="I20" s="396"/>
      <c r="J20" s="396"/>
      <c r="K20" s="396"/>
      <c r="L20" s="396"/>
      <c r="M20" s="177"/>
    </row>
    <row r="21" spans="2:16" ht="7.5" customHeight="1">
      <c r="I21" s="976">
        <f>rok</f>
        <v>2024</v>
      </c>
      <c r="J21" s="976"/>
      <c r="K21" s="976">
        <f>IF(LEN(ro)&gt;4,_xlfn.TEXTBEFORE(ro,"/")-1&amp;"/"&amp;_xlfn.TEXTAFTER(ro,"/")-1,ro-1)</f>
        <v>2023</v>
      </c>
      <c r="L21" s="976"/>
    </row>
    <row r="22" spans="2:16" ht="9.75" customHeight="1">
      <c r="I22" s="976"/>
      <c r="J22" s="976"/>
      <c r="K22" s="976"/>
      <c r="L22" s="976"/>
    </row>
    <row r="23" spans="2:16" s="151" customFormat="1" ht="18" customHeight="1">
      <c r="B23" s="72"/>
      <c r="C23" s="1030" t="str">
        <f>CHOOSE(jezyk,n!A1001,n!B1001,n!C1001,n!D998)</f>
        <v>Przepływy środków pieniężnych z działalności operacyjnej</v>
      </c>
      <c r="D23" s="1030"/>
      <c r="E23" s="1030"/>
      <c r="F23" s="1030"/>
      <c r="G23" s="1030"/>
      <c r="H23" s="1030"/>
      <c r="I23" s="853">
        <f>'CF mp'!I29</f>
        <v>471604.56000000081</v>
      </c>
      <c r="J23" s="853"/>
      <c r="K23" s="853">
        <f>'CF mp'!J29</f>
        <v>1E-4</v>
      </c>
      <c r="L23" s="853"/>
    </row>
    <row r="24" spans="2:16" s="151" customFormat="1" ht="18" customHeight="1">
      <c r="B24" s="72"/>
      <c r="C24" s="1030" t="str">
        <f>CHOOSE(jezyk,n!A1002,n!B1002,n!C1002,n!D999)</f>
        <v>Przepływy środków pieniężnych z działalności inwestycyjnej</v>
      </c>
      <c r="D24" s="1030"/>
      <c r="E24" s="1030"/>
      <c r="F24" s="1030"/>
      <c r="G24" s="1030"/>
      <c r="H24" s="1030"/>
      <c r="I24" s="853">
        <f>'CF mp'!I58</f>
        <v>0</v>
      </c>
      <c r="J24" s="853"/>
      <c r="K24" s="853">
        <f>'CF mp'!J58</f>
        <v>0</v>
      </c>
      <c r="L24" s="853"/>
      <c r="M24" s="223"/>
    </row>
    <row r="25" spans="2:16" s="151" customFormat="1" ht="18" customHeight="1">
      <c r="B25" s="72"/>
      <c r="C25" s="1030" t="str">
        <f>CHOOSE(jezyk,n!A1003,n!B1003,n!C1003,n!D1001)</f>
        <v>Przepływy środków pieniężnych z działalności finansowej</v>
      </c>
      <c r="D25" s="1030"/>
      <c r="E25" s="1030"/>
      <c r="F25" s="1030"/>
      <c r="G25" s="1030"/>
      <c r="H25" s="1030"/>
      <c r="I25" s="853">
        <f>'CF mp'!I81</f>
        <v>0</v>
      </c>
      <c r="J25" s="853"/>
      <c r="K25" s="853">
        <f>'CF mp'!J81</f>
        <v>0</v>
      </c>
      <c r="L25" s="853"/>
      <c r="M25" s="223"/>
    </row>
    <row r="26" spans="2:16" s="151" customFormat="1" ht="18" customHeight="1">
      <c r="B26" s="72"/>
      <c r="C26" s="1030" t="str">
        <f>CHOOSE(jezyk,n!A1004,n!B1004,n!C1004,n!D1002)</f>
        <v xml:space="preserve">Przepływy pieniężne netto </v>
      </c>
      <c r="D26" s="1030"/>
      <c r="E26" s="1030"/>
      <c r="F26" s="1030"/>
      <c r="G26" s="1030"/>
      <c r="H26" s="1030"/>
      <c r="I26" s="853">
        <f>'CF mp'!I83</f>
        <v>471604.56000000081</v>
      </c>
      <c r="J26" s="853"/>
      <c r="K26" s="853">
        <f>'CF mp'!J83</f>
        <v>1E-4</v>
      </c>
      <c r="L26" s="853"/>
      <c r="M26" s="223"/>
    </row>
    <row r="27" spans="2:16" s="151" customFormat="1" ht="18" customHeight="1">
      <c r="B27" s="72"/>
      <c r="C27" s="1030" t="str">
        <f>CHOOSE(jezyk,n!A1005,n!B1005,n!C1005,n!D1003)</f>
        <v>Środki pieniężne na początek roku obrotowego</v>
      </c>
      <c r="D27" s="1030"/>
      <c r="E27" s="1030"/>
      <c r="F27" s="1030"/>
      <c r="G27" s="1030"/>
      <c r="H27" s="1030"/>
      <c r="I27" s="853">
        <f>'CF mp'!I89</f>
        <v>0</v>
      </c>
      <c r="J27" s="853"/>
      <c r="K27" s="853">
        <f>'CF mp'!J89</f>
        <v>0</v>
      </c>
      <c r="L27" s="853"/>
      <c r="M27" s="223"/>
    </row>
    <row r="28" spans="2:16" s="151" customFormat="1" ht="18" customHeight="1">
      <c r="B28" s="72"/>
      <c r="C28" s="1030" t="str">
        <f>CHOOSE(jezyk,n!A1006,n!B1006,n!C1006,n!D1004)</f>
        <v>Środki pieniężne na koniec roku obrotowego</v>
      </c>
      <c r="D28" s="1030"/>
      <c r="E28" s="1030"/>
      <c r="F28" s="1030"/>
      <c r="G28" s="1030"/>
      <c r="H28" s="1030"/>
      <c r="I28" s="853">
        <f>'CF mp'!I92</f>
        <v>471604.56000000081</v>
      </c>
      <c r="J28" s="853"/>
      <c r="K28" s="853">
        <f>'CF mp'!J92</f>
        <v>0</v>
      </c>
      <c r="L28" s="853"/>
      <c r="M28" s="223"/>
    </row>
    <row r="30" spans="2:16" ht="21" customHeight="1">
      <c r="C30" s="1041" t="e">
        <f>#REF!</f>
        <v>#REF!</v>
      </c>
      <c r="D30" s="1041"/>
      <c r="E30" s="1041"/>
      <c r="F30" s="1041"/>
      <c r="G30" s="1041"/>
      <c r="H30" s="1041"/>
      <c r="I30" s="1067">
        <f>rok</f>
        <v>2024</v>
      </c>
      <c r="J30" s="1047"/>
      <c r="K30" s="993">
        <f>IF(LEN(ro)&gt;4,_xlfn.TEXTBEFORE(ro,"/")-1&amp;"/"&amp;_xlfn.TEXTAFTER(ro,"/")-1,ro-1)</f>
        <v>2023</v>
      </c>
      <c r="L30" s="993"/>
      <c r="P30" s="421"/>
    </row>
    <row r="31" spans="2:16" ht="15" customHeight="1">
      <c r="C31" s="1040" t="str">
        <f>CHOOSE(jezyk,n!A1371,n!B1371,n!C1371,n!D1369)</f>
        <v>Odsetki od lokat powyżej 3 miesięcy</v>
      </c>
      <c r="D31" s="1040"/>
      <c r="E31" s="1040"/>
      <c r="F31" s="1040"/>
      <c r="G31" s="1040"/>
      <c r="H31" s="1040"/>
      <c r="I31" s="1063">
        <f>SUM(I32:J33)</f>
        <v>0</v>
      </c>
      <c r="J31" s="1033"/>
      <c r="K31" s="1033">
        <f>SUM(K32:L33)</f>
        <v>0</v>
      </c>
      <c r="L31" s="1033"/>
    </row>
    <row r="32" spans="2:16" ht="15" customHeight="1">
      <c r="C32" s="1039" t="str">
        <f>CHOOSE(jezyk,n!A1372,n!B1372,n!C1372,n!D1370)</f>
        <v>zapłacone</v>
      </c>
      <c r="D32" s="1039"/>
      <c r="E32" s="1039"/>
      <c r="F32" s="1039"/>
      <c r="G32" s="1039"/>
      <c r="H32" s="1039"/>
      <c r="I32" s="1068">
        <v>0</v>
      </c>
      <c r="J32" s="1068"/>
      <c r="K32" s="1034">
        <v>0</v>
      </c>
      <c r="L32" s="1035"/>
    </row>
    <row r="33" spans="1:14" ht="15" customHeight="1">
      <c r="C33" s="1038" t="str">
        <f>CHOOSE(jezyk,n!A1373,n!B1373,n!C1373,n!D1371)</f>
        <v>otrzymane</v>
      </c>
      <c r="D33" s="1038"/>
      <c r="E33" s="1038"/>
      <c r="F33" s="1038"/>
      <c r="G33" s="1038"/>
      <c r="H33" s="1038"/>
      <c r="I33" s="1036">
        <v>0</v>
      </c>
      <c r="J33" s="1037"/>
      <c r="K33" s="1036">
        <v>0</v>
      </c>
      <c r="L33" s="1037"/>
    </row>
    <row r="34" spans="1:14" ht="15" customHeight="1">
      <c r="C34" s="1040" t="str">
        <f>CHOOSE(jezyk,n!A1374,n!B1374,n!C1374,n!D1372)</f>
        <v>Odsetki od udzielonych pożyczek</v>
      </c>
      <c r="D34" s="1040"/>
      <c r="E34" s="1040"/>
      <c r="F34" s="1040"/>
      <c r="G34" s="1040"/>
      <c r="H34" s="1040"/>
      <c r="I34" s="1062">
        <f>SUM(I35:J36)</f>
        <v>0</v>
      </c>
      <c r="J34" s="1063"/>
      <c r="K34" s="1033">
        <f>SUM(K35:L36)</f>
        <v>0</v>
      </c>
      <c r="L34" s="1033"/>
    </row>
    <row r="35" spans="1:14" ht="15" customHeight="1">
      <c r="C35" s="1039" t="str">
        <f>CHOOSE(jezyk,n!A1372,n!B1372,n!C1372,n!D1370)</f>
        <v>zapłacone</v>
      </c>
      <c r="D35" s="1039"/>
      <c r="E35" s="1039"/>
      <c r="F35" s="1039"/>
      <c r="G35" s="1039"/>
      <c r="H35" s="1039"/>
      <c r="I35" s="1034">
        <v>0</v>
      </c>
      <c r="J35" s="1035"/>
      <c r="K35" s="1034">
        <v>0</v>
      </c>
      <c r="L35" s="1035"/>
    </row>
    <row r="36" spans="1:14" ht="15" customHeight="1">
      <c r="C36" s="1038" t="str">
        <f>CHOOSE(jezyk,n!A1373,n!B1373,n!C1373,n!D1371)</f>
        <v>otrzymane</v>
      </c>
      <c r="D36" s="1038"/>
      <c r="E36" s="1038"/>
      <c r="F36" s="1038"/>
      <c r="G36" s="1038"/>
      <c r="H36" s="1038"/>
      <c r="I36" s="1036">
        <v>0</v>
      </c>
      <c r="J36" s="1037"/>
      <c r="K36" s="1036">
        <v>0</v>
      </c>
      <c r="L36" s="1037"/>
    </row>
    <row r="37" spans="1:14" ht="15" customHeight="1">
      <c r="C37" s="1040" t="str">
        <f>CHOOSE(jezyk,n!A1377,n!B1377,n!C1377,n!D1375)</f>
        <v>Odsetki od kredytów</v>
      </c>
      <c r="D37" s="1040"/>
      <c r="E37" s="1040"/>
      <c r="F37" s="1040"/>
      <c r="G37" s="1040"/>
      <c r="H37" s="1040"/>
      <c r="I37" s="1062">
        <f>SUM(I38:J39)</f>
        <v>0</v>
      </c>
      <c r="J37" s="1063"/>
      <c r="K37" s="1033">
        <f>SUM(K38:L39)</f>
        <v>0</v>
      </c>
      <c r="L37" s="1033"/>
    </row>
    <row r="38" spans="1:14" ht="15" customHeight="1">
      <c r="C38" s="1039" t="str">
        <f>CHOOSE(jezyk,n!A1372,n!B1372,n!C1372,n!D1370)</f>
        <v>zapłacone</v>
      </c>
      <c r="D38" s="1039"/>
      <c r="E38" s="1039"/>
      <c r="F38" s="1039"/>
      <c r="G38" s="1039"/>
      <c r="H38" s="1039"/>
      <c r="I38" s="1034">
        <v>0</v>
      </c>
      <c r="J38" s="1035"/>
      <c r="K38" s="1034">
        <v>0</v>
      </c>
      <c r="L38" s="1035"/>
    </row>
    <row r="39" spans="1:14" ht="15" customHeight="1">
      <c r="C39" s="1038" t="str">
        <f>CHOOSE(jezyk,n!A1373,n!B1373,n!C1373,n!D1371)</f>
        <v>otrzymane</v>
      </c>
      <c r="D39" s="1038"/>
      <c r="E39" s="1038"/>
      <c r="F39" s="1038"/>
      <c r="G39" s="1038"/>
      <c r="H39" s="1038"/>
      <c r="I39" s="1036">
        <v>0</v>
      </c>
      <c r="J39" s="1037"/>
      <c r="K39" s="1036">
        <v>0</v>
      </c>
      <c r="L39" s="1037"/>
    </row>
    <row r="40" spans="1:14" ht="15" customHeight="1">
      <c r="C40" s="1040" t="str">
        <f>CHOOSE(jezyk,n!A1380,n!B1380,n!C1380,n!D1378)</f>
        <v>Otrzymane i zarachowane dywidendy</v>
      </c>
      <c r="D40" s="1040"/>
      <c r="E40" s="1040"/>
      <c r="F40" s="1040"/>
      <c r="G40" s="1040"/>
      <c r="H40" s="1040"/>
      <c r="I40" s="1070">
        <v>0</v>
      </c>
      <c r="J40" s="1071"/>
      <c r="K40" s="1034">
        <v>0</v>
      </c>
      <c r="L40" s="1035"/>
    </row>
    <row r="41" spans="1:14" ht="15" customHeight="1">
      <c r="C41" s="1040" t="str">
        <f>CHOOSE(jezyk,n!A1381,n!B1381,n!C1381,n!D1379)</f>
        <v>Pozostałe odsetki</v>
      </c>
      <c r="D41" s="1040"/>
      <c r="E41" s="1040"/>
      <c r="F41" s="1040"/>
      <c r="G41" s="1040"/>
      <c r="H41" s="1040"/>
      <c r="I41" s="1070">
        <v>0</v>
      </c>
      <c r="J41" s="1071"/>
      <c r="K41" s="1034">
        <v>0</v>
      </c>
      <c r="L41" s="1035"/>
    </row>
    <row r="42" spans="1:14" ht="15" customHeight="1">
      <c r="C42" s="1040" t="str">
        <f>CHOOSE(jezyk,n!A1382,n!B1382,n!C1382,n!D1380)</f>
        <v>Dywidendy i inne wypłaty na rzecz właścicieli</v>
      </c>
      <c r="D42" s="1040"/>
      <c r="E42" s="1040"/>
      <c r="F42" s="1040"/>
      <c r="G42" s="1040"/>
      <c r="H42" s="1040"/>
      <c r="I42" s="1034">
        <v>0</v>
      </c>
      <c r="J42" s="1035"/>
      <c r="K42" s="1034">
        <v>0</v>
      </c>
      <c r="L42" s="1035"/>
      <c r="M42" s="65" t="str">
        <f>dzb</f>
        <v>31.12.2024</v>
      </c>
      <c r="N42" s="65" t="str">
        <f>pdz</f>
        <v>31.12.2023</v>
      </c>
    </row>
    <row r="43" spans="1:14" ht="15" customHeight="1">
      <c r="C43" s="1041" t="str">
        <f>CHOOSE(jezyk,n!A1383,n!B1383,n!C1383,n!D1381)</f>
        <v>Razem odsetki</v>
      </c>
      <c r="D43" s="1041"/>
      <c r="E43" s="1041"/>
      <c r="F43" s="1041"/>
      <c r="G43" s="1041"/>
      <c r="H43" s="1041"/>
      <c r="I43" s="1069">
        <f>SUM(I31,I34,I37,I40,I41,I42)</f>
        <v>0</v>
      </c>
      <c r="J43" s="1069"/>
      <c r="K43" s="1069">
        <f>SUM(K31,K34,K37,K40,K41,K42)</f>
        <v>0</v>
      </c>
      <c r="L43" s="1069"/>
      <c r="M43" s="224">
        <f>ROUND(I43-'CF mp'!I20,2)</f>
        <v>0</v>
      </c>
      <c r="N43" s="224">
        <f>ROUND(K43-'CF mp'!J20,2)</f>
        <v>0</v>
      </c>
    </row>
    <row r="44" spans="1:14">
      <c r="C44" s="35"/>
      <c r="D44" s="35"/>
      <c r="F44" s="34"/>
    </row>
    <row r="45" spans="1:14" ht="18" customHeight="1">
      <c r="C45" s="1027" t="str">
        <f>CHOOSE(jezyk,n!A1384,n!B1384,n!C1384,n!D1382)</f>
        <v>A.II.4. Zysk (strata) z działalności inwestycyjnej</v>
      </c>
      <c r="D45" s="1028"/>
      <c r="E45" s="1028"/>
      <c r="F45" s="1028"/>
      <c r="G45" s="1028"/>
      <c r="H45" s="1029"/>
      <c r="I45" s="993">
        <f>rok</f>
        <v>2024</v>
      </c>
      <c r="J45" s="993"/>
      <c r="K45" s="993">
        <f>IF(LEN(ro)&gt;4,_xlfn.TEXTBEFORE(ro,"/")-1&amp;"/"&amp;_xlfn.TEXTAFTER(ro,"/")-1,ro-1)</f>
        <v>2023</v>
      </c>
      <c r="L45" s="993"/>
    </row>
    <row r="46" spans="1:14" ht="12.75" customHeight="1">
      <c r="A46" s="72"/>
      <c r="C46" s="995" t="str">
        <f>CHOOSE(jezyk,n!A1385,n!B1385,n!C1385,n!D1383)</f>
        <v>Zysk (strata) na sprzedaży składników działalności inwestycyjnej</v>
      </c>
      <c r="D46" s="996"/>
      <c r="E46" s="996"/>
      <c r="F46" s="996"/>
      <c r="G46" s="996"/>
      <c r="H46" s="997"/>
      <c r="I46" s="994">
        <f>SUM(I47:J50)</f>
        <v>0</v>
      </c>
      <c r="J46" s="994"/>
      <c r="K46" s="994">
        <f>SUM(K47:L50)</f>
        <v>0</v>
      </c>
      <c r="L46" s="994"/>
    </row>
    <row r="47" spans="1:14" ht="15" customHeight="1">
      <c r="C47" s="1020" t="str">
        <f>"     "&amp;CHOOSE(jezyk,n!A1386,n!B1386,n!C1386,n!D1384)</f>
        <v xml:space="preserve">     Zysk z tytułu rozchodu niefinansowych aktywów trwałych</v>
      </c>
      <c r="D47" s="1021"/>
      <c r="E47" s="1021"/>
      <c r="F47" s="1021"/>
      <c r="G47" s="1021"/>
      <c r="H47" s="1022"/>
      <c r="I47" s="1064">
        <f>'RZiS Por. '!E37</f>
        <v>0</v>
      </c>
      <c r="J47" s="1064"/>
      <c r="K47" s="1064">
        <f>'RZiS Por. '!F37</f>
        <v>0</v>
      </c>
      <c r="L47" s="1064"/>
    </row>
    <row r="48" spans="1:14" ht="15" customHeight="1">
      <c r="C48" s="1005" t="str">
        <f>"     "&amp;CHOOSE(jezyk,n!A1387,n!B1387,n!C1387,n!D1385)</f>
        <v xml:space="preserve">     Strata ze zbycia niefinansowych aktywów trwałych</v>
      </c>
      <c r="D48" s="1006"/>
      <c r="E48" s="1006"/>
      <c r="F48" s="1006"/>
      <c r="G48" s="1006"/>
      <c r="H48" s="1007"/>
      <c r="I48" s="1065">
        <f>'RZiS Por. '!E44</f>
        <v>0</v>
      </c>
      <c r="J48" s="1065"/>
      <c r="K48" s="1065">
        <f>'RZiS Por. '!F44</f>
        <v>0</v>
      </c>
      <c r="L48" s="1065"/>
    </row>
    <row r="49" spans="1:14" ht="15" customHeight="1">
      <c r="C49" s="1072" t="str">
        <f>CHOOSE(jezyk,n!A1388,n!B1388,n!C1388,n!D1386)</f>
        <v>Zysk ze zbycia inwestycji</v>
      </c>
      <c r="D49" s="1073"/>
      <c r="E49" s="1073"/>
      <c r="F49" s="1073"/>
      <c r="G49" s="1073"/>
      <c r="H49" s="1074"/>
      <c r="I49" s="1065">
        <v>0</v>
      </c>
      <c r="J49" s="1065"/>
      <c r="K49" s="1065">
        <v>0</v>
      </c>
      <c r="L49" s="1065"/>
    </row>
    <row r="50" spans="1:14" ht="15" customHeight="1">
      <c r="C50" s="1072" t="str">
        <f>CHOOSE(jezyk,n!A1389,n!B1389,n!C1389,n!D1387)</f>
        <v>Strata ze zbycia inwestycji</v>
      </c>
      <c r="D50" s="1073"/>
      <c r="E50" s="1073"/>
      <c r="F50" s="1073"/>
      <c r="G50" s="1073"/>
      <c r="H50" s="1074"/>
      <c r="I50" s="1066">
        <v>0</v>
      </c>
      <c r="J50" s="1066"/>
      <c r="K50" s="1066">
        <v>0</v>
      </c>
      <c r="L50" s="1066"/>
    </row>
    <row r="51" spans="1:14" ht="15" customHeight="1">
      <c r="C51" s="995" t="str">
        <f>CHOOSE(jezyk,n!A1390,n!B1390,n!C1390,n!D1388)</f>
        <v>Strata na likwidacji działalności inwestycyjnej</v>
      </c>
      <c r="D51" s="996"/>
      <c r="E51" s="996"/>
      <c r="F51" s="996"/>
      <c r="G51" s="996"/>
      <c r="H51" s="997"/>
      <c r="I51" s="1032">
        <v>0</v>
      </c>
      <c r="J51" s="1032"/>
      <c r="K51" s="1032">
        <v>0</v>
      </c>
      <c r="L51" s="1032"/>
    </row>
    <row r="52" spans="1:14" ht="24.95" customHeight="1">
      <c r="A52" s="72"/>
      <c r="C52" s="995" t="str">
        <f>CHOOSE(jezyk,n!A1391,n!B1391,n!C1391,n!D1389)</f>
        <v>Przekazane darowizny niepieniężnych składników działalności inwestycyjnej</v>
      </c>
      <c r="D52" s="996"/>
      <c r="E52" s="996"/>
      <c r="F52" s="996"/>
      <c r="G52" s="996"/>
      <c r="H52" s="997"/>
      <c r="I52" s="1032">
        <v>0</v>
      </c>
      <c r="J52" s="1032"/>
      <c r="K52" s="1032">
        <v>0</v>
      </c>
      <c r="L52" s="1032"/>
    </row>
    <row r="53" spans="1:14" ht="24.95" customHeight="1">
      <c r="A53" s="72"/>
      <c r="C53" s="995" t="str">
        <f>CHOOSE(jezyk,n!A1392,n!B1392,n!C1392,n!D1390)</f>
        <v>Ujawnione nadwyżki inwentaryzacyjne składników działalności inwestycyjnej</v>
      </c>
      <c r="D53" s="996"/>
      <c r="E53" s="996"/>
      <c r="F53" s="996"/>
      <c r="G53" s="996"/>
      <c r="H53" s="997"/>
      <c r="I53" s="1032">
        <v>0</v>
      </c>
      <c r="J53" s="1032"/>
      <c r="K53" s="1032">
        <v>0</v>
      </c>
      <c r="L53" s="1032"/>
    </row>
    <row r="54" spans="1:14" ht="29.25" customHeight="1">
      <c r="A54" s="72"/>
      <c r="C54" s="995" t="str">
        <f>CHOOSE(jezyk,n!A1393,n!B1393,n!C1393,n!D1391)</f>
        <v>Ujawnione niedobory inwentaryzacyjne składników działalności inwestycyjnej</v>
      </c>
      <c r="D54" s="996"/>
      <c r="E54" s="996"/>
      <c r="F54" s="996"/>
      <c r="G54" s="996"/>
      <c r="H54" s="997"/>
      <c r="I54" s="1032">
        <v>0</v>
      </c>
      <c r="J54" s="1032"/>
      <c r="K54" s="1032">
        <v>0</v>
      </c>
      <c r="L54" s="1032"/>
    </row>
    <row r="55" spans="1:14" ht="15" customHeight="1">
      <c r="C55" s="995" t="str">
        <f>CHOOSE(jezyk,n!A1394,n!B1394,n!C1394,n!D1392)</f>
        <v>Odpis aktualizujący wartość środków trwałych</v>
      </c>
      <c r="D55" s="996"/>
      <c r="E55" s="996"/>
      <c r="F55" s="996"/>
      <c r="G55" s="996"/>
      <c r="H55" s="997"/>
      <c r="I55" s="1032">
        <v>0</v>
      </c>
      <c r="J55" s="1032"/>
      <c r="K55" s="1032">
        <v>0</v>
      </c>
      <c r="L55" s="1032"/>
      <c r="M55" s="65" t="str">
        <f>dzb</f>
        <v>31.12.2024</v>
      </c>
      <c r="N55" s="65" t="str">
        <f>pdz</f>
        <v>31.12.2023</v>
      </c>
    </row>
    <row r="56" spans="1:14" ht="27" customHeight="1">
      <c r="C56" s="1027" t="str">
        <f>CHOOSE(jezyk,n!A1395,n!B1395,n!C1395,n!D1393)</f>
        <v>Razem zysk (strata) z działalności inwestycyjnej</v>
      </c>
      <c r="D56" s="1028"/>
      <c r="E56" s="1028"/>
      <c r="F56" s="1028"/>
      <c r="G56" s="1028"/>
      <c r="H56" s="1029"/>
      <c r="I56" s="1001">
        <f>SUM(I46,I51,I52,I53,I54,I55)</f>
        <v>0</v>
      </c>
      <c r="J56" s="1001"/>
      <c r="K56" s="1001">
        <f>SUM(K46,K51,K52,K53,K54,K55)</f>
        <v>0</v>
      </c>
      <c r="L56" s="1001"/>
      <c r="M56" s="224">
        <f>ROUND(I56-'CF mp'!I21,2)</f>
        <v>0</v>
      </c>
      <c r="N56" s="224">
        <f>ROUND(K56-'CF mp'!J21,2)</f>
        <v>0</v>
      </c>
    </row>
    <row r="57" spans="1:14">
      <c r="C57" s="35"/>
      <c r="D57" s="35"/>
      <c r="E57" s="34"/>
      <c r="F57" s="34"/>
    </row>
    <row r="58" spans="1:14" ht="18" customHeight="1">
      <c r="A58" s="72"/>
      <c r="C58" s="998" t="str">
        <f>CHOOSE(jezyk,n!A1396,n!B1396,n!C1396,n!D1394)</f>
        <v>A.II.5. Zmiana stanu rezerw na zobowiązania</v>
      </c>
      <c r="D58" s="999"/>
      <c r="E58" s="999"/>
      <c r="F58" s="999"/>
      <c r="G58" s="999"/>
      <c r="H58" s="1000"/>
      <c r="I58" s="993">
        <f>rok</f>
        <v>2024</v>
      </c>
      <c r="J58" s="993"/>
      <c r="K58" s="993">
        <f>IF(LEN(ro)&gt;4,_xlfn.TEXTBEFORE(ro,"/")-1&amp;"/"&amp;_xlfn.TEXTAFTER(ro,"/")-1,ro-1)</f>
        <v>2023</v>
      </c>
      <c r="L58" s="993"/>
      <c r="M58" s="131" t="str">
        <f>IF('CF mp'!I22&lt;&gt;Bilans!S29-Bilans!T29,"Wyjaśnij zmianę stanu","Nie ma konieczności wyjaśniania zmiany stanu, ukryj tę część tabeli")</f>
        <v>Nie ma konieczności wyjaśniania zmiany stanu, ukryj tę część tabeli</v>
      </c>
    </row>
    <row r="59" spans="1:14" ht="15" customHeight="1">
      <c r="C59" s="995" t="str">
        <f>CHOOSE(jezyk,n!A1397,n!B1397,n!C1397,n!D1395)</f>
        <v>Rezerwy na zobowiązania</v>
      </c>
      <c r="D59" s="996"/>
      <c r="E59" s="996"/>
      <c r="F59" s="996"/>
      <c r="G59" s="996"/>
      <c r="H59" s="997"/>
      <c r="I59" s="994">
        <f>Bilans!S29</f>
        <v>0</v>
      </c>
      <c r="J59" s="994"/>
      <c r="K59" s="994">
        <f>Bilans!T29</f>
        <v>0</v>
      </c>
      <c r="L59" s="994"/>
    </row>
    <row r="60" spans="1:14" ht="15" customHeight="1">
      <c r="C60" s="995" t="str">
        <f>CHOOSE(jezyk,n!A1398,n!B1398,n!C1398,n!D1396)</f>
        <v>w tym</v>
      </c>
      <c r="D60" s="996"/>
      <c r="E60" s="996"/>
      <c r="F60" s="996"/>
      <c r="G60" s="996"/>
      <c r="H60" s="997"/>
      <c r="I60" s="1031"/>
      <c r="J60" s="1031"/>
      <c r="K60" s="1031"/>
      <c r="L60" s="1031"/>
    </row>
    <row r="61" spans="1:14" ht="24.95" customHeight="1">
      <c r="C61" s="995" t="str">
        <f>CHOOSE(jezyk,n!A1399,n!B1399,n!C1399,n!D1397)</f>
        <v>Rezerwa na odroczony podatek dochodowy utworzona w ciężar kosztów</v>
      </c>
      <c r="D61" s="996"/>
      <c r="E61" s="996"/>
      <c r="F61" s="996"/>
      <c r="G61" s="996"/>
      <c r="H61" s="997"/>
      <c r="I61" s="1032">
        <v>0</v>
      </c>
      <c r="J61" s="1032"/>
      <c r="K61" s="1032">
        <v>0</v>
      </c>
      <c r="L61" s="1032"/>
    </row>
    <row r="62" spans="1:14" ht="15" customHeight="1">
      <c r="C62" s="995" t="str">
        <f>CHOOSE(jezyk,n!A1400,n!B1400,n!C1400,n!D1398)</f>
        <v>Razem rezerwy po korekcie</v>
      </c>
      <c r="D62" s="996"/>
      <c r="E62" s="996"/>
      <c r="F62" s="996"/>
      <c r="G62" s="996"/>
      <c r="H62" s="997"/>
      <c r="I62" s="994">
        <f>I59-I61</f>
        <v>0</v>
      </c>
      <c r="J62" s="994"/>
      <c r="K62" s="994">
        <f>K59-K61</f>
        <v>0</v>
      </c>
      <c r="L62" s="994"/>
      <c r="M62" s="65" t="str">
        <f>dzb</f>
        <v>31.12.2024</v>
      </c>
    </row>
    <row r="63" spans="1:14" ht="27" customHeight="1">
      <c r="C63" s="1027" t="str">
        <f>CHOOSE(jezyk,n!A1401,n!B1401,n!C1401,n!D1399)</f>
        <v>Zmiana stanu rezerw</v>
      </c>
      <c r="D63" s="1028"/>
      <c r="E63" s="1028"/>
      <c r="F63" s="1028"/>
      <c r="G63" s="1028"/>
      <c r="H63" s="1029"/>
      <c r="I63" s="1001">
        <f>I62-K62</f>
        <v>0</v>
      </c>
      <c r="J63" s="1001"/>
      <c r="K63" s="990"/>
      <c r="L63" s="991"/>
      <c r="M63" s="224">
        <f>ROUND(I63-'CF mp'!I22,2)</f>
        <v>0</v>
      </c>
    </row>
    <row r="64" spans="1:14" ht="16.5" customHeight="1">
      <c r="C64" s="225"/>
      <c r="D64" s="225"/>
      <c r="J64" s="226"/>
      <c r="K64" s="226"/>
    </row>
    <row r="65" spans="1:13" ht="18" customHeight="1">
      <c r="C65" s="998" t="str">
        <f>CHOOSE(jezyk,n!A1402,n!B1402,n!C1402,n!D1400)</f>
        <v>A.II.6. Zmiana stanu zapasów</v>
      </c>
      <c r="D65" s="999"/>
      <c r="E65" s="999"/>
      <c r="F65" s="999"/>
      <c r="G65" s="999"/>
      <c r="H65" s="1000"/>
      <c r="I65" s="993">
        <f>rok</f>
        <v>2024</v>
      </c>
      <c r="J65" s="993"/>
      <c r="K65" s="993">
        <f>IF(LEN(ro)&gt;4,_xlfn.TEXTBEFORE(ro,"/")-1&amp;"/"&amp;_xlfn.TEXTAFTER(ro,"/")-1,ro-1)</f>
        <v>2023</v>
      </c>
      <c r="L65" s="993"/>
      <c r="M65" s="131" t="str">
        <f>IF('CF mp'!I23&lt;&gt;Bilans!K72-Bilans!J72,"Wyjaśnij zmianę stanu","Nie ma konieczności wyjaśniania zmiany stanu, ukryj tę część tabeli")</f>
        <v>Nie ma konieczności wyjaśniania zmiany stanu, ukryj tę część tabeli</v>
      </c>
    </row>
    <row r="66" spans="1:13" ht="18" customHeight="1">
      <c r="C66" s="995" t="str">
        <f>CHOOSE(jezyk,n!A1403,n!B1403,n!C1403,n!D1401)</f>
        <v>Zapasy razem</v>
      </c>
      <c r="D66" s="996"/>
      <c r="E66" s="996"/>
      <c r="F66" s="996"/>
      <c r="G66" s="996"/>
      <c r="H66" s="997"/>
      <c r="I66" s="994">
        <f>Bilans!J72</f>
        <v>0</v>
      </c>
      <c r="J66" s="994"/>
      <c r="K66" s="994">
        <f>Bilans!K72</f>
        <v>0</v>
      </c>
      <c r="L66" s="994"/>
    </row>
    <row r="67" spans="1:13" ht="18" customHeight="1">
      <c r="C67" s="995" t="str">
        <f>CHOOSE(jezyk,n!A1412,n!B1412,n!C1412,n!D1410)</f>
        <v>w tym</v>
      </c>
      <c r="D67" s="996"/>
      <c r="E67" s="996"/>
      <c r="F67" s="996"/>
      <c r="G67" s="996"/>
      <c r="H67" s="996"/>
      <c r="I67" s="1002"/>
      <c r="J67" s="1002"/>
      <c r="K67" s="1002"/>
      <c r="L67" s="1003"/>
    </row>
    <row r="68" spans="1:13" ht="18" customHeight="1">
      <c r="A68" s="72"/>
      <c r="C68" s="1017" t="s">
        <v>6398</v>
      </c>
      <c r="D68" s="1018"/>
      <c r="E68" s="1018"/>
      <c r="F68" s="1018"/>
      <c r="G68" s="1018"/>
      <c r="H68" s="1019"/>
      <c r="I68" s="1011"/>
      <c r="J68" s="1012"/>
      <c r="K68" s="1011"/>
      <c r="L68" s="1012"/>
    </row>
    <row r="69" spans="1:13" ht="18" customHeight="1">
      <c r="C69" s="995" t="str">
        <f>CHOOSE(jezyk,n!A1404,n!B1404,n!C1404,n!D1402)</f>
        <v>Razem zapasy po korekcie</v>
      </c>
      <c r="D69" s="996"/>
      <c r="E69" s="996"/>
      <c r="F69" s="996"/>
      <c r="G69" s="996"/>
      <c r="H69" s="997"/>
      <c r="I69" s="994">
        <f>I66-I68</f>
        <v>0</v>
      </c>
      <c r="J69" s="994"/>
      <c r="K69" s="994">
        <f>K66-K68</f>
        <v>0</v>
      </c>
      <c r="L69" s="994"/>
      <c r="M69" s="65" t="str">
        <f>dzb</f>
        <v>31.12.2024</v>
      </c>
    </row>
    <row r="70" spans="1:13" ht="16.5" customHeight="1">
      <c r="C70" s="998" t="str">
        <f>CHOOSE(jezyk,n!A1405,n!B1405,n!C1405,n!D1403)</f>
        <v>Zmiana stanu zapasów</v>
      </c>
      <c r="D70" s="999"/>
      <c r="E70" s="999"/>
      <c r="F70" s="999"/>
      <c r="G70" s="999"/>
      <c r="H70" s="1000"/>
      <c r="I70" s="1001">
        <f>K69-I69</f>
        <v>0</v>
      </c>
      <c r="J70" s="1001"/>
      <c r="L70" s="422"/>
      <c r="M70" s="224">
        <f>ROUND(I70-'CF mp'!I23,2)</f>
        <v>0</v>
      </c>
    </row>
    <row r="71" spans="1:13" ht="15.75" customHeight="1">
      <c r="C71" s="225"/>
      <c r="D71" s="225"/>
      <c r="J71" s="226"/>
      <c r="K71" s="226"/>
    </row>
    <row r="72" spans="1:13" ht="18" customHeight="1">
      <c r="C72" s="1027" t="str">
        <f>CHOOSE(jezyk,n!A1406,n!B1406,n!C1406,n!D1404)</f>
        <v>A.II.7. Zmiana stanu należności</v>
      </c>
      <c r="D72" s="1028"/>
      <c r="E72" s="1028"/>
      <c r="F72" s="1028"/>
      <c r="G72" s="1028"/>
      <c r="H72" s="1029"/>
      <c r="I72" s="1013">
        <f>rok</f>
        <v>2024</v>
      </c>
      <c r="J72" s="1013"/>
      <c r="K72" s="993">
        <f>K58</f>
        <v>2023</v>
      </c>
      <c r="L72" s="993"/>
      <c r="M72" s="131" t="str">
        <f>IF('CF mp'!I24&lt;&gt;Bilans!K32-Bilans!J32+Bilans!K80-Bilans!J80,"Wyjaśnij zmianę stanu","Nie ma konieczności wyjaśniania zmiany stanu, ukryj tę część tabeli")</f>
        <v>Nie ma konieczności wyjaśniania zmiany stanu, ukryj tę część tabeli</v>
      </c>
    </row>
    <row r="73" spans="1:13" ht="15" customHeight="1">
      <c r="C73" s="995" t="str">
        <f>CHOOSE(jezyk,n!A1407,n!B1407,n!C1407,n!D1405)</f>
        <v>Należności długoterminowe</v>
      </c>
      <c r="D73" s="996"/>
      <c r="E73" s="996"/>
      <c r="F73" s="996"/>
      <c r="G73" s="996"/>
      <c r="H73" s="997"/>
      <c r="I73" s="989">
        <f>Bilans!J32</f>
        <v>0</v>
      </c>
      <c r="J73" s="989"/>
      <c r="K73" s="989">
        <f>Bilans!K32</f>
        <v>0</v>
      </c>
      <c r="L73" s="989"/>
    </row>
    <row r="74" spans="1:13" ht="18" customHeight="1">
      <c r="A74" s="72"/>
      <c r="C74" s="995" t="str">
        <f>CHOOSE(jezyk,n!A1408,n!B1408,n!C1408,n!D1406)</f>
        <v>Należności krótkoterminowe od jednostek powiązanych</v>
      </c>
      <c r="D74" s="996"/>
      <c r="E74" s="996"/>
      <c r="F74" s="996"/>
      <c r="G74" s="996"/>
      <c r="H74" s="997"/>
      <c r="I74" s="989">
        <f>Bilans!J82</f>
        <v>0</v>
      </c>
      <c r="J74" s="989"/>
      <c r="K74" s="989">
        <f>Bilans!K82</f>
        <v>0</v>
      </c>
      <c r="L74" s="989"/>
    </row>
    <row r="75" spans="1:13" ht="24.95" customHeight="1">
      <c r="C75" s="995" t="str">
        <f>CHOOSE(jezyk,n!A1409,n!B1409,n!C1409,n!D1407)</f>
        <v>Należności krótkoterminowe  od pozostałych jednostek, w których jednostka posiada zaangażowanie w kapitale</v>
      </c>
      <c r="D75" s="996"/>
      <c r="E75" s="996"/>
      <c r="F75" s="996"/>
      <c r="G75" s="996"/>
      <c r="H75" s="997"/>
      <c r="I75" s="989">
        <f>Bilans!J90</f>
        <v>0</v>
      </c>
      <c r="J75" s="989"/>
      <c r="K75" s="989">
        <f>Bilans!K90</f>
        <v>0</v>
      </c>
      <c r="L75" s="989"/>
    </row>
    <row r="76" spans="1:13" ht="15" customHeight="1">
      <c r="C76" s="995" t="str">
        <f>CHOOSE(jezyk,n!A1410,n!B1410,n!C1410,n!D1408)</f>
        <v>Należności krótkoterminowe od pozostałych jednostek</v>
      </c>
      <c r="D76" s="996"/>
      <c r="E76" s="996"/>
      <c r="F76" s="996"/>
      <c r="G76" s="996"/>
      <c r="H76" s="997"/>
      <c r="I76" s="989">
        <f>Bilans!J98</f>
        <v>0</v>
      </c>
      <c r="J76" s="989"/>
      <c r="K76" s="989">
        <f>Bilans!K98</f>
        <v>0</v>
      </c>
      <c r="L76" s="989"/>
    </row>
    <row r="77" spans="1:13" ht="15" customHeight="1">
      <c r="C77" s="995" t="str">
        <f>CHOOSE(jezyk,n!A1411,n!B1411,n!C1411,n!D1409)</f>
        <v>Razem należności netto</v>
      </c>
      <c r="D77" s="996"/>
      <c r="E77" s="996"/>
      <c r="F77" s="996"/>
      <c r="G77" s="996"/>
      <c r="H77" s="997"/>
      <c r="I77" s="992">
        <f>SUM(I73:J76)</f>
        <v>0</v>
      </c>
      <c r="J77" s="992"/>
      <c r="K77" s="992">
        <f>SUM(K73:L76)</f>
        <v>0</v>
      </c>
      <c r="L77" s="992"/>
    </row>
    <row r="78" spans="1:13" ht="15" customHeight="1">
      <c r="C78" s="995" t="str">
        <f>CHOOSE(jezyk,n!A1412,n!B1412,n!C1412,n!D1410)</f>
        <v>w tym</v>
      </c>
      <c r="D78" s="996"/>
      <c r="E78" s="996"/>
      <c r="F78" s="996"/>
      <c r="G78" s="996"/>
      <c r="H78" s="997"/>
      <c r="I78" s="1014"/>
      <c r="J78" s="1015"/>
      <c r="K78" s="1015"/>
      <c r="L78" s="1016"/>
    </row>
    <row r="79" spans="1:13" ht="24.95" customHeight="1">
      <c r="C79" s="995" t="str">
        <f>CHOOSE(jezyk,n!A1413,n!B1413,n!C1413,n!D1411)</f>
        <v>Należności z tytułu sprzedaży środków trwałych lub z operacji i zdarzeń niepieniężnych</v>
      </c>
      <c r="D79" s="996"/>
      <c r="E79" s="996"/>
      <c r="F79" s="996"/>
      <c r="G79" s="996"/>
      <c r="H79" s="997"/>
      <c r="I79" s="1004">
        <v>0</v>
      </c>
      <c r="J79" s="1004"/>
      <c r="K79" s="1004">
        <v>0</v>
      </c>
      <c r="L79" s="1004"/>
    </row>
    <row r="80" spans="1:13" ht="15" customHeight="1">
      <c r="C80" s="995" t="str">
        <f>CHOOSE(jezyk,n!A1414,n!B1414,n!C1414,n!D1412)</f>
        <v>Inne korekty</v>
      </c>
      <c r="D80" s="996"/>
      <c r="E80" s="996"/>
      <c r="F80" s="996"/>
      <c r="G80" s="996"/>
      <c r="H80" s="997"/>
      <c r="I80" s="1004">
        <v>0</v>
      </c>
      <c r="J80" s="1004"/>
      <c r="K80" s="1004">
        <v>0</v>
      </c>
      <c r="L80" s="1004"/>
    </row>
    <row r="81" spans="1:13" ht="15" customHeight="1">
      <c r="C81" s="995" t="str">
        <f>CHOOSE(jezyk,n!A1415,n!B1415,n!C1415,n!D1413)</f>
        <v>Razem należności netto po korektach</v>
      </c>
      <c r="D81" s="996"/>
      <c r="E81" s="996"/>
      <c r="F81" s="996"/>
      <c r="G81" s="996"/>
      <c r="H81" s="997"/>
      <c r="I81" s="989">
        <f>I77-I79-I80</f>
        <v>0</v>
      </c>
      <c r="J81" s="989"/>
      <c r="K81" s="989">
        <f>K77-K79-K80</f>
        <v>0</v>
      </c>
      <c r="L81" s="989"/>
      <c r="M81" s="65" t="str">
        <f>dzb</f>
        <v>31.12.2024</v>
      </c>
    </row>
    <row r="82" spans="1:13" ht="24.75" customHeight="1">
      <c r="C82" s="1027" t="str">
        <f>CHOOSE(jezyk,n!A1416,n!B1416,n!C1416,n!D1414)</f>
        <v>Zmiana stanu należności</v>
      </c>
      <c r="D82" s="1028"/>
      <c r="E82" s="1028"/>
      <c r="F82" s="1028"/>
      <c r="G82" s="1028"/>
      <c r="H82" s="1029"/>
      <c r="I82" s="992">
        <f>-I81+K81</f>
        <v>0</v>
      </c>
      <c r="J82" s="992"/>
      <c r="K82" s="990"/>
      <c r="L82" s="991"/>
      <c r="M82" s="224">
        <f>ROUND(I82-'CF mp'!I24,2)</f>
        <v>0</v>
      </c>
    </row>
    <row r="83" spans="1:13">
      <c r="C83" s="225"/>
      <c r="D83" s="36"/>
    </row>
    <row r="84" spans="1:13" ht="30" customHeight="1">
      <c r="C84" s="998" t="str">
        <f>CHOOSE(jezyk,n!A1417,n!B1417,n!C1417,n!D1415)</f>
        <v>A.II.8. Zmiana stanu zobowiązań krótkoterminowych bez kredytów i pożyczek</v>
      </c>
      <c r="D84" s="999"/>
      <c r="E84" s="999"/>
      <c r="F84" s="999"/>
      <c r="G84" s="999"/>
      <c r="H84" s="1000"/>
      <c r="I84" s="993">
        <f>rok</f>
        <v>2024</v>
      </c>
      <c r="J84" s="993"/>
      <c r="K84" s="993">
        <f>K72</f>
        <v>2023</v>
      </c>
      <c r="L84" s="993"/>
      <c r="M84" s="131" t="str">
        <f>IF('CF mp'!I25&lt;&gt;Bilans!S56-Bilans!T56-Bilans!S76+Bilans!T76,"Wyjaśnij zmianę stanu","Nie ma konieczności wyjaśniania zmiany stanu, ukryj tę część tabeli")</f>
        <v>Nie ma konieczności wyjaśniania zmiany stanu, ukryj tę część tabeli</v>
      </c>
    </row>
    <row r="85" spans="1:13" ht="15" customHeight="1">
      <c r="A85" s="72"/>
      <c r="C85" s="995" t="str">
        <f>CHOOSE(jezyk,n!A1418,n!B1418,n!C1418,n!D1416)</f>
        <v>Zobowiązania krótkoterminowe wobec jednostek powiązanych</v>
      </c>
      <c r="D85" s="996"/>
      <c r="E85" s="996"/>
      <c r="F85" s="996"/>
      <c r="G85" s="996"/>
      <c r="H85" s="997"/>
      <c r="I85" s="994">
        <f>Bilans!S58</f>
        <v>0</v>
      </c>
      <c r="J85" s="994"/>
      <c r="K85" s="994">
        <f>Bilans!T58</f>
        <v>0</v>
      </c>
      <c r="L85" s="994"/>
      <c r="M85" s="131" t="s">
        <v>4399</v>
      </c>
    </row>
    <row r="86" spans="1:13" ht="24.95" customHeight="1">
      <c r="C86" s="1023" t="str">
        <f>Bilans!P65</f>
        <v>Zobowiązania wobec pozostałych jednostek, w których jednostka posiada zaangażowanie w kapitale</v>
      </c>
      <c r="D86" s="996"/>
      <c r="E86" s="996"/>
      <c r="F86" s="996"/>
      <c r="G86" s="996"/>
      <c r="H86" s="997"/>
      <c r="I86" s="994">
        <f>Bilans!S66</f>
        <v>0</v>
      </c>
      <c r="J86" s="994"/>
      <c r="K86" s="994">
        <f>Bilans!T66</f>
        <v>0</v>
      </c>
      <c r="L86" s="994"/>
    </row>
    <row r="87" spans="1:13" ht="15" customHeight="1">
      <c r="C87" s="995" t="str">
        <f>CHOOSE(jezyk,n!A1419,n!B1419,n!C1419,n!D1417)</f>
        <v>Zobowiązania krótkoterminowe wobec pozostałych jednostek</v>
      </c>
      <c r="D87" s="996"/>
      <c r="E87" s="996"/>
      <c r="F87" s="996"/>
      <c r="G87" s="996"/>
      <c r="H87" s="997"/>
      <c r="I87" s="994">
        <f>Bilans!S75</f>
        <v>0</v>
      </c>
      <c r="J87" s="994"/>
      <c r="K87" s="994">
        <f>Bilans!T75</f>
        <v>0</v>
      </c>
      <c r="L87" s="994"/>
    </row>
    <row r="88" spans="1:13" ht="15" customHeight="1">
      <c r="C88" s="995" t="str">
        <f>CHOOSE(jezyk,n!A1420,n!B1420,n!C1420,n!D1418)</f>
        <v>Fundusze specjalne</v>
      </c>
      <c r="D88" s="996"/>
      <c r="E88" s="996"/>
      <c r="F88" s="996"/>
      <c r="G88" s="996"/>
      <c r="H88" s="997"/>
      <c r="I88" s="994">
        <f>Bilans!S90</f>
        <v>0</v>
      </c>
      <c r="J88" s="994"/>
      <c r="K88" s="994">
        <f>Bilans!T90</f>
        <v>0</v>
      </c>
      <c r="L88" s="994"/>
    </row>
    <row r="89" spans="1:13" ht="15" customHeight="1">
      <c r="C89" s="995" t="str">
        <f>CHOOSE(jezyk,n!A1421,n!B1421,n!C1421,n!D1419)</f>
        <v>Razem zobowiązania</v>
      </c>
      <c r="D89" s="996"/>
      <c r="E89" s="996"/>
      <c r="F89" s="996"/>
      <c r="G89" s="996"/>
      <c r="H89" s="997"/>
      <c r="I89" s="994">
        <f>SUM(I85:J88)</f>
        <v>0</v>
      </c>
      <c r="J89" s="994"/>
      <c r="K89" s="994">
        <f>SUM(K85:L88)</f>
        <v>0</v>
      </c>
      <c r="L89" s="994"/>
    </row>
    <row r="90" spans="1:13" ht="15" customHeight="1">
      <c r="C90" s="995" t="str">
        <f>CHOOSE(jezyk,n!A1422,n!B1422,n!C1422,n!D1420)</f>
        <v>w tym, zobowiązania z działalności inwestycyjnej</v>
      </c>
      <c r="D90" s="996"/>
      <c r="E90" s="996"/>
      <c r="F90" s="996"/>
      <c r="G90" s="996"/>
      <c r="H90" s="997"/>
      <c r="I90" s="994">
        <f>SUM(I91:J93)</f>
        <v>0</v>
      </c>
      <c r="J90" s="994"/>
      <c r="K90" s="994">
        <f>SUM(K91:L93)</f>
        <v>0</v>
      </c>
      <c r="L90" s="994"/>
    </row>
    <row r="91" spans="1:13" ht="24.95" customHeight="1">
      <c r="A91" s="72"/>
      <c r="C91" s="1020" t="str">
        <f>"   "&amp;CHOOSE(jezyk,n!A1423,n!B1423,n!C1423,n!D1421)</f>
        <v xml:space="preserve">   Zobowiązania z tytułu zakupu wartości niematerialnych i prawnych i środków trwałych</v>
      </c>
      <c r="D91" s="1021"/>
      <c r="E91" s="1021"/>
      <c r="F91" s="1021"/>
      <c r="G91" s="1021"/>
      <c r="H91" s="1022"/>
      <c r="I91" s="1009">
        <v>0</v>
      </c>
      <c r="J91" s="1009"/>
      <c r="K91" s="1009">
        <v>0</v>
      </c>
      <c r="L91" s="1009"/>
    </row>
    <row r="92" spans="1:13" ht="24.95" customHeight="1">
      <c r="A92" s="72"/>
      <c r="C92" s="1005" t="str">
        <f>"   "&amp;CHOOSE(jezyk,n!A1424,n!B1424,n!C1424,n!D1422)</f>
        <v xml:space="preserve">   Zobowiązania z tytułu zakupu inwestycji w nieruchomości i wartości niematerialne i prawne</v>
      </c>
      <c r="D92" s="1006"/>
      <c r="E92" s="1006"/>
      <c r="F92" s="1006"/>
      <c r="G92" s="1006"/>
      <c r="H92" s="1007"/>
      <c r="I92" s="1010">
        <v>0</v>
      </c>
      <c r="J92" s="1010"/>
      <c r="K92" s="1010">
        <v>0</v>
      </c>
      <c r="L92" s="1010"/>
    </row>
    <row r="93" spans="1:13" ht="15" customHeight="1">
      <c r="C93" s="1024" t="str">
        <f>"   "&amp;CHOOSE(jezyk,n!A1425,n!B1425,n!C1425,n!D1423)</f>
        <v xml:space="preserve">   Inne zobowiązania z tytułu działalności inwestycyjnej</v>
      </c>
      <c r="D93" s="1025"/>
      <c r="E93" s="1025"/>
      <c r="F93" s="1025"/>
      <c r="G93" s="1025"/>
      <c r="H93" s="1026"/>
      <c r="I93" s="1008">
        <v>0</v>
      </c>
      <c r="J93" s="1008"/>
      <c r="K93" s="1008">
        <v>0</v>
      </c>
      <c r="L93" s="1008"/>
    </row>
    <row r="94" spans="1:13" ht="15" customHeight="1">
      <c r="C94" s="995" t="str">
        <f>CHOOSE(jezyk,n!A1426,n!B1426,n!C1426,n!D1424)</f>
        <v>w tym, zobowiązania z działalności finansowej</v>
      </c>
      <c r="D94" s="996"/>
      <c r="E94" s="996"/>
      <c r="F94" s="996"/>
      <c r="G94" s="996"/>
      <c r="H94" s="997"/>
      <c r="I94" s="1001">
        <f>SUM(I95:J103)</f>
        <v>0</v>
      </c>
      <c r="J94" s="1001"/>
      <c r="K94" s="1001">
        <f>SUM(K95:L103)</f>
        <v>0</v>
      </c>
      <c r="L94" s="1001"/>
    </row>
    <row r="95" spans="1:13" ht="15" customHeight="1">
      <c r="A95" s="72"/>
      <c r="C95" s="1020" t="str">
        <f>"   "&amp;CHOOSE(jezyk,n!A1427,n!B1427,n!C1427,n!D1425)</f>
        <v xml:space="preserve">   Zobowiązania z tytułu nabycia (akcji) własnych</v>
      </c>
      <c r="D95" s="1021"/>
      <c r="E95" s="1021"/>
      <c r="F95" s="1021"/>
      <c r="G95" s="1021"/>
      <c r="H95" s="1022"/>
      <c r="I95" s="1009">
        <v>0</v>
      </c>
      <c r="J95" s="1009"/>
      <c r="K95" s="1009">
        <v>0</v>
      </c>
      <c r="L95" s="1009"/>
      <c r="M95" s="131" t="s">
        <v>4399</v>
      </c>
    </row>
    <row r="96" spans="1:13" ht="24.95" customHeight="1">
      <c r="C96" s="1005" t="str">
        <f>"   "&amp;CHOOSE(jezyk,n!A1428,n!B1428,n!C1428,n!D1426)</f>
        <v xml:space="preserve">   Zobowiązania z tytułu dywidend i innych wypłat na rzecz właścicieli</v>
      </c>
      <c r="D96" s="1006"/>
      <c r="E96" s="1006"/>
      <c r="F96" s="1006"/>
      <c r="G96" s="1006"/>
      <c r="H96" s="1007"/>
      <c r="I96" s="1011">
        <v>0</v>
      </c>
      <c r="J96" s="1012"/>
      <c r="K96" s="1010">
        <v>0</v>
      </c>
      <c r="L96" s="1010"/>
    </row>
    <row r="97" spans="1:13" ht="24.95" customHeight="1">
      <c r="C97" s="1005" t="str">
        <f>"   "&amp;CHOOSE(jezyk,n!A1429,n!B1429,n!C1429,n!D1427)</f>
        <v xml:space="preserve">   Zobowiązania inne, niż wypłaty na rzecz właścicieli, z tytułu podziału zysku</v>
      </c>
      <c r="D97" s="1006"/>
      <c r="E97" s="1006"/>
      <c r="F97" s="1006"/>
      <c r="G97" s="1006"/>
      <c r="H97" s="1007"/>
      <c r="I97" s="1011">
        <v>0</v>
      </c>
      <c r="J97" s="1012"/>
      <c r="K97" s="1010">
        <v>0</v>
      </c>
      <c r="L97" s="1010"/>
    </row>
    <row r="98" spans="1:13" ht="15" customHeight="1">
      <c r="C98" s="1005" t="str">
        <f>"   "&amp;CHOOSE(jezyk,n!A1430,n!B1430,n!C1430,n!D1428)</f>
        <v xml:space="preserve">   Zobowiązania z tytułu dłużnych papierów wartościowych</v>
      </c>
      <c r="D98" s="1006"/>
      <c r="E98" s="1006"/>
      <c r="F98" s="1006"/>
      <c r="G98" s="1006"/>
      <c r="H98" s="1007"/>
      <c r="I98" s="1011">
        <v>0</v>
      </c>
      <c r="J98" s="1012"/>
      <c r="K98" s="1010">
        <v>0</v>
      </c>
      <c r="L98" s="1010"/>
    </row>
    <row r="99" spans="1:13" ht="15" customHeight="1">
      <c r="C99" s="1005" t="str">
        <f>"   "&amp;CHOOSE(jezyk,n!A1431,n!B1431,n!C1431,n!D1429)</f>
        <v xml:space="preserve">   Inne zobowiązania finansowe</v>
      </c>
      <c r="D99" s="1006"/>
      <c r="E99" s="1006"/>
      <c r="F99" s="1006"/>
      <c r="G99" s="1006"/>
      <c r="H99" s="1007"/>
      <c r="I99" s="1011">
        <v>0</v>
      </c>
      <c r="J99" s="1012"/>
      <c r="K99" s="1010">
        <v>0</v>
      </c>
      <c r="L99" s="1010"/>
    </row>
    <row r="100" spans="1:13" ht="15" customHeight="1">
      <c r="A100" s="72"/>
      <c r="C100" s="1005" t="str">
        <f>"   "&amp;CHOOSE(jezyk,n!A1432,n!B1432,n!C1432,n!D1430)</f>
        <v xml:space="preserve">   Zobowiązania z tytułu pożyczek od jednostek powiązanych</v>
      </c>
      <c r="D100" s="1006"/>
      <c r="E100" s="1006"/>
      <c r="F100" s="1006"/>
      <c r="G100" s="1006"/>
      <c r="H100" s="1007"/>
      <c r="I100" s="1011">
        <v>0</v>
      </c>
      <c r="J100" s="1012"/>
      <c r="K100" s="1010">
        <v>0</v>
      </c>
      <c r="L100" s="1010"/>
    </row>
    <row r="101" spans="1:13" ht="24.95" customHeight="1">
      <c r="C101" s="1005" t="str">
        <f>"   "&amp;CHOOSE(jezyk,n!A1433,n!B1433,n!C1433,n!D1431)</f>
        <v xml:space="preserve">   Zobowiązania z tytułu pożyczek od pozostałych jednostek, w których jednostka posiada zaangażowanie w kapitale</v>
      </c>
      <c r="D101" s="1006"/>
      <c r="E101" s="1006"/>
      <c r="F101" s="1006"/>
      <c r="G101" s="1006"/>
      <c r="H101" s="1007"/>
      <c r="I101" s="1011">
        <v>0</v>
      </c>
      <c r="J101" s="1012"/>
      <c r="K101" s="1010">
        <v>0</v>
      </c>
      <c r="L101" s="1010"/>
    </row>
    <row r="102" spans="1:13" ht="15" customHeight="1">
      <c r="A102" s="72"/>
      <c r="C102" s="1005" t="str">
        <f>"   "&amp;CHOOSE(jezyk,n!A1434,n!B1434,n!C1434,n!D1432)</f>
        <v xml:space="preserve">   Zobowiązania z tytułu umów leasingu finansowego</v>
      </c>
      <c r="D102" s="1006"/>
      <c r="E102" s="1006"/>
      <c r="F102" s="1006"/>
      <c r="G102" s="1006"/>
      <c r="H102" s="1007"/>
      <c r="I102" s="1011">
        <v>0</v>
      </c>
      <c r="J102" s="1012"/>
      <c r="K102" s="1010">
        <v>0</v>
      </c>
      <c r="L102" s="1010"/>
    </row>
    <row r="103" spans="1:13" ht="15" customHeight="1">
      <c r="C103" s="1005" t="str">
        <f>"   "&amp;CHOOSE(jezyk,n!A1435,n!B1435,n!C1435,n!D1433)</f>
        <v xml:space="preserve">   Zobowiązania z tytułu kredytów i pożyczek</v>
      </c>
      <c r="D103" s="1006"/>
      <c r="E103" s="1006"/>
      <c r="F103" s="1006"/>
      <c r="G103" s="1006"/>
      <c r="H103" s="1007"/>
      <c r="I103" s="1042">
        <f>Bilans!S76</f>
        <v>0</v>
      </c>
      <c r="J103" s="1042"/>
      <c r="K103" s="1042">
        <f>Bilans!T76</f>
        <v>0</v>
      </c>
      <c r="L103" s="1042"/>
    </row>
    <row r="104" spans="1:13" ht="15" customHeight="1">
      <c r="C104" s="995" t="str">
        <f>CHOOSE(jezyk,n!A1436,n!B1436,n!C1436,n!D1434)</f>
        <v>Zobowiązania z działalności operacyjnej</v>
      </c>
      <c r="D104" s="996"/>
      <c r="E104" s="996"/>
      <c r="F104" s="996"/>
      <c r="G104" s="996"/>
      <c r="H104" s="997"/>
      <c r="I104" s="994">
        <f>I89-I90-I94</f>
        <v>0</v>
      </c>
      <c r="J104" s="994"/>
      <c r="K104" s="994">
        <f>K89-K90-K94</f>
        <v>0</v>
      </c>
      <c r="L104" s="994"/>
      <c r="M104" s="65" t="str">
        <f>dzb</f>
        <v>31.12.2024</v>
      </c>
    </row>
    <row r="105" spans="1:13" ht="27" customHeight="1">
      <c r="C105" s="998" t="str">
        <f>CHOOSE(jezyk,n!A1437,n!B1437,n!C1437,n!D1435)</f>
        <v>Zmiana stanu zobowiązań</v>
      </c>
      <c r="D105" s="999"/>
      <c r="E105" s="999"/>
      <c r="F105" s="999"/>
      <c r="G105" s="999"/>
      <c r="H105" s="1000"/>
      <c r="I105" s="1001">
        <f>I104-K104</f>
        <v>0</v>
      </c>
      <c r="J105" s="1001"/>
      <c r="K105" s="990"/>
      <c r="L105" s="991"/>
      <c r="M105" s="224">
        <f>ROUND(I105-'CF mp'!I25,2)</f>
        <v>0</v>
      </c>
    </row>
    <row r="106" spans="1:13">
      <c r="C106" s="420"/>
      <c r="D106" s="420"/>
      <c r="L106" s="422"/>
    </row>
    <row r="107" spans="1:13" ht="21" customHeight="1">
      <c r="A107" s="72"/>
      <c r="C107" s="998" t="str">
        <f>CHOOSE(jezyk,n!A1438,n!B1438,n!C1438,n!D1436)</f>
        <v>A.II.9. Zmiana stanu rozliczeń międzyokresowych</v>
      </c>
      <c r="D107" s="999"/>
      <c r="E107" s="999"/>
      <c r="F107" s="999"/>
      <c r="G107" s="999"/>
      <c r="H107" s="1000"/>
      <c r="I107" s="993">
        <f>rok</f>
        <v>2024</v>
      </c>
      <c r="J107" s="993"/>
      <c r="K107" s="993">
        <f>K84</f>
        <v>2023</v>
      </c>
      <c r="L107" s="993"/>
      <c r="M107" s="131" t="str">
        <f>IF('CF mp'!I26&lt;&gt;Bilans!K64-Bilans!J64+Bilans!K131-Bilans!J131+Bilans!S94-Bilans!T94,"Wyjaśnij zmianę stanu","Nie ma konieczności wyjaśniania zmiany stanu, ukryj tę część tabeli")</f>
        <v>Nie ma konieczności wyjaśniania zmiany stanu, ukryj tę część tabeli</v>
      </c>
    </row>
    <row r="108" spans="1:13" ht="15" customHeight="1">
      <c r="C108" s="995" t="str">
        <f>CHOOSE(jezyk,n!A1439,n!B1439,n!C1439,n!D1437)</f>
        <v>Długoterminowe rozliczenia międzyokresowe czynne</v>
      </c>
      <c r="D108" s="996"/>
      <c r="E108" s="996"/>
      <c r="F108" s="996"/>
      <c r="G108" s="996"/>
      <c r="H108" s="997"/>
      <c r="I108" s="994">
        <f>Bilans!J64</f>
        <v>0</v>
      </c>
      <c r="J108" s="994"/>
      <c r="K108" s="994">
        <f>Bilans!K64</f>
        <v>0</v>
      </c>
      <c r="L108" s="994"/>
    </row>
    <row r="109" spans="1:13" ht="15" customHeight="1">
      <c r="C109" s="995" t="str">
        <f>CHOOSE(jezyk,n!A1440,n!B1440,n!C1440,n!D1438)</f>
        <v>Krótkoterminowe rozliczenia międzyokresowe czynne</v>
      </c>
      <c r="D109" s="996"/>
      <c r="E109" s="996"/>
      <c r="F109" s="996"/>
      <c r="G109" s="996"/>
      <c r="H109" s="997"/>
      <c r="I109" s="994">
        <f>Bilans!J131</f>
        <v>0</v>
      </c>
      <c r="J109" s="994"/>
      <c r="K109" s="994">
        <f>Bilans!K131</f>
        <v>0</v>
      </c>
      <c r="L109" s="994"/>
    </row>
    <row r="110" spans="1:13" ht="15" customHeight="1">
      <c r="C110" s="995" t="str">
        <f>CHOOSE(jezyk,n!A1412,n!B1412,n!C1412,n!D1410)</f>
        <v>w tym</v>
      </c>
      <c r="D110" s="996"/>
      <c r="E110" s="996"/>
      <c r="F110" s="996"/>
      <c r="G110" s="996"/>
      <c r="H110" s="996"/>
      <c r="I110" s="1002"/>
      <c r="J110" s="1002"/>
      <c r="K110" s="1002"/>
      <c r="L110" s="1003"/>
    </row>
    <row r="111" spans="1:13" ht="15" customHeight="1">
      <c r="A111" s="72"/>
      <c r="C111" s="1017" t="s">
        <v>6398</v>
      </c>
      <c r="D111" s="1018"/>
      <c r="E111" s="1018"/>
      <c r="F111" s="1018"/>
      <c r="G111" s="1018"/>
      <c r="H111" s="1019"/>
      <c r="I111" s="1011"/>
      <c r="J111" s="1012"/>
      <c r="K111" s="1011"/>
      <c r="L111" s="1012"/>
    </row>
    <row r="112" spans="1:13" ht="15" customHeight="1">
      <c r="A112" s="72"/>
      <c r="C112" s="995" t="str">
        <f>CHOOSE(jezyk,n!A1441,n!B1441,n!C1441,n!D1439)</f>
        <v>Razem rozliczenia międzyokresowe czynne po korekcie</v>
      </c>
      <c r="D112" s="996"/>
      <c r="E112" s="996"/>
      <c r="F112" s="996"/>
      <c r="G112" s="996"/>
      <c r="H112" s="997"/>
      <c r="I112" s="994">
        <f>SUM(I108:J109)-I111</f>
        <v>0</v>
      </c>
      <c r="J112" s="994"/>
      <c r="K112" s="994">
        <f>SUM(K108:L109)-K111</f>
        <v>0</v>
      </c>
      <c r="L112" s="994"/>
    </row>
    <row r="113" spans="1:22" ht="15" customHeight="1">
      <c r="C113" s="995" t="str">
        <f>CHOOSE(jezyk,n!A1443,n!B1443,n!C1443,n!D1441)</f>
        <v>1. Zmiana stanu</v>
      </c>
      <c r="D113" s="996"/>
      <c r="E113" s="996"/>
      <c r="F113" s="996"/>
      <c r="G113" s="996"/>
      <c r="H113" s="997"/>
      <c r="I113" s="994">
        <f>K112-I112</f>
        <v>0</v>
      </c>
      <c r="J113" s="994"/>
      <c r="K113" s="1031"/>
      <c r="L113" s="1031"/>
    </row>
    <row r="114" spans="1:22" ht="15" customHeight="1">
      <c r="C114" s="1005" t="str">
        <f>"   "&amp;CHOOSE(jezyk,n!A1444,n!B1444,n!C1444,n!D1442)</f>
        <v xml:space="preserve">   Ujemna wartość firmy</v>
      </c>
      <c r="D114" s="1006"/>
      <c r="E114" s="1006"/>
      <c r="F114" s="1006"/>
      <c r="G114" s="1006"/>
      <c r="H114" s="1007"/>
      <c r="I114" s="1043">
        <f>Bilans!S97</f>
        <v>0</v>
      </c>
      <c r="J114" s="1043"/>
      <c r="K114" s="1043">
        <f>Bilans!T97</f>
        <v>0</v>
      </c>
      <c r="L114" s="1043"/>
    </row>
    <row r="115" spans="1:22" ht="15" customHeight="1">
      <c r="C115" s="1005" t="str">
        <f>"   "&amp;CHOOSE(jezyk,n!A1445,n!B1445,n!C1445,n!D1443)</f>
        <v xml:space="preserve">   Długoterminowe rozliczenia międzyokresowe (pasywa)</v>
      </c>
      <c r="D115" s="1006"/>
      <c r="E115" s="1006"/>
      <c r="F115" s="1006"/>
      <c r="G115" s="1006"/>
      <c r="H115" s="1007"/>
      <c r="I115" s="1043">
        <f>Bilans!S99</f>
        <v>783526.04</v>
      </c>
      <c r="J115" s="1043"/>
      <c r="K115" s="1043">
        <f>Bilans!T99</f>
        <v>0</v>
      </c>
      <c r="L115" s="1043"/>
    </row>
    <row r="116" spans="1:22" ht="15" customHeight="1">
      <c r="C116" s="1005" t="str">
        <f>"   "&amp;CHOOSE(jezyk,n!A1446,n!B1446,n!C1446,n!D1444)</f>
        <v xml:space="preserve">   Krótkoterminowe rozliczenia międzyokresowe (pasywa)</v>
      </c>
      <c r="D116" s="1006"/>
      <c r="E116" s="1006"/>
      <c r="F116" s="1006"/>
      <c r="G116" s="1006"/>
      <c r="H116" s="1007"/>
      <c r="I116" s="1043">
        <f>Bilans!S100</f>
        <v>0</v>
      </c>
      <c r="J116" s="1043"/>
      <c r="K116" s="1043">
        <f>Bilans!T100</f>
        <v>0</v>
      </c>
      <c r="L116" s="1043"/>
    </row>
    <row r="117" spans="1:22" ht="15" customHeight="1">
      <c r="C117" s="995" t="str">
        <f>CHOOSE(jezyk,n!A1412,n!B1412,n!C1412,n!D1410)</f>
        <v>w tym</v>
      </c>
      <c r="D117" s="996"/>
      <c r="E117" s="996"/>
      <c r="F117" s="996"/>
      <c r="G117" s="996"/>
      <c r="H117" s="996"/>
      <c r="I117" s="1002"/>
      <c r="J117" s="1002"/>
      <c r="K117" s="1002"/>
      <c r="L117" s="1003"/>
    </row>
    <row r="118" spans="1:22" ht="15" customHeight="1">
      <c r="C118" s="1017" t="s">
        <v>6398</v>
      </c>
      <c r="D118" s="1018"/>
      <c r="E118" s="1018"/>
      <c r="F118" s="1018"/>
      <c r="G118" s="1018"/>
      <c r="H118" s="1019"/>
      <c r="I118" s="1011"/>
      <c r="J118" s="1012"/>
      <c r="K118" s="1011"/>
      <c r="L118" s="1012"/>
    </row>
    <row r="119" spans="1:22" ht="15" customHeight="1">
      <c r="A119" s="72"/>
      <c r="C119" s="995" t="str">
        <f>CHOOSE(jezyk,n!A1442,n!B1442,n!C1442,n!D1440)</f>
        <v>Razem rozliczenia międzyokresowe po korekcie</v>
      </c>
      <c r="D119" s="996"/>
      <c r="E119" s="996"/>
      <c r="F119" s="996"/>
      <c r="G119" s="996"/>
      <c r="H119" s="997"/>
      <c r="I119" s="994">
        <f>SUM(I114:J116)-I118</f>
        <v>783526.04</v>
      </c>
      <c r="J119" s="994"/>
      <c r="K119" s="994">
        <f>SUM(K114:L116)-K118</f>
        <v>0</v>
      </c>
      <c r="L119" s="994"/>
    </row>
    <row r="120" spans="1:22" ht="15" customHeight="1">
      <c r="C120" s="995" t="str">
        <f>CHOOSE(jezyk,n!A1448,n!B1448,n!C1448,n!D1444)</f>
        <v>2. Zmiana stanu</v>
      </c>
      <c r="D120" s="996"/>
      <c r="E120" s="996"/>
      <c r="F120" s="996"/>
      <c r="G120" s="996"/>
      <c r="H120" s="997"/>
      <c r="I120" s="994">
        <f>I119-K119</f>
        <v>783526.04</v>
      </c>
      <c r="J120" s="994"/>
      <c r="K120" s="990"/>
      <c r="L120" s="991"/>
      <c r="M120" s="65" t="str">
        <f>dzb</f>
        <v>31.12.2024</v>
      </c>
    </row>
    <row r="121" spans="1:22" ht="27" customHeight="1">
      <c r="C121" s="998" t="str">
        <f>CHOOSE(jezyk,n!A1449,n!B1449,n!C1449,n!D1447)</f>
        <v>Ogółem zmiana stanu rozliczeń międzyokresowych (1+2)</v>
      </c>
      <c r="D121" s="999"/>
      <c r="E121" s="999"/>
      <c r="F121" s="999"/>
      <c r="G121" s="999"/>
      <c r="H121" s="1000"/>
      <c r="I121" s="1001">
        <f>I113+I120</f>
        <v>783526.04</v>
      </c>
      <c r="J121" s="1001"/>
      <c r="K121" s="1048"/>
      <c r="L121" s="1049"/>
      <c r="M121" s="224">
        <f>ROUND(I121-'CF mp'!I26,2)</f>
        <v>783526.04</v>
      </c>
    </row>
    <row r="122" spans="1:22">
      <c r="C122" s="420"/>
      <c r="D122" s="35"/>
    </row>
    <row r="123" spans="1:22" ht="21" customHeight="1">
      <c r="C123" s="998" t="str">
        <f>CHOOSE(jezyk,n!A1450,n!B1450,n!C1450,n!D1448)</f>
        <v xml:space="preserve"> A. II. 10. Inne korekty</v>
      </c>
      <c r="D123" s="999"/>
      <c r="E123" s="999"/>
      <c r="F123" s="999"/>
      <c r="G123" s="999"/>
      <c r="H123" s="1000"/>
      <c r="I123" s="1046">
        <f>rok</f>
        <v>2024</v>
      </c>
      <c r="J123" s="1047"/>
      <c r="K123" s="993">
        <f>K107</f>
        <v>2023</v>
      </c>
      <c r="L123" s="993"/>
      <c r="M123" s="131" t="str">
        <f>IF('CF mp'!I27&lt;&gt;0,"Wyjaśnij zmianę stanu","Nie ma konieczności wyjaśniania zmiany stanu, ukryj tę część tabeli")</f>
        <v>Nie ma konieczności wyjaśniania zmiany stanu, ukryj tę część tabeli</v>
      </c>
    </row>
    <row r="124" spans="1:22" ht="24.95" customHeight="1">
      <c r="A124" s="72"/>
      <c r="C124" s="995" t="str">
        <f>CHOOSE(jezyk,n!A1451,n!B1451,n!C1451,n!D1449)</f>
        <v>Niepieniężne straty spowodowane zdarzeniami losowymi w składnikach działalności inwestycyjnej (plus)</v>
      </c>
      <c r="D124" s="996"/>
      <c r="E124" s="996"/>
      <c r="F124" s="996"/>
      <c r="G124" s="996"/>
      <c r="H124" s="997"/>
      <c r="I124" s="1044">
        <v>0</v>
      </c>
      <c r="J124" s="1045"/>
      <c r="K124" s="1032">
        <v>0</v>
      </c>
      <c r="L124" s="1032"/>
    </row>
    <row r="125" spans="1:22" ht="24.95" customHeight="1">
      <c r="A125" s="72"/>
      <c r="C125" s="995" t="str">
        <f>CHOOSE(jezyk,n!A1452,n!B1452,n!C1452,n!D1450)</f>
        <v>Niepieniężne zyski spowodowane zdarzeniami losowymi w składnikach działalności inwestycyjnej (minus)</v>
      </c>
      <c r="D125" s="996"/>
      <c r="E125" s="996"/>
      <c r="F125" s="996"/>
      <c r="G125" s="996"/>
      <c r="H125" s="997"/>
      <c r="I125" s="1044">
        <v>0</v>
      </c>
      <c r="J125" s="1045"/>
      <c r="K125" s="1032">
        <v>0</v>
      </c>
      <c r="L125" s="1032"/>
    </row>
    <row r="126" spans="1:22" ht="24.95" customHeight="1">
      <c r="A126" s="72"/>
      <c r="C126" s="995" t="str">
        <f>CHOOSE(jezyk,n!A1453,n!B1453,n!C1453,n!D1451)</f>
        <v>Odpisy netto z tytułu utraty wartości, korygujące wartość składników aktywów trwałych oraz krótkoterminowych aktywów finansowych (plus lub minus)</v>
      </c>
      <c r="D126" s="996"/>
      <c r="E126" s="996"/>
      <c r="F126" s="996"/>
      <c r="G126" s="996"/>
      <c r="H126" s="997"/>
      <c r="I126" s="1044">
        <v>0</v>
      </c>
      <c r="J126" s="1045"/>
      <c r="K126" s="1032">
        <v>0</v>
      </c>
      <c r="L126" s="1032"/>
    </row>
    <row r="127" spans="1:22" ht="24.95" customHeight="1">
      <c r="C127" s="995" t="str">
        <f>CHOOSE(jezyk,n!A1454,n!B1454,n!C1454,n!D1452)</f>
        <v>Umorzenie zaciągniętych kredytów i pożyczek i innych zobowiązań finansowych (minus)</v>
      </c>
      <c r="D127" s="996"/>
      <c r="E127" s="996"/>
      <c r="F127" s="996"/>
      <c r="G127" s="996"/>
      <c r="H127" s="997"/>
      <c r="I127" s="1044">
        <v>0</v>
      </c>
      <c r="J127" s="1045"/>
      <c r="K127" s="1032">
        <v>0</v>
      </c>
      <c r="L127" s="1032"/>
      <c r="U127" s="1046"/>
      <c r="V127" s="1047"/>
    </row>
    <row r="128" spans="1:22" ht="15" customHeight="1">
      <c r="C128" s="995" t="str">
        <f>CHOOSE(jezyk,n!A1455,n!B1455,n!C1455,n!D1453)</f>
        <v>Umorzenie udzielonych pożyczek długoterminowych (plus)</v>
      </c>
      <c r="D128" s="996"/>
      <c r="E128" s="996"/>
      <c r="F128" s="996"/>
      <c r="G128" s="996"/>
      <c r="H128" s="997"/>
      <c r="I128" s="1044">
        <v>0</v>
      </c>
      <c r="J128" s="1045"/>
      <c r="K128" s="1032">
        <v>0</v>
      </c>
      <c r="L128" s="1032"/>
    </row>
    <row r="129" spans="1:14" ht="24.95" customHeight="1">
      <c r="C129" s="995" t="str">
        <f>CHOOSE(jezyk,n!A1456,n!B1456,n!C1456,n!D1454)</f>
        <v>Odpisanie wartości środków trwałych w budowie, które nie dały efektu gospodarczego</v>
      </c>
      <c r="D129" s="996"/>
      <c r="E129" s="996"/>
      <c r="F129" s="996"/>
      <c r="G129" s="996"/>
      <c r="H129" s="997"/>
      <c r="I129" s="1044">
        <v>0</v>
      </c>
      <c r="J129" s="1045"/>
      <c r="K129" s="1032">
        <v>0</v>
      </c>
      <c r="L129" s="1032"/>
    </row>
    <row r="130" spans="1:14" ht="24.95" customHeight="1">
      <c r="A130" s="72"/>
      <c r="C130" s="995" t="str">
        <f>CHOOSE(jezyk,n!A1457,n!B1457,n!C1457,n!D1455)</f>
        <v>Dotacje w roku ich otrzymania, jeżeli wpłynęły w całości, odniesione na wyn. fin. bieżącego okresu</v>
      </c>
      <c r="D130" s="996"/>
      <c r="E130" s="996"/>
      <c r="F130" s="996"/>
      <c r="G130" s="996"/>
      <c r="H130" s="997"/>
      <c r="I130" s="1044">
        <v>0</v>
      </c>
      <c r="J130" s="1045"/>
      <c r="K130" s="1032">
        <v>0</v>
      </c>
      <c r="L130" s="1032"/>
    </row>
    <row r="131" spans="1:14" ht="15" customHeight="1">
      <c r="C131" s="995" t="str">
        <f>CHOOSE(jezyk,n!A1458,n!B1458,n!C1458,n!D1456)</f>
        <v>Pozostałe</v>
      </c>
      <c r="D131" s="996"/>
      <c r="E131" s="996"/>
      <c r="F131" s="996"/>
      <c r="G131" s="996"/>
      <c r="H131" s="997"/>
      <c r="I131" s="1044">
        <v>0</v>
      </c>
      <c r="J131" s="1045"/>
      <c r="K131" s="1032">
        <v>0</v>
      </c>
      <c r="L131" s="1032"/>
      <c r="M131" s="65" t="str">
        <f>dzb</f>
        <v>31.12.2024</v>
      </c>
    </row>
    <row r="132" spans="1:14" ht="15" customHeight="1">
      <c r="C132" s="995" t="str">
        <f>CHOOSE(jezyk,n!A1459,n!B1459,n!C1459,n!D1457)</f>
        <v>Razem</v>
      </c>
      <c r="D132" s="996"/>
      <c r="E132" s="996"/>
      <c r="F132" s="996"/>
      <c r="G132" s="996"/>
      <c r="H132" s="997"/>
      <c r="I132" s="1054">
        <f>SUM(I124:J131)</f>
        <v>0</v>
      </c>
      <c r="J132" s="1055"/>
      <c r="K132" s="994">
        <f>SUM(K124:L131)</f>
        <v>0</v>
      </c>
      <c r="L132" s="994"/>
      <c r="M132" s="224">
        <f>ROUND(I132-'CF mp'!I27,2)</f>
        <v>0</v>
      </c>
    </row>
    <row r="133" spans="1:14">
      <c r="C133" s="420"/>
      <c r="D133" s="35"/>
    </row>
    <row r="134" spans="1:14" ht="24.75" customHeight="1">
      <c r="C134" s="998" t="str">
        <f>CHOOSE(jezyk,n!A1461,n!B1461,n!C1461,n!D1459)</f>
        <v xml:space="preserve">E. Bilansowa zmiana środków pieniężnych </v>
      </c>
      <c r="D134" s="999"/>
      <c r="E134" s="999"/>
      <c r="F134" s="999"/>
      <c r="G134" s="999"/>
      <c r="H134" s="1000"/>
      <c r="I134" s="1046">
        <f>rok</f>
        <v>2024</v>
      </c>
      <c r="J134" s="1047"/>
      <c r="K134" s="1046">
        <f>K123</f>
        <v>2023</v>
      </c>
      <c r="L134" s="1047"/>
    </row>
    <row r="135" spans="1:14" ht="15" customHeight="1">
      <c r="C135" s="995" t="str">
        <f>CHOOSE(jezyk,n!A1462,n!B1462,n!C1462,n!D1460)</f>
        <v xml:space="preserve">Środki pieniężne w kasie </v>
      </c>
      <c r="D135" s="996"/>
      <c r="E135" s="996"/>
      <c r="F135" s="996"/>
      <c r="G135" s="996"/>
      <c r="H135" s="997"/>
      <c r="I135" s="1044">
        <v>0</v>
      </c>
      <c r="J135" s="1045"/>
      <c r="K135" s="1032">
        <v>0</v>
      </c>
      <c r="L135" s="1032"/>
    </row>
    <row r="136" spans="1:14" ht="15" customHeight="1">
      <c r="C136" s="995" t="str">
        <f>CHOOSE(jezyk,n!A1463,n!B1463,n!C1463,n!D1461)</f>
        <v>Środki pieniężne na rachunkach bankowych</v>
      </c>
      <c r="D136" s="996"/>
      <c r="E136" s="996"/>
      <c r="F136" s="996"/>
      <c r="G136" s="996"/>
      <c r="H136" s="997"/>
      <c r="I136" s="1044">
        <v>0</v>
      </c>
      <c r="J136" s="1045"/>
      <c r="K136" s="1032">
        <v>0</v>
      </c>
      <c r="L136" s="1032"/>
    </row>
    <row r="137" spans="1:14" ht="15" customHeight="1">
      <c r="C137" s="995" t="str">
        <f>CHOOSE(jezyk,n!A1464,n!B1464,n!C1464,n!D1462)</f>
        <v>Lokaty bankowe do 3 miesięcy</v>
      </c>
      <c r="D137" s="996"/>
      <c r="E137" s="996"/>
      <c r="F137" s="996"/>
      <c r="G137" s="996"/>
      <c r="H137" s="997"/>
      <c r="I137" s="1044">
        <v>0</v>
      </c>
      <c r="J137" s="1045"/>
      <c r="K137" s="1032">
        <v>0</v>
      </c>
      <c r="L137" s="1032"/>
    </row>
    <row r="138" spans="1:14" ht="15" customHeight="1">
      <c r="C138" s="995" t="str">
        <f>CHOOSE(jezyk,n!A1465,n!B1465,n!C1465,n!D1463)</f>
        <v>Ekwiwalenty środków pieniężnych, w tym:</v>
      </c>
      <c r="D138" s="996"/>
      <c r="E138" s="996"/>
      <c r="F138" s="996"/>
      <c r="G138" s="996"/>
      <c r="H138" s="997"/>
      <c r="I138" s="1054">
        <f>I139+I140+I141</f>
        <v>0</v>
      </c>
      <c r="J138" s="1055"/>
      <c r="K138" s="994">
        <f>K139+K140+K141</f>
        <v>0</v>
      </c>
      <c r="L138" s="994"/>
    </row>
    <row r="139" spans="1:14" ht="15" customHeight="1">
      <c r="C139" s="1020" t="str">
        <f>"   "&amp;CHOOSE(jezyk,n!A1466,n!B1466,n!C1466,n!D1464)</f>
        <v xml:space="preserve">   –  czeki,</v>
      </c>
      <c r="D139" s="1021"/>
      <c r="E139" s="1021"/>
      <c r="F139" s="1021"/>
      <c r="G139" s="1021"/>
      <c r="H139" s="1022"/>
      <c r="I139" s="1058">
        <v>0</v>
      </c>
      <c r="J139" s="1059"/>
      <c r="K139" s="1009">
        <v>0</v>
      </c>
      <c r="L139" s="1009"/>
    </row>
    <row r="140" spans="1:14" ht="15" customHeight="1">
      <c r="C140" s="1005" t="str">
        <f>"   "&amp;CHOOSE(jezyk,n!A1467,n!B1467,n!C1467,n!D1465)</f>
        <v xml:space="preserve">   –  weksle,</v>
      </c>
      <c r="D140" s="1006"/>
      <c r="E140" s="1006"/>
      <c r="F140" s="1006"/>
      <c r="G140" s="1006"/>
      <c r="H140" s="1007"/>
      <c r="I140" s="1011">
        <v>0</v>
      </c>
      <c r="J140" s="1012"/>
      <c r="K140" s="1010">
        <v>0</v>
      </c>
      <c r="L140" s="1010"/>
    </row>
    <row r="141" spans="1:14" ht="15" customHeight="1">
      <c r="C141" s="1024" t="str">
        <f>"   "&amp;CHOOSE(jezyk,n!A1468,n!B1468,n!C1468,n!D1466)</f>
        <v xml:space="preserve">   –  inne</v>
      </c>
      <c r="D141" s="1025"/>
      <c r="E141" s="1025"/>
      <c r="F141" s="1025"/>
      <c r="G141" s="1025"/>
      <c r="H141" s="1026"/>
      <c r="I141" s="1060">
        <v>0</v>
      </c>
      <c r="J141" s="1061"/>
      <c r="K141" s="1008">
        <v>0</v>
      </c>
      <c r="L141" s="1008"/>
      <c r="M141" s="65" t="str">
        <f>dzb</f>
        <v>31.12.2024</v>
      </c>
      <c r="N141" s="65" t="str">
        <f>pdz</f>
        <v>31.12.2023</v>
      </c>
    </row>
    <row r="142" spans="1:14" ht="15" customHeight="1">
      <c r="C142" s="995" t="str">
        <f>CHOOSE(jezyk,n!A1469,n!B1469,n!C1469,n!D1467)</f>
        <v>Razem środki pieniężne oraz ekwiwalenty środków pieniężnych</v>
      </c>
      <c r="D142" s="996"/>
      <c r="E142" s="996"/>
      <c r="F142" s="996"/>
      <c r="G142" s="996"/>
      <c r="H142" s="997"/>
      <c r="I142" s="1054">
        <f>I135+I136+I137+I138</f>
        <v>0</v>
      </c>
      <c r="J142" s="1055"/>
      <c r="K142" s="994">
        <f>K135+K136+K137+K138</f>
        <v>0</v>
      </c>
      <c r="L142" s="994"/>
      <c r="M142" s="224">
        <f>ROUND(I142-Bilans!J127,2)</f>
        <v>0</v>
      </c>
      <c r="N142" s="224">
        <f>ROUND(K142-Bilans!K127,2)</f>
        <v>0</v>
      </c>
    </row>
    <row r="143" spans="1:14" ht="24.95" customHeight="1">
      <c r="C143" s="995" t="str">
        <f>CHOOSE(jezyk,n!A1470,n!B1470,n!C1470,n!D1468)</f>
        <v>Zmiana środków pieniężnych oraz ekwiwalentów środków pieniężnych</v>
      </c>
      <c r="D143" s="996"/>
      <c r="E143" s="996"/>
      <c r="F143" s="996"/>
      <c r="G143" s="996"/>
      <c r="H143" s="997"/>
      <c r="I143" s="1056">
        <f>I142-K142</f>
        <v>0</v>
      </c>
      <c r="J143" s="1057"/>
      <c r="K143" s="852"/>
      <c r="L143" s="852"/>
    </row>
    <row r="144" spans="1:14" ht="15" customHeight="1">
      <c r="C144" s="995" t="str">
        <f>CHOOSE(jezyk,n!A1471,n!B1471,n!C1471,n!D1469)</f>
        <v>Wycena bilansowa środków pieniężnych</v>
      </c>
      <c r="D144" s="996"/>
      <c r="E144" s="996"/>
      <c r="F144" s="996"/>
      <c r="G144" s="996"/>
      <c r="H144" s="997"/>
      <c r="I144" s="1044">
        <v>0</v>
      </c>
      <c r="J144" s="1045"/>
      <c r="K144" s="1032">
        <v>0</v>
      </c>
      <c r="L144" s="1032"/>
    </row>
    <row r="145" spans="1:13" ht="15" customHeight="1">
      <c r="A145" s="72"/>
      <c r="C145" s="995" t="str">
        <f>CHOOSE(jezyk,n!A1472,n!B1472,n!C1472,n!D1470)</f>
        <v>Zmiana stanu środków pieniężnych z tytułu różnic kursowych</v>
      </c>
      <c r="D145" s="996"/>
      <c r="E145" s="996"/>
      <c r="F145" s="996"/>
      <c r="G145" s="996"/>
      <c r="H145" s="997"/>
      <c r="I145" s="1054">
        <f>K144-I144</f>
        <v>0</v>
      </c>
      <c r="J145" s="1055"/>
      <c r="K145" s="1050"/>
      <c r="L145" s="1051"/>
    </row>
    <row r="146" spans="1:13" ht="15" customHeight="1">
      <c r="C146" s="995" t="str">
        <f>CHOOSE(jezyk,n!A1473,n!B1473,n!C1473,n!D1471)</f>
        <v>Środki pieniężne o ograniczonej możliwości dysponowania</v>
      </c>
      <c r="D146" s="996"/>
      <c r="E146" s="996"/>
      <c r="F146" s="996"/>
      <c r="G146" s="996"/>
      <c r="H146" s="997"/>
      <c r="I146" s="1044">
        <f>'CF mp'!I93</f>
        <v>0</v>
      </c>
      <c r="J146" s="1045"/>
      <c r="K146" s="1052"/>
      <c r="L146" s="1053"/>
      <c r="M146" s="227"/>
    </row>
  </sheetData>
  <mergeCells count="358">
    <mergeCell ref="I45:J45"/>
    <mergeCell ref="C46:H46"/>
    <mergeCell ref="C47:H47"/>
    <mergeCell ref="C48:H48"/>
    <mergeCell ref="C49:H49"/>
    <mergeCell ref="C50:H50"/>
    <mergeCell ref="C51:H51"/>
    <mergeCell ref="C52:H52"/>
    <mergeCell ref="C53:H53"/>
    <mergeCell ref="I49:J49"/>
    <mergeCell ref="I48:J48"/>
    <mergeCell ref="I47:J47"/>
    <mergeCell ref="I46:J46"/>
    <mergeCell ref="I50:J50"/>
    <mergeCell ref="I53:J53"/>
    <mergeCell ref="I52:J52"/>
    <mergeCell ref="I51:J51"/>
    <mergeCell ref="C45:H45"/>
    <mergeCell ref="I30:J30"/>
    <mergeCell ref="I31:J31"/>
    <mergeCell ref="I32:J32"/>
    <mergeCell ref="K39:L39"/>
    <mergeCell ref="K40:L40"/>
    <mergeCell ref="K41:L41"/>
    <mergeCell ref="K42:L42"/>
    <mergeCell ref="K43:L43"/>
    <mergeCell ref="I37:J37"/>
    <mergeCell ref="I38:J38"/>
    <mergeCell ref="I39:J39"/>
    <mergeCell ref="I40:J40"/>
    <mergeCell ref="I41:J41"/>
    <mergeCell ref="I42:J42"/>
    <mergeCell ref="I43:J43"/>
    <mergeCell ref="K89:L89"/>
    <mergeCell ref="K93:L93"/>
    <mergeCell ref="K94:L94"/>
    <mergeCell ref="K95:L95"/>
    <mergeCell ref="K90:L90"/>
    <mergeCell ref="K91:L91"/>
    <mergeCell ref="K92:L92"/>
    <mergeCell ref="C31:H31"/>
    <mergeCell ref="C32:H32"/>
    <mergeCell ref="C33:H33"/>
    <mergeCell ref="C34:H34"/>
    <mergeCell ref="C35:H35"/>
    <mergeCell ref="I34:J34"/>
    <mergeCell ref="K34:L34"/>
    <mergeCell ref="K35:L35"/>
    <mergeCell ref="K45:L45"/>
    <mergeCell ref="K46:L46"/>
    <mergeCell ref="K47:L47"/>
    <mergeCell ref="K48:L48"/>
    <mergeCell ref="K49:L49"/>
    <mergeCell ref="K50:L50"/>
    <mergeCell ref="K51:L51"/>
    <mergeCell ref="K52:L52"/>
    <mergeCell ref="K53:L53"/>
    <mergeCell ref="C19:L19"/>
    <mergeCell ref="C17:L17"/>
    <mergeCell ref="C8:L8"/>
    <mergeCell ref="B1:L1"/>
    <mergeCell ref="B4:L4"/>
    <mergeCell ref="C15:L15"/>
    <mergeCell ref="C16:L16"/>
    <mergeCell ref="B12:L12"/>
    <mergeCell ref="C18:L18"/>
    <mergeCell ref="C10:L10"/>
    <mergeCell ref="C6:L6"/>
    <mergeCell ref="U127:V127"/>
    <mergeCell ref="I135:J135"/>
    <mergeCell ref="I136:J136"/>
    <mergeCell ref="I137:J137"/>
    <mergeCell ref="I138:J138"/>
    <mergeCell ref="I139:J139"/>
    <mergeCell ref="I140:J140"/>
    <mergeCell ref="I141:J141"/>
    <mergeCell ref="K135:L135"/>
    <mergeCell ref="K136:L136"/>
    <mergeCell ref="K137:L137"/>
    <mergeCell ref="K138:L138"/>
    <mergeCell ref="K139:L139"/>
    <mergeCell ref="K140:L140"/>
    <mergeCell ref="K141:L141"/>
    <mergeCell ref="I131:J131"/>
    <mergeCell ref="I132:J132"/>
    <mergeCell ref="K131:L131"/>
    <mergeCell ref="K132:L132"/>
    <mergeCell ref="I134:J134"/>
    <mergeCell ref="I128:J128"/>
    <mergeCell ref="I129:J129"/>
    <mergeCell ref="I130:J130"/>
    <mergeCell ref="K142:L142"/>
    <mergeCell ref="K143:L143"/>
    <mergeCell ref="K144:L144"/>
    <mergeCell ref="K145:L145"/>
    <mergeCell ref="K146:L146"/>
    <mergeCell ref="K134:L134"/>
    <mergeCell ref="I146:J146"/>
    <mergeCell ref="C135:H135"/>
    <mergeCell ref="C136:H136"/>
    <mergeCell ref="C137:H137"/>
    <mergeCell ref="C138:H138"/>
    <mergeCell ref="I142:J142"/>
    <mergeCell ref="I143:J143"/>
    <mergeCell ref="I144:J144"/>
    <mergeCell ref="I145:J145"/>
    <mergeCell ref="C139:H139"/>
    <mergeCell ref="C140:H140"/>
    <mergeCell ref="C141:H141"/>
    <mergeCell ref="C142:H142"/>
    <mergeCell ref="C143:H143"/>
    <mergeCell ref="C144:H144"/>
    <mergeCell ref="C145:H145"/>
    <mergeCell ref="C146:H146"/>
    <mergeCell ref="C134:H134"/>
    <mergeCell ref="K124:L124"/>
    <mergeCell ref="K125:L125"/>
    <mergeCell ref="K126:L126"/>
    <mergeCell ref="K127:L127"/>
    <mergeCell ref="K128:L128"/>
    <mergeCell ref="K129:L129"/>
    <mergeCell ref="K130:L130"/>
    <mergeCell ref="I116:J116"/>
    <mergeCell ref="I119:J119"/>
    <mergeCell ref="I118:J118"/>
    <mergeCell ref="K119:L119"/>
    <mergeCell ref="K123:L123"/>
    <mergeCell ref="I124:J124"/>
    <mergeCell ref="I125:J125"/>
    <mergeCell ref="I126:J126"/>
    <mergeCell ref="I127:J127"/>
    <mergeCell ref="I123:J123"/>
    <mergeCell ref="I121:J121"/>
    <mergeCell ref="K120:L120"/>
    <mergeCell ref="I120:J120"/>
    <mergeCell ref="K121:L121"/>
    <mergeCell ref="K116:L116"/>
    <mergeCell ref="K118:L118"/>
    <mergeCell ref="K117:L117"/>
    <mergeCell ref="K113:L113"/>
    <mergeCell ref="K114:L114"/>
    <mergeCell ref="K115:L115"/>
    <mergeCell ref="I107:J107"/>
    <mergeCell ref="I108:J108"/>
    <mergeCell ref="I109:J109"/>
    <mergeCell ref="I112:J112"/>
    <mergeCell ref="I113:J113"/>
    <mergeCell ref="I114:J114"/>
    <mergeCell ref="I115:J115"/>
    <mergeCell ref="K112:L112"/>
    <mergeCell ref="K111:L111"/>
    <mergeCell ref="I103:J103"/>
    <mergeCell ref="I104:J104"/>
    <mergeCell ref="I105:J105"/>
    <mergeCell ref="I100:J100"/>
    <mergeCell ref="K102:L102"/>
    <mergeCell ref="K103:L103"/>
    <mergeCell ref="K104:L104"/>
    <mergeCell ref="K105:L105"/>
    <mergeCell ref="K100:L100"/>
    <mergeCell ref="K101:L101"/>
    <mergeCell ref="C28:H28"/>
    <mergeCell ref="I58:J58"/>
    <mergeCell ref="I59:J59"/>
    <mergeCell ref="I60:J60"/>
    <mergeCell ref="I61:J61"/>
    <mergeCell ref="I62:J62"/>
    <mergeCell ref="C54:H54"/>
    <mergeCell ref="C55:H55"/>
    <mergeCell ref="C56:H56"/>
    <mergeCell ref="I56:J56"/>
    <mergeCell ref="I55:J55"/>
    <mergeCell ref="I54:J54"/>
    <mergeCell ref="C36:H36"/>
    <mergeCell ref="C38:H38"/>
    <mergeCell ref="C39:H39"/>
    <mergeCell ref="C37:H37"/>
    <mergeCell ref="C40:H40"/>
    <mergeCell ref="C41:H41"/>
    <mergeCell ref="C42:H42"/>
    <mergeCell ref="C43:H43"/>
    <mergeCell ref="I36:J36"/>
    <mergeCell ref="I33:J33"/>
    <mergeCell ref="I35:J35"/>
    <mergeCell ref="C30:H30"/>
    <mergeCell ref="K28:L28"/>
    <mergeCell ref="I23:J23"/>
    <mergeCell ref="I24:J24"/>
    <mergeCell ref="I25:J25"/>
    <mergeCell ref="I26:J26"/>
    <mergeCell ref="I27:J27"/>
    <mergeCell ref="I28:J28"/>
    <mergeCell ref="K63:L63"/>
    <mergeCell ref="I63:J63"/>
    <mergeCell ref="K58:L58"/>
    <mergeCell ref="K59:L59"/>
    <mergeCell ref="K60:L60"/>
    <mergeCell ref="K61:L61"/>
    <mergeCell ref="K62:L62"/>
    <mergeCell ref="K54:L54"/>
    <mergeCell ref="K55:L55"/>
    <mergeCell ref="K56:L56"/>
    <mergeCell ref="K30:L30"/>
    <mergeCell ref="K31:L31"/>
    <mergeCell ref="K32:L32"/>
    <mergeCell ref="K33:L33"/>
    <mergeCell ref="K36:L36"/>
    <mergeCell ref="K37:L37"/>
    <mergeCell ref="K38:L38"/>
    <mergeCell ref="C23:H23"/>
    <mergeCell ref="C24:H24"/>
    <mergeCell ref="C25:H25"/>
    <mergeCell ref="C26:H26"/>
    <mergeCell ref="C27:H27"/>
    <mergeCell ref="I21:J22"/>
    <mergeCell ref="K21:L22"/>
    <mergeCell ref="K23:L23"/>
    <mergeCell ref="K24:L24"/>
    <mergeCell ref="K25:L25"/>
    <mergeCell ref="K26:L26"/>
    <mergeCell ref="K27:L27"/>
    <mergeCell ref="C58:H58"/>
    <mergeCell ref="C63:H63"/>
    <mergeCell ref="C72:H72"/>
    <mergeCell ref="C82:H82"/>
    <mergeCell ref="C73:H73"/>
    <mergeCell ref="C74:H74"/>
    <mergeCell ref="C75:H75"/>
    <mergeCell ref="C76:H76"/>
    <mergeCell ref="C77:H77"/>
    <mergeCell ref="C78:H78"/>
    <mergeCell ref="C79:H79"/>
    <mergeCell ref="C80:H80"/>
    <mergeCell ref="C81:H81"/>
    <mergeCell ref="C88:H88"/>
    <mergeCell ref="C89:H89"/>
    <mergeCell ref="C90:H90"/>
    <mergeCell ref="C91:H91"/>
    <mergeCell ref="C92:H92"/>
    <mergeCell ref="C93:H93"/>
    <mergeCell ref="C59:H59"/>
    <mergeCell ref="C60:H60"/>
    <mergeCell ref="C61:H61"/>
    <mergeCell ref="C62:H62"/>
    <mergeCell ref="C94:H94"/>
    <mergeCell ref="C95:H95"/>
    <mergeCell ref="C119:H119"/>
    <mergeCell ref="C84:H84"/>
    <mergeCell ref="C125:H125"/>
    <mergeCell ref="C126:H126"/>
    <mergeCell ref="C127:H127"/>
    <mergeCell ref="C128:H128"/>
    <mergeCell ref="C129:H129"/>
    <mergeCell ref="C103:H103"/>
    <mergeCell ref="C104:H104"/>
    <mergeCell ref="C108:H108"/>
    <mergeCell ref="C109:H109"/>
    <mergeCell ref="C112:H112"/>
    <mergeCell ref="C113:H113"/>
    <mergeCell ref="C105:H105"/>
    <mergeCell ref="C96:H96"/>
    <mergeCell ref="C97:H97"/>
    <mergeCell ref="C98:H98"/>
    <mergeCell ref="C99:H99"/>
    <mergeCell ref="C100:H100"/>
    <mergeCell ref="C85:H85"/>
    <mergeCell ref="C86:H86"/>
    <mergeCell ref="C87:H87"/>
    <mergeCell ref="C130:H130"/>
    <mergeCell ref="C131:H131"/>
    <mergeCell ref="C132:H132"/>
    <mergeCell ref="I65:J65"/>
    <mergeCell ref="C117:H117"/>
    <mergeCell ref="I117:J117"/>
    <mergeCell ref="C120:H120"/>
    <mergeCell ref="C114:H114"/>
    <mergeCell ref="C115:H115"/>
    <mergeCell ref="C116:H116"/>
    <mergeCell ref="C107:H107"/>
    <mergeCell ref="C65:H65"/>
    <mergeCell ref="C118:H118"/>
    <mergeCell ref="C121:H121"/>
    <mergeCell ref="C124:H124"/>
    <mergeCell ref="C123:H123"/>
    <mergeCell ref="I101:J101"/>
    <mergeCell ref="I94:J94"/>
    <mergeCell ref="I95:J95"/>
    <mergeCell ref="C111:H111"/>
    <mergeCell ref="I111:J111"/>
    <mergeCell ref="I96:J96"/>
    <mergeCell ref="I97:J97"/>
    <mergeCell ref="I98:J98"/>
    <mergeCell ref="K65:L65"/>
    <mergeCell ref="C66:H66"/>
    <mergeCell ref="I66:J66"/>
    <mergeCell ref="K66:L66"/>
    <mergeCell ref="C67:H67"/>
    <mergeCell ref="I67:J67"/>
    <mergeCell ref="K67:L67"/>
    <mergeCell ref="C68:H68"/>
    <mergeCell ref="I68:J68"/>
    <mergeCell ref="K68:L68"/>
    <mergeCell ref="K72:L72"/>
    <mergeCell ref="K73:L73"/>
    <mergeCell ref="K74:L74"/>
    <mergeCell ref="K75:L75"/>
    <mergeCell ref="K76:L76"/>
    <mergeCell ref="K77:L77"/>
    <mergeCell ref="K78:L78"/>
    <mergeCell ref="K79:L79"/>
    <mergeCell ref="K80:L80"/>
    <mergeCell ref="I99:J99"/>
    <mergeCell ref="I72:J72"/>
    <mergeCell ref="I73:J73"/>
    <mergeCell ref="I74:J74"/>
    <mergeCell ref="I75:J75"/>
    <mergeCell ref="I76:J76"/>
    <mergeCell ref="I77:J77"/>
    <mergeCell ref="I78:J78"/>
    <mergeCell ref="I79:J79"/>
    <mergeCell ref="I89:J89"/>
    <mergeCell ref="I90:J90"/>
    <mergeCell ref="K69:L69"/>
    <mergeCell ref="C69:H69"/>
    <mergeCell ref="I69:J69"/>
    <mergeCell ref="C70:H70"/>
    <mergeCell ref="I70:J70"/>
    <mergeCell ref="C110:H110"/>
    <mergeCell ref="I110:J110"/>
    <mergeCell ref="K110:L110"/>
    <mergeCell ref="I80:J80"/>
    <mergeCell ref="C101:H101"/>
    <mergeCell ref="C102:H102"/>
    <mergeCell ref="I93:J93"/>
    <mergeCell ref="I91:J91"/>
    <mergeCell ref="I92:J92"/>
    <mergeCell ref="K107:L107"/>
    <mergeCell ref="K108:L108"/>
    <mergeCell ref="K109:L109"/>
    <mergeCell ref="K97:L97"/>
    <mergeCell ref="K98:L98"/>
    <mergeCell ref="K96:L96"/>
    <mergeCell ref="K99:L99"/>
    <mergeCell ref="K84:L84"/>
    <mergeCell ref="K85:L85"/>
    <mergeCell ref="I102:J102"/>
    <mergeCell ref="K81:L81"/>
    <mergeCell ref="K82:L82"/>
    <mergeCell ref="I81:J81"/>
    <mergeCell ref="I82:J82"/>
    <mergeCell ref="I84:J84"/>
    <mergeCell ref="I85:J85"/>
    <mergeCell ref="I86:J86"/>
    <mergeCell ref="I87:J87"/>
    <mergeCell ref="I88:J88"/>
    <mergeCell ref="K86:L86"/>
    <mergeCell ref="K87:L87"/>
    <mergeCell ref="K88:L88"/>
  </mergeCells>
  <hyperlinks>
    <hyperlink ref="B1:L1" location="'spis treści'!A1" display="SPIS TREŚCI" xr:uid="{00000000-0004-0000-2A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3,4</oddFooter>
  </headerFooter>
  <rowBreaks count="4" manualBreakCount="4">
    <brk id="43" min="1" max="11" man="1"/>
    <brk id="82" max="16383" man="1"/>
    <brk id="121" min="1" max="11" man="1"/>
    <brk id="147" min="1" max="1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2"/>
  <dimension ref="B7:G30"/>
  <sheetViews>
    <sheetView showGridLines="0" view="pageBreakPreview" zoomScaleNormal="100" workbookViewId="0"/>
  </sheetViews>
  <sheetFormatPr defaultColWidth="9.140625" defaultRowHeight="12.75"/>
  <cols>
    <col min="1" max="1" width="9.140625" style="66"/>
    <col min="2" max="2" width="77.85546875" style="441" customWidth="1"/>
    <col min="3" max="16384" width="9.140625" style="66"/>
  </cols>
  <sheetData>
    <row r="7" spans="2:7">
      <c r="B7" s="439" t="s">
        <v>254</v>
      </c>
      <c r="G7" s="243"/>
    </row>
    <row r="10" spans="2:7" ht="38.25">
      <c r="B10" s="440" t="s">
        <v>1316</v>
      </c>
    </row>
    <row r="12" spans="2:7">
      <c r="B12" s="440" t="s">
        <v>2454</v>
      </c>
    </row>
    <row r="14" spans="2:7" ht="38.25">
      <c r="B14" s="441" t="s">
        <v>1317</v>
      </c>
      <c r="G14" s="328"/>
    </row>
    <row r="15" spans="2:7">
      <c r="G15" s="328"/>
    </row>
    <row r="16" spans="2:7" ht="38.25">
      <c r="B16" s="441" t="s">
        <v>1318</v>
      </c>
      <c r="G16" s="328"/>
    </row>
    <row r="18" spans="2:2" ht="76.5" customHeight="1">
      <c r="B18" s="441" t="s">
        <v>1319</v>
      </c>
    </row>
    <row r="20" spans="2:2" ht="38.25">
      <c r="B20" s="441" t="s">
        <v>340</v>
      </c>
    </row>
    <row r="22" spans="2:2" ht="25.5">
      <c r="B22" s="441" t="s">
        <v>249</v>
      </c>
    </row>
    <row r="23" spans="2:2">
      <c r="B23" s="441" t="s">
        <v>250</v>
      </c>
    </row>
    <row r="24" spans="2:2">
      <c r="B24" s="441" t="s">
        <v>251</v>
      </c>
    </row>
    <row r="25" spans="2:2">
      <c r="B25" s="441" t="s">
        <v>2977</v>
      </c>
    </row>
    <row r="26" spans="2:2">
      <c r="B26" s="441" t="s">
        <v>341</v>
      </c>
    </row>
    <row r="28" spans="2:2" ht="51">
      <c r="B28" s="441" t="s">
        <v>252</v>
      </c>
    </row>
    <row r="30" spans="2:2" ht="51">
      <c r="B30" s="441" t="s">
        <v>253</v>
      </c>
    </row>
  </sheetData>
  <phoneticPr fontId="30" type="noConversion"/>
  <pageMargins left="0.74803149606299213" right="0.74803149606299213" top="0.98425196850393704" bottom="0.98425196850393704" header="0.51181102362204722" footer="0.5118110236220472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25">
    <pageSetUpPr fitToPage="1"/>
  </sheetPr>
  <dimension ref="A1:M63"/>
  <sheetViews>
    <sheetView showGridLines="0" view="pageBreakPreview" topLeftCell="A23" zoomScaleNormal="100" zoomScaleSheetLayoutView="100" workbookViewId="0">
      <selection activeCell="I33" sqref="I33:J33"/>
    </sheetView>
  </sheetViews>
  <sheetFormatPr defaultColWidth="9.140625" defaultRowHeight="12.75"/>
  <cols>
    <col min="1" max="1" width="20" style="66" bestFit="1" customWidth="1"/>
    <col min="2" max="2" width="5" style="72" customWidth="1"/>
    <col min="3" max="8" width="9.140625" style="66"/>
    <col min="9" max="9" width="9.85546875" style="66" customWidth="1"/>
    <col min="10" max="10" width="9.140625" style="66"/>
    <col min="11" max="11" width="19.42578125" style="66" customWidth="1"/>
    <col min="12" max="12" width="9.28515625" style="66"/>
    <col min="13" max="16384" width="9.140625" style="66"/>
  </cols>
  <sheetData>
    <row r="1" spans="1:12">
      <c r="B1" s="773" t="s">
        <v>1257</v>
      </c>
      <c r="C1" s="773"/>
      <c r="D1" s="773"/>
      <c r="E1" s="773"/>
      <c r="F1" s="773"/>
      <c r="G1" s="773"/>
      <c r="H1" s="773"/>
      <c r="I1" s="773"/>
      <c r="J1" s="773"/>
      <c r="K1" s="773"/>
      <c r="L1" s="773"/>
    </row>
    <row r="2" spans="1:12">
      <c r="B2" s="393" t="str">
        <f>nazwa_spolki</f>
        <v>Rhenus Digital Workforce Sp. z o.o.</v>
      </c>
      <c r="C2" s="397"/>
      <c r="D2" s="397"/>
      <c r="E2" s="397"/>
      <c r="F2" s="397"/>
      <c r="G2" s="397"/>
      <c r="H2" s="397"/>
      <c r="I2" s="397"/>
      <c r="J2" s="397"/>
      <c r="K2" s="397"/>
      <c r="L2" s="397"/>
    </row>
    <row r="3" spans="1:12" ht="45.95" customHeight="1">
      <c r="B3" s="130" t="str">
        <f>tytul</f>
        <v>Sprawozdanie finansowe sporządzone za rok obrotowy 2024</v>
      </c>
      <c r="C3" s="397"/>
      <c r="D3" s="397"/>
      <c r="E3" s="397"/>
      <c r="F3" s="397"/>
      <c r="G3" s="397"/>
      <c r="H3" s="397"/>
      <c r="I3" s="397"/>
      <c r="J3" s="397"/>
      <c r="K3" s="397"/>
      <c r="L3" s="397"/>
    </row>
    <row r="4" spans="1:12" s="180" customFormat="1" ht="20.25">
      <c r="B4" s="800" t="str">
        <f>"5. "&amp;CHOOSE(jezyk,n!A613,n!B613,n!C613,n!D611)</f>
        <v>5. DODATKOWE INFORMACJE I OBJAŚNIENIA</v>
      </c>
      <c r="C4" s="800"/>
      <c r="D4" s="800"/>
      <c r="E4" s="800"/>
      <c r="F4" s="800"/>
      <c r="G4" s="800"/>
      <c r="H4" s="800"/>
      <c r="I4" s="800"/>
      <c r="J4" s="800"/>
      <c r="K4" s="800"/>
    </row>
    <row r="7" spans="1:12" ht="27" customHeight="1">
      <c r="A7" s="72"/>
      <c r="B7" s="111" t="s">
        <v>785</v>
      </c>
      <c r="C7" s="854" t="str">
        <f>CHOOSE(jezyk,n!A1008,n!B1008,n!C1008,n!D1006)</f>
        <v xml:space="preserve">Informacje o charakterze i celu gospodarczym zawartych przez jednostkę umów nieuwzględnionych w bilansie w zakresie niezbędnym do oceny ich wpływu na sytuację majątkową, finansową i wynik finansowy </v>
      </c>
      <c r="D7" s="854"/>
      <c r="E7" s="854"/>
      <c r="F7" s="854"/>
      <c r="G7" s="854"/>
      <c r="H7" s="854"/>
      <c r="I7" s="854"/>
      <c r="J7" s="854"/>
      <c r="K7" s="854"/>
    </row>
    <row r="8" spans="1:12">
      <c r="B8" s="111"/>
      <c r="C8" s="424"/>
      <c r="D8" s="424"/>
      <c r="E8" s="424"/>
      <c r="F8" s="424"/>
      <c r="G8" s="424"/>
      <c r="H8" s="424"/>
      <c r="I8" s="424"/>
      <c r="J8" s="424"/>
      <c r="K8" s="424"/>
    </row>
    <row r="9" spans="1:12">
      <c r="C9" s="745" t="str">
        <f>CHOOSE(jezyk,n!A1009,n!B1009,n!C1009,n!D1007)</f>
        <v>Nie wystąpiły takie umowy, zarówno w bieżącym roku obrotowym, jak i w roku poprzednim.</v>
      </c>
      <c r="D9" s="745"/>
      <c r="E9" s="745"/>
      <c r="F9" s="745"/>
      <c r="G9" s="745"/>
      <c r="H9" s="745"/>
      <c r="I9" s="745"/>
      <c r="J9" s="745"/>
      <c r="K9" s="745"/>
      <c r="L9" s="131" t="s">
        <v>2186</v>
      </c>
    </row>
    <row r="11" spans="1:12" ht="12.75" customHeight="1">
      <c r="A11" s="72"/>
      <c r="B11" s="111" t="s">
        <v>92</v>
      </c>
      <c r="C11" s="762" t="str">
        <f>CHOOSE(jezyk,n!A1012,n!B1012,n!C1012,n!D1009)</f>
        <v>Istotne transakcje zawarte przez spółkę na innych warunkach niż rynkowe ze stronami powiązanymi</v>
      </c>
      <c r="D11" s="762"/>
      <c r="E11" s="762"/>
      <c r="F11" s="762"/>
      <c r="G11" s="762"/>
      <c r="H11" s="762"/>
      <c r="I11" s="762"/>
      <c r="J11" s="762"/>
      <c r="K11" s="762"/>
    </row>
    <row r="13" spans="1:12" ht="12.75" customHeight="1">
      <c r="C13" s="745"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13" s="745"/>
      <c r="E13" s="745"/>
      <c r="F13" s="745"/>
      <c r="G13" s="745"/>
      <c r="H13" s="745"/>
      <c r="I13" s="745"/>
      <c r="J13" s="745"/>
      <c r="K13" s="745"/>
      <c r="L13" s="131" t="s">
        <v>2186</v>
      </c>
    </row>
    <row r="14" spans="1:12">
      <c r="C14" s="745"/>
      <c r="D14" s="745"/>
      <c r="E14" s="745"/>
      <c r="F14" s="745"/>
      <c r="G14" s="745"/>
      <c r="H14" s="745"/>
      <c r="I14" s="745"/>
      <c r="J14" s="745"/>
      <c r="K14" s="745"/>
    </row>
    <row r="16" spans="1:12" ht="12.75" customHeight="1">
      <c r="B16" s="111" t="s">
        <v>2095</v>
      </c>
      <c r="C16" s="762" t="str">
        <f>CHOOSE(jezyk,n!A1017,n!B1017,n!C1017,n!D1012)</f>
        <v>Informacje o przeciętnym zatrudnieniu w roku obrotowym z podziałem na grupy zawodowe</v>
      </c>
      <c r="D16" s="762"/>
      <c r="E16" s="762"/>
      <c r="F16" s="762"/>
      <c r="G16" s="762"/>
      <c r="H16" s="762"/>
      <c r="I16" s="762"/>
      <c r="J16" s="762"/>
      <c r="K16" s="762"/>
    </row>
    <row r="18" spans="2:13" s="151" customFormat="1" ht="18" customHeight="1">
      <c r="B18" s="72"/>
      <c r="C18" s="845" t="str">
        <f>CHOOSE(jezyk,n!A1018,n!B1018,n!C1018,n!D1013)</f>
        <v>Przeciętny stan zatrudnienia w roku obrotowym</v>
      </c>
      <c r="D18" s="845"/>
      <c r="E18" s="845"/>
      <c r="F18" s="845"/>
      <c r="G18" s="845"/>
      <c r="H18" s="407">
        <f>ro</f>
        <v>2024</v>
      </c>
      <c r="I18" s="407">
        <f>IF(LEN(ro)&gt;4,_xlfn.TEXTBEFORE(ro,"/")-1&amp;"/"&amp;_xlfn.TEXTAFTER(ro,"/")-1,ro-1)</f>
        <v>2023</v>
      </c>
      <c r="M18" s="228"/>
    </row>
    <row r="19" spans="2:13" s="151" customFormat="1" ht="18" hidden="1" customHeight="1">
      <c r="B19" s="72"/>
      <c r="C19" s="850" t="str">
        <f>CHOOSE(jezyk,n!A1019,n!B1019,n!C1019,n!D1017)</f>
        <v>pracownicy administracyjni</v>
      </c>
      <c r="D19" s="850"/>
      <c r="E19" s="850"/>
      <c r="F19" s="850"/>
      <c r="G19" s="850"/>
      <c r="H19" s="229"/>
      <c r="I19" s="229"/>
      <c r="L19" s="149" t="s">
        <v>4525</v>
      </c>
    </row>
    <row r="20" spans="2:13" s="151" customFormat="1" ht="18" customHeight="1">
      <c r="B20" s="72"/>
      <c r="C20" s="850" t="str">
        <f>CHOOSE(jezyk,n!A1020,n!B1020,n!C1020,n!D1018)</f>
        <v>pracownicy umysłowi</v>
      </c>
      <c r="D20" s="850"/>
      <c r="E20" s="850"/>
      <c r="F20" s="850"/>
      <c r="G20" s="850"/>
      <c r="H20" s="229">
        <v>5</v>
      </c>
      <c r="I20" s="229">
        <v>0</v>
      </c>
      <c r="L20" s="230"/>
    </row>
    <row r="21" spans="2:13" s="151" customFormat="1" ht="18" customHeight="1">
      <c r="B21" s="72"/>
      <c r="C21" s="850" t="str">
        <f>CHOOSE(jezyk,n!A1021,n!B1021,n!C1021,n!D1019)</f>
        <v>pracownicy fizyczni</v>
      </c>
      <c r="D21" s="850"/>
      <c r="E21" s="850"/>
      <c r="F21" s="850"/>
      <c r="G21" s="850"/>
      <c r="H21" s="229">
        <v>16</v>
      </c>
      <c r="I21" s="229">
        <v>0</v>
      </c>
    </row>
    <row r="22" spans="2:13" s="151" customFormat="1" ht="18" customHeight="1">
      <c r="B22" s="72"/>
      <c r="C22" s="850" t="str">
        <f>CHOOSE(jezyk,n!A1022,n!B1022,n!C1022,n!D1020)</f>
        <v>pozostali</v>
      </c>
      <c r="D22" s="850"/>
      <c r="E22" s="850"/>
      <c r="F22" s="850"/>
      <c r="G22" s="850"/>
      <c r="H22" s="229">
        <v>0</v>
      </c>
      <c r="I22" s="229">
        <v>0</v>
      </c>
    </row>
    <row r="23" spans="2:13" s="151" customFormat="1" ht="18" customHeight="1">
      <c r="B23" s="72"/>
      <c r="H23" s="231">
        <f>SUM(H19:H22)</f>
        <v>21</v>
      </c>
      <c r="I23" s="231">
        <f>SUM(I19:I22)</f>
        <v>0</v>
      </c>
    </row>
    <row r="25" spans="2:13" hidden="1">
      <c r="C25" s="741" t="str">
        <f>IF(GA!F67="nie",CHOOSE(jezyk,n!A1023,n!B1023,n!C1023,n!D1021),CHOOSE(jezyk,n!A1024,n!B1024,n!C1024,n!D1024))</f>
        <v>Spółka nie zatrudnia pracowników.</v>
      </c>
      <c r="D25" s="741"/>
      <c r="E25" s="741"/>
      <c r="F25" s="741"/>
      <c r="G25" s="741"/>
      <c r="H25" s="741"/>
      <c r="I25" s="741"/>
      <c r="J25" s="741"/>
      <c r="K25" s="741"/>
      <c r="L25" s="131" t="s">
        <v>6495</v>
      </c>
    </row>
    <row r="26" spans="2:13" hidden="1">
      <c r="C26" s="106"/>
      <c r="D26" s="106"/>
      <c r="E26" s="106"/>
      <c r="F26" s="106"/>
      <c r="G26" s="106"/>
      <c r="H26" s="106"/>
      <c r="I26" s="106"/>
      <c r="J26" s="106"/>
      <c r="K26" s="106"/>
    </row>
    <row r="27" spans="2:13" ht="64.5" customHeight="1">
      <c r="B27" s="111" t="s">
        <v>2096</v>
      </c>
      <c r="C27" s="762" t="str">
        <f>CHOOSE(jezyk,n!A1028,n!B1028,n!C1028,n!D1026)</f>
        <v>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v>
      </c>
      <c r="D27" s="762"/>
      <c r="E27" s="762"/>
      <c r="F27" s="762"/>
      <c r="G27" s="762"/>
      <c r="H27" s="762"/>
      <c r="I27" s="762"/>
      <c r="J27" s="762"/>
      <c r="K27" s="762"/>
    </row>
    <row r="28" spans="2:13">
      <c r="C28" s="762"/>
      <c r="D28" s="762"/>
      <c r="E28" s="762"/>
      <c r="F28" s="762"/>
      <c r="G28" s="762"/>
      <c r="H28" s="762"/>
      <c r="I28" s="762"/>
      <c r="J28" s="762"/>
      <c r="K28" s="762"/>
    </row>
    <row r="29" spans="2:13" ht="25.5" customHeight="1">
      <c r="C29" s="741"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29" s="741"/>
      <c r="E29" s="741"/>
      <c r="F29" s="741"/>
      <c r="G29" s="741"/>
      <c r="H29" s="741"/>
      <c r="I29" s="741"/>
      <c r="J29" s="741"/>
      <c r="K29" s="741"/>
      <c r="L29" s="131" t="s">
        <v>4653</v>
      </c>
    </row>
    <row r="31" spans="2:13" ht="15" customHeight="1">
      <c r="G31" s="932">
        <f>ro</f>
        <v>2024</v>
      </c>
      <c r="H31" s="933"/>
      <c r="I31" s="932">
        <f>IF(LEN(ro)&gt;4,_xlfn.TEXTBEFORE(ro,"/")-1&amp;"/"&amp;_xlfn.TEXTAFTER(ro,"/")-1,ro-1)</f>
        <v>2023</v>
      </c>
      <c r="J31" s="933"/>
    </row>
    <row r="32" spans="2:13" ht="15" hidden="1" customHeight="1">
      <c r="C32" s="1030" t="str">
        <f>IF(GA!H16=2,CHOOSE(jezyk,n!A1034,n!B1034,n!C1034,n!D1029),CHOOSE(jezyk,n!A1033,n!B1033,n!C1033,n!D1028))</f>
        <v>Wynagrodzenie Członków Zarządu</v>
      </c>
      <c r="D32" s="1030"/>
      <c r="E32" s="1030"/>
      <c r="F32" s="1030"/>
      <c r="G32" s="981"/>
      <c r="H32" s="981"/>
      <c r="I32" s="981"/>
      <c r="J32" s="981"/>
    </row>
    <row r="33" spans="1:13" ht="15" customHeight="1">
      <c r="C33" s="1030" t="str">
        <f>CHOOSE(jezyk,n!A1035,n!B1035,n!C1035,n!D1033)</f>
        <v>Wynagrodzenie Rady Nadzorczej</v>
      </c>
      <c r="D33" s="1030"/>
      <c r="E33" s="1030"/>
      <c r="F33" s="1030"/>
      <c r="G33" s="981">
        <v>634063.79</v>
      </c>
      <c r="H33" s="981"/>
      <c r="I33" s="981">
        <v>0</v>
      </c>
      <c r="J33" s="981"/>
    </row>
    <row r="34" spans="1:13" ht="15" customHeight="1">
      <c r="G34" s="1075">
        <f>SUM(G32:H33)</f>
        <v>634063.79</v>
      </c>
      <c r="H34" s="1075"/>
      <c r="I34" s="1075">
        <f>SUM(I32:J33)</f>
        <v>0</v>
      </c>
      <c r="J34" s="1075"/>
    </row>
    <row r="37" spans="1:13" ht="53.25" customHeight="1">
      <c r="A37" s="72"/>
      <c r="B37" s="111" t="s">
        <v>2097</v>
      </c>
      <c r="C37" s="762" t="str">
        <f>CHOOSE(jezyk,n!A1036,n!B1036,n!C1036,n!D1034)</f>
        <v>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v>
      </c>
      <c r="D37" s="762"/>
      <c r="E37" s="762"/>
      <c r="F37" s="762"/>
      <c r="G37" s="762"/>
      <c r="H37" s="762"/>
      <c r="I37" s="762"/>
      <c r="J37" s="762"/>
      <c r="K37" s="762"/>
    </row>
    <row r="38" spans="1:13">
      <c r="C38" s="762"/>
      <c r="D38" s="762"/>
      <c r="E38" s="762"/>
      <c r="F38" s="762"/>
      <c r="G38" s="762"/>
      <c r="H38" s="762"/>
      <c r="I38" s="762"/>
      <c r="J38" s="762"/>
      <c r="K38" s="762"/>
    </row>
    <row r="39" spans="1:13" ht="27.75" customHeight="1">
      <c r="C39" s="741" t="str">
        <f>IF(GA!F67="nie",IF(GA!F73="nie",CHOOSE(jezyk,n!A1037,n!B1037,n!C1037,n!D1035),CHOOSE(jezyk,n!A1039,n!B1039,n!C1039,n!D1039)),IF(GA!F73="nie",CHOOSE(jezyk,n!A1038,n!B1038,n!C1038,n!D1038),CHOOSE(jezyk,n!A1040,n!B1040,n!C1040,n!D1040)))</f>
        <v>Spółka nie wypłacała w/w świadczeń członkom organów zarządzających i nadzorujących, zarówno w bieżącym roku obrotowym jak i w roku poprzednim.</v>
      </c>
      <c r="D39" s="741"/>
      <c r="E39" s="741"/>
      <c r="F39" s="741"/>
      <c r="G39" s="741"/>
      <c r="H39" s="741"/>
      <c r="I39" s="741"/>
      <c r="J39" s="741"/>
      <c r="K39" s="741"/>
      <c r="L39" s="131" t="s">
        <v>2186</v>
      </c>
    </row>
    <row r="40" spans="1:13" hidden="1"/>
    <row r="41" spans="1:13" ht="15" hidden="1" customHeight="1">
      <c r="C41" s="936" t="str">
        <f>IF(GA!H16=2,CHOOSE(jezyk,n!A1052,n!B1052,n!C1052,n!D1050),CHOOSE(jezyk,n!A1051,n!B1051,n!C1051,n!D1049))</f>
        <v>Udzielone członkom Zarządu</v>
      </c>
      <c r="D41" s="937"/>
      <c r="E41" s="937"/>
      <c r="F41" s="937"/>
      <c r="G41" s="938"/>
      <c r="H41" s="151"/>
      <c r="I41" s="151"/>
      <c r="J41" s="151"/>
      <c r="K41" s="151"/>
      <c r="M41" s="232"/>
    </row>
    <row r="42" spans="1:13" ht="15" hidden="1" customHeight="1">
      <c r="C42" s="845" t="str">
        <f>CHOOSE(jezyk,n!A1053,n!B1053,n!C1053,n!D1051)</f>
        <v>Tytuł</v>
      </c>
      <c r="D42" s="845"/>
      <c r="E42" s="845"/>
      <c r="F42" s="845" t="str">
        <f>CHOOSE(jezyk,n!A1054,n!B1054,n!C1054,n!D1052)</f>
        <v>Kwota udzielona</v>
      </c>
      <c r="G42" s="845"/>
      <c r="H42" s="845" t="str">
        <f>CHOOSE(jezyk,n!A1055,n!B1055,n!C1055,n!D1053)</f>
        <v>Kwota spłacona</v>
      </c>
      <c r="I42" s="845"/>
      <c r="J42" s="845" t="str">
        <f>CHOOSE(jezyk,n!A1056,n!B1056,n!C1056,n!D1054)</f>
        <v>Stopa procentowa</v>
      </c>
      <c r="K42" s="845"/>
    </row>
    <row r="43" spans="1:13" ht="15" hidden="1" customHeight="1">
      <c r="C43" s="850" t="str">
        <f>CHOOSE(jezyk,n!A1644,n!B1644,n!C1644,n!D1640)</f>
        <v>Pożyczka 1</v>
      </c>
      <c r="D43" s="850"/>
      <c r="E43" s="850"/>
      <c r="F43" s="981"/>
      <c r="G43" s="981"/>
      <c r="H43" s="1079"/>
      <c r="I43" s="1079"/>
      <c r="J43" s="1078"/>
      <c r="K43" s="1078"/>
    </row>
    <row r="44" spans="1:13" ht="15" hidden="1" customHeight="1">
      <c r="C44" s="850" t="str">
        <f>CHOOSE(jezyk,n!A1645,n!B1645,n!C1645,n!D1641)</f>
        <v>Pożyczka 2</v>
      </c>
      <c r="D44" s="850"/>
      <c r="E44" s="850"/>
      <c r="F44" s="981"/>
      <c r="G44" s="981"/>
      <c r="H44" s="1079"/>
      <c r="I44" s="1079"/>
      <c r="J44" s="1078"/>
      <c r="K44" s="1078"/>
    </row>
    <row r="45" spans="1:13" ht="15" hidden="1" customHeight="1">
      <c r="C45" s="233"/>
      <c r="D45" s="233"/>
      <c r="E45" s="233"/>
      <c r="F45" s="844">
        <f>SUM(F43:G44)</f>
        <v>0</v>
      </c>
      <c r="G45" s="844"/>
      <c r="H45" s="151"/>
      <c r="I45" s="151"/>
      <c r="J45" s="151"/>
      <c r="K45" s="151"/>
    </row>
    <row r="46" spans="1:13" ht="15" hidden="1" customHeight="1">
      <c r="C46" s="151"/>
      <c r="D46" s="151"/>
      <c r="E46" s="151"/>
      <c r="F46" s="151"/>
      <c r="G46" s="151"/>
      <c r="H46" s="151"/>
      <c r="I46" s="151"/>
      <c r="J46" s="151"/>
      <c r="K46" s="151"/>
    </row>
    <row r="47" spans="1:13" ht="15" hidden="1" customHeight="1">
      <c r="C47" s="936" t="str">
        <f>CHOOSE(jezyk,n!A1057,n!B1057,n!C1057,n!D1055)</f>
        <v>Udzielone członkom Rady Nadzorczej</v>
      </c>
      <c r="D47" s="937"/>
      <c r="E47" s="937"/>
      <c r="F47" s="937"/>
      <c r="G47" s="938"/>
      <c r="H47" s="151"/>
      <c r="I47" s="151"/>
      <c r="J47" s="151"/>
      <c r="K47" s="151"/>
    </row>
    <row r="48" spans="1:13" ht="15" hidden="1" customHeight="1">
      <c r="C48" s="932" t="str">
        <f>CHOOSE(jezyk,n!A1053,n!B1053,n!C1053,n!D1051)</f>
        <v>Tytuł</v>
      </c>
      <c r="D48" s="1080"/>
      <c r="E48" s="933"/>
      <c r="F48" s="932" t="str">
        <f>CHOOSE(jezyk,n!A1054,n!B1054,n!C1054,n!D1052)</f>
        <v>Kwota udzielona</v>
      </c>
      <c r="G48" s="933"/>
      <c r="H48" s="932" t="str">
        <f>CHOOSE(jezyk,n!A1055,n!B1055,n!C1055,n!D1053)</f>
        <v>Kwota spłacona</v>
      </c>
      <c r="I48" s="933"/>
      <c r="J48" s="932" t="str">
        <f>CHOOSE(jezyk,n!A1056,n!B1056,n!C1056,n!D1054)</f>
        <v>Stopa procentowa</v>
      </c>
      <c r="K48" s="933"/>
    </row>
    <row r="49" spans="1:12" ht="15" hidden="1" customHeight="1">
      <c r="C49" s="850" t="str">
        <f>CHOOSE(jezyk,n!A1644,n!B1644,n!C1644,n!D1640)</f>
        <v>Pożyczka 1</v>
      </c>
      <c r="D49" s="850"/>
      <c r="E49" s="850"/>
      <c r="F49" s="981"/>
      <c r="G49" s="981"/>
      <c r="H49" s="1079"/>
      <c r="I49" s="1079"/>
      <c r="J49" s="1078"/>
      <c r="K49" s="1078"/>
    </row>
    <row r="50" spans="1:12" ht="15" hidden="1" customHeight="1">
      <c r="C50" s="850" t="str">
        <f>CHOOSE(jezyk,n!A1645,n!B1645,n!C1645,n!D1641)</f>
        <v>Pożyczka 2</v>
      </c>
      <c r="D50" s="850"/>
      <c r="E50" s="850"/>
      <c r="F50" s="981"/>
      <c r="G50" s="981"/>
      <c r="H50" s="1079"/>
      <c r="I50" s="1079"/>
      <c r="J50" s="1078"/>
      <c r="K50" s="1078"/>
    </row>
    <row r="51" spans="1:12" ht="15" hidden="1" customHeight="1">
      <c r="C51" s="233"/>
      <c r="D51" s="233"/>
      <c r="E51" s="233"/>
      <c r="F51" s="844">
        <f>SUM(F49:G50)</f>
        <v>0</v>
      </c>
      <c r="G51" s="844"/>
      <c r="H51" s="151"/>
      <c r="I51" s="151"/>
      <c r="J51" s="151"/>
      <c r="K51" s="151"/>
    </row>
    <row r="53" spans="1:12" ht="12.75" customHeight="1">
      <c r="A53" s="72"/>
      <c r="B53" s="111" t="s">
        <v>2098</v>
      </c>
      <c r="C53" s="762" t="str">
        <f>CHOOSE(jezyk,n!A1041,n!B1041,n!C1041,n!D1036)</f>
        <v>Informacja o wynagrodzeniu firmy audytorskiej, wypłaconym lub należnym za rok obrotowy</v>
      </c>
      <c r="D53" s="762"/>
      <c r="E53" s="762"/>
      <c r="F53" s="762"/>
      <c r="G53" s="762"/>
      <c r="H53" s="762"/>
      <c r="I53" s="762"/>
      <c r="J53" s="762"/>
      <c r="K53" s="762"/>
    </row>
    <row r="54" spans="1:12">
      <c r="C54" s="762"/>
      <c r="D54" s="762"/>
      <c r="E54" s="762"/>
      <c r="F54" s="762"/>
      <c r="G54" s="762"/>
      <c r="H54" s="762"/>
      <c r="I54" s="762"/>
      <c r="J54" s="762"/>
      <c r="K54" s="762"/>
    </row>
    <row r="55" spans="1:12" ht="27" customHeight="1">
      <c r="C55" s="741" t="str">
        <f>IF(GA!F67="nie",IF(GA!F73="nie",CHOOSE(jezyk,n!A1042,n!B1042,n!C1042,n!D1042),CHOOSE(jezyk,n!A1044,n!B1044,n!C1044,n!D1044)),IF(GA!F73="nie",CHOOSE(jezyk,n!A1043,n!B1043,n!C1043,n!D1043),CHOOSE(jezyk,n!A1045,n!B1045,n!C1045,n!D1045)))</f>
        <v>Spółka nie korzystała z usług firmy audytorskiej, zarówno w bieżącym roku obrotowym jak i w roku poprzednim.</v>
      </c>
      <c r="D55" s="741"/>
      <c r="E55" s="741"/>
      <c r="F55" s="741"/>
      <c r="G55" s="741"/>
      <c r="H55" s="741"/>
      <c r="I55" s="741"/>
      <c r="J55" s="741"/>
      <c r="K55" s="741"/>
      <c r="L55" s="131" t="s">
        <v>2186</v>
      </c>
    </row>
    <row r="56" spans="1:12" hidden="1">
      <c r="C56" s="253"/>
      <c r="D56" s="253"/>
      <c r="E56" s="253"/>
      <c r="F56" s="253"/>
      <c r="G56" s="253"/>
      <c r="H56" s="253"/>
      <c r="I56" s="253"/>
      <c r="J56" s="253"/>
      <c r="K56" s="253"/>
      <c r="L56" s="131"/>
    </row>
    <row r="57" spans="1:12" ht="15" hidden="1" customHeight="1">
      <c r="G57" s="1076">
        <f>ro</f>
        <v>2024</v>
      </c>
      <c r="H57" s="1077"/>
      <c r="I57" s="1076">
        <f>IF(LEN(ro)&gt;4,_xlfn.TEXTBEFORE(ro,"/")-1&amp;"/"&amp;_xlfn.TEXTAFTER(ro,"/")-1,ro-1)</f>
        <v>2023</v>
      </c>
      <c r="J57" s="1077"/>
    </row>
    <row r="58" spans="1:12" ht="24" hidden="1" customHeight="1">
      <c r="A58" s="72"/>
      <c r="C58" s="903" t="str">
        <f>CHOOSE(jezyk,n!A1046,n!B1046,n!C1046,n!D1041)</f>
        <v>Badanie ustawowe w rozumieniu art. 2 pkt 1 ustawy o biegłych rewidentach</v>
      </c>
      <c r="D58" s="904"/>
      <c r="E58" s="904"/>
      <c r="F58" s="905"/>
      <c r="G58" s="929">
        <v>0</v>
      </c>
      <c r="H58" s="930"/>
      <c r="I58" s="929">
        <v>0</v>
      </c>
      <c r="J58" s="930"/>
      <c r="L58" s="131" t="s">
        <v>5490</v>
      </c>
    </row>
    <row r="59" spans="1:12" ht="27" hidden="1" customHeight="1">
      <c r="A59" s="72"/>
      <c r="C59" s="903" t="str">
        <f>CHOOSE(jezyk,n!A1047,n!B1047,n!C1047,n!D1042)</f>
        <v>Fakultatywne badanie rocznego sprawozdania finansowego</v>
      </c>
      <c r="D59" s="904"/>
      <c r="E59" s="904"/>
      <c r="F59" s="905"/>
      <c r="G59" s="929">
        <v>0</v>
      </c>
      <c r="H59" s="930"/>
      <c r="I59" s="929">
        <v>0</v>
      </c>
      <c r="J59" s="930"/>
      <c r="L59" s="131"/>
    </row>
    <row r="60" spans="1:12" ht="15" hidden="1" customHeight="1">
      <c r="C60" s="903" t="str">
        <f>CHOOSE(jezyk,n!A1048,n!B1048,n!C1048,n!D1046)</f>
        <v>Inne usługi atestacyjne</v>
      </c>
      <c r="D60" s="904"/>
      <c r="E60" s="904"/>
      <c r="F60" s="905"/>
      <c r="G60" s="929">
        <v>0</v>
      </c>
      <c r="H60" s="930"/>
      <c r="I60" s="929">
        <v>0</v>
      </c>
      <c r="J60" s="930"/>
      <c r="L60" s="131" t="s">
        <v>5909</v>
      </c>
    </row>
    <row r="61" spans="1:12" ht="15" hidden="1" customHeight="1">
      <c r="C61" s="903" t="str">
        <f>CHOOSE(jezyk,n!A1049,n!B1049,n!C1049,n!D1047)</f>
        <v>Usługi doradztwa podatkowego</v>
      </c>
      <c r="D61" s="904"/>
      <c r="E61" s="904"/>
      <c r="F61" s="905"/>
      <c r="G61" s="929">
        <v>0</v>
      </c>
      <c r="H61" s="930"/>
      <c r="I61" s="929">
        <v>0</v>
      </c>
      <c r="J61" s="930"/>
      <c r="L61" s="131" t="s">
        <v>2968</v>
      </c>
    </row>
    <row r="62" spans="1:12" ht="15" hidden="1" customHeight="1">
      <c r="C62" s="903" t="str">
        <f>CHOOSE(jezyk,n!A1050,n!B1050,n!C1050,n!D1048)</f>
        <v>Pozostałe usługi</v>
      </c>
      <c r="D62" s="904"/>
      <c r="E62" s="904"/>
      <c r="F62" s="905"/>
      <c r="G62" s="929">
        <v>0</v>
      </c>
      <c r="H62" s="930"/>
      <c r="I62" s="929">
        <v>0</v>
      </c>
      <c r="J62" s="930"/>
    </row>
    <row r="63" spans="1:12" ht="15" hidden="1" customHeight="1">
      <c r="G63" s="923">
        <f>SUM(G58:G62)</f>
        <v>0</v>
      </c>
      <c r="H63" s="924"/>
      <c r="I63" s="923">
        <f>SUM(I58:I62)</f>
        <v>0</v>
      </c>
      <c r="J63" s="924"/>
    </row>
  </sheetData>
  <sheetProtection formatCells="0" formatColumns="0" formatRows="0" insertRows="0" insertHyperlinks="0" sort="0" autoFilter="0" pivotTables="0"/>
  <mergeCells count="79">
    <mergeCell ref="B1:L1"/>
    <mergeCell ref="C16:K16"/>
    <mergeCell ref="C27:K27"/>
    <mergeCell ref="C18:G18"/>
    <mergeCell ref="C19:G19"/>
    <mergeCell ref="C20:G20"/>
    <mergeCell ref="C21:G21"/>
    <mergeCell ref="C11:K11"/>
    <mergeCell ref="C9:K9"/>
    <mergeCell ref="C22:G22"/>
    <mergeCell ref="B4:K4"/>
    <mergeCell ref="C25:K25"/>
    <mergeCell ref="C13:K14"/>
    <mergeCell ref="C7:K7"/>
    <mergeCell ref="C60:F60"/>
    <mergeCell ref="C61:F61"/>
    <mergeCell ref="C62:F62"/>
    <mergeCell ref="G58:H58"/>
    <mergeCell ref="I58:J58"/>
    <mergeCell ref="I60:J60"/>
    <mergeCell ref="C59:F59"/>
    <mergeCell ref="G59:H59"/>
    <mergeCell ref="I59:J59"/>
    <mergeCell ref="C58:F58"/>
    <mergeCell ref="I63:J63"/>
    <mergeCell ref="I61:J61"/>
    <mergeCell ref="I62:J62"/>
    <mergeCell ref="G63:H63"/>
    <mergeCell ref="G60:H60"/>
    <mergeCell ref="G61:H61"/>
    <mergeCell ref="G62:H62"/>
    <mergeCell ref="C55:K55"/>
    <mergeCell ref="C41:G41"/>
    <mergeCell ref="H43:I43"/>
    <mergeCell ref="J43:K43"/>
    <mergeCell ref="F44:G44"/>
    <mergeCell ref="H44:I44"/>
    <mergeCell ref="H42:I42"/>
    <mergeCell ref="C54:K54"/>
    <mergeCell ref="C48:E48"/>
    <mergeCell ref="C50:E50"/>
    <mergeCell ref="C49:E49"/>
    <mergeCell ref="I57:J57"/>
    <mergeCell ref="G57:H57"/>
    <mergeCell ref="F42:G42"/>
    <mergeCell ref="J44:K44"/>
    <mergeCell ref="H48:I48"/>
    <mergeCell ref="J42:K42"/>
    <mergeCell ref="F48:G48"/>
    <mergeCell ref="J48:K48"/>
    <mergeCell ref="F50:G50"/>
    <mergeCell ref="H50:I50"/>
    <mergeCell ref="J50:K50"/>
    <mergeCell ref="F49:G49"/>
    <mergeCell ref="H49:I49"/>
    <mergeCell ref="J49:K49"/>
    <mergeCell ref="C53:K53"/>
    <mergeCell ref="F51:G51"/>
    <mergeCell ref="C39:K39"/>
    <mergeCell ref="C42:E42"/>
    <mergeCell ref="C43:E43"/>
    <mergeCell ref="F45:G45"/>
    <mergeCell ref="C47:G47"/>
    <mergeCell ref="F43:G43"/>
    <mergeCell ref="C44:E44"/>
    <mergeCell ref="C32:F32"/>
    <mergeCell ref="C38:K38"/>
    <mergeCell ref="C28:K28"/>
    <mergeCell ref="G32:H32"/>
    <mergeCell ref="G31:H31"/>
    <mergeCell ref="I31:J31"/>
    <mergeCell ref="I32:J32"/>
    <mergeCell ref="I33:J33"/>
    <mergeCell ref="C33:F33"/>
    <mergeCell ref="G33:H33"/>
    <mergeCell ref="G34:H34"/>
    <mergeCell ref="I34:J34"/>
    <mergeCell ref="C29:K29"/>
    <mergeCell ref="C37:K37"/>
  </mergeCells>
  <phoneticPr fontId="0" type="noConversion"/>
  <hyperlinks>
    <hyperlink ref="B1:L1" location="'spis treści'!A1" display="SPIS TREŚCI" xr:uid="{00000000-0004-0000-2C00-000000000000}"/>
    <hyperlink ref="L1" location="'spis treści'!A1" display="SPIS TREŚCI" xr:uid="{00000000-0004-0000-2C00-000001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5</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26">
    <pageSetUpPr fitToPage="1"/>
  </sheetPr>
  <dimension ref="A1:R62"/>
  <sheetViews>
    <sheetView showGridLines="0" view="pageBreakPreview" zoomScaleNormal="100" zoomScaleSheetLayoutView="100" workbookViewId="0">
      <selection activeCell="C15" sqref="C15:L15"/>
    </sheetView>
  </sheetViews>
  <sheetFormatPr defaultColWidth="9.140625" defaultRowHeight="12.75" customHeight="1"/>
  <cols>
    <col min="1" max="1" width="20" style="66" bestFit="1" customWidth="1"/>
    <col min="2" max="2" width="4.7109375" style="72" customWidth="1"/>
    <col min="3" max="16384" width="9.140625" style="66"/>
  </cols>
  <sheetData>
    <row r="1" spans="1:14" ht="12.75" customHeight="1">
      <c r="B1" s="773" t="s">
        <v>1257</v>
      </c>
      <c r="C1" s="773"/>
      <c r="D1" s="773"/>
      <c r="E1" s="773"/>
      <c r="F1" s="773"/>
      <c r="G1" s="773"/>
      <c r="H1" s="773"/>
      <c r="I1" s="773"/>
      <c r="J1" s="773"/>
      <c r="K1" s="773"/>
      <c r="L1" s="773"/>
    </row>
    <row r="2" spans="1:14" ht="12.75" customHeight="1">
      <c r="B2" s="393" t="str">
        <f>nazwa_spolki</f>
        <v>Rhenus Digital Workforce Sp. z o.o.</v>
      </c>
      <c r="C2" s="397"/>
      <c r="D2" s="397"/>
      <c r="E2" s="397"/>
      <c r="F2" s="397"/>
      <c r="G2" s="397"/>
      <c r="H2" s="397"/>
      <c r="I2" s="397"/>
      <c r="J2" s="397"/>
      <c r="K2" s="397"/>
      <c r="L2" s="397"/>
    </row>
    <row r="3" spans="1:14" ht="45.95" customHeight="1">
      <c r="B3" s="130" t="str">
        <f>tytul</f>
        <v>Sprawozdanie finansowe sporządzone za rok obrotowy 2024</v>
      </c>
      <c r="C3" s="397"/>
      <c r="D3" s="397"/>
      <c r="E3" s="397"/>
      <c r="F3" s="397"/>
      <c r="G3" s="397"/>
      <c r="H3" s="397"/>
      <c r="I3" s="397"/>
      <c r="J3" s="397"/>
      <c r="K3" s="397"/>
      <c r="L3" s="397"/>
    </row>
    <row r="4" spans="1:14" s="180" customFormat="1" ht="21.75" customHeight="1">
      <c r="B4" s="800" t="str">
        <f>"6. "&amp;CHOOSE(jezyk,n!A613,n!B613,n!C613,n!D611)</f>
        <v>6. DODATKOWE INFORMACJE I OBJAŚNIENIA</v>
      </c>
      <c r="C4" s="1083"/>
      <c r="D4" s="1083"/>
      <c r="E4" s="1083"/>
      <c r="F4" s="1083"/>
      <c r="G4" s="1083"/>
      <c r="H4" s="1083"/>
      <c r="I4" s="1083"/>
      <c r="J4" s="1083"/>
      <c r="K4" s="1083"/>
      <c r="L4" s="1083"/>
      <c r="M4" s="160"/>
    </row>
    <row r="6" spans="1:14" ht="12.75" customHeight="1">
      <c r="M6" s="232"/>
    </row>
    <row r="7" spans="1:14" ht="26.25" customHeight="1">
      <c r="B7" s="111" t="s">
        <v>2154</v>
      </c>
      <c r="C7" s="762" t="str">
        <f>CHOOSE(jezyk,n!A1059,n!B1059,n!C1059,n!D1057)</f>
        <v>Przychody i koszty z tytułu błędów popełnionych w latach ubiegłych odnoszonych w roku obrotowym na kapitał (fundusz) własny</v>
      </c>
      <c r="D7" s="762"/>
      <c r="E7" s="762"/>
      <c r="F7" s="762"/>
      <c r="G7" s="762"/>
      <c r="H7" s="762"/>
      <c r="I7" s="762"/>
      <c r="J7" s="762"/>
      <c r="K7" s="762"/>
      <c r="L7" s="762"/>
      <c r="M7" s="234"/>
    </row>
    <row r="8" spans="1:14" ht="12.75" customHeight="1">
      <c r="C8" s="762"/>
      <c r="D8" s="762"/>
      <c r="E8" s="762"/>
      <c r="F8" s="762"/>
      <c r="G8" s="762"/>
      <c r="H8" s="762"/>
      <c r="I8" s="762"/>
      <c r="J8" s="762"/>
      <c r="K8" s="762"/>
      <c r="L8" s="762"/>
    </row>
    <row r="9" spans="1:14" ht="12.75" customHeight="1">
      <c r="C9" s="745" t="str">
        <f>CHOOSE(jezyk,n!A1060,n!B1060,n!C1060,n!D1058)</f>
        <v>W roku obrotowym nie dokonywano korekty błędów lat ubiegłych.</v>
      </c>
      <c r="D9" s="745"/>
      <c r="E9" s="745"/>
      <c r="F9" s="745"/>
      <c r="G9" s="745"/>
      <c r="H9" s="745"/>
      <c r="I9" s="745"/>
      <c r="J9" s="745"/>
      <c r="K9" s="745"/>
      <c r="L9" s="745"/>
      <c r="M9" s="131" t="s">
        <v>2186</v>
      </c>
    </row>
    <row r="11" spans="1:14" s="111" customFormat="1" ht="25.5" customHeight="1">
      <c r="A11" s="72"/>
      <c r="B11" s="111" t="s">
        <v>2155</v>
      </c>
      <c r="C11" s="762" t="str">
        <f>CHOOSE(jezyk,n!A1061,n!B1061,n!C1061,n!D1059)</f>
        <v>Informacje o znaczących zdarzeniach, jakie nastąpiły po dniu bilansowym, a nieuwzględnionych w sprawozdaniu finansowym oraz o ich wpływie na sytuację majątkową, finansową oraz wynik finansowy jednostki</v>
      </c>
      <c r="D11" s="762"/>
      <c r="E11" s="762"/>
      <c r="F11" s="762"/>
      <c r="G11" s="762"/>
      <c r="H11" s="762"/>
      <c r="I11" s="762"/>
      <c r="J11" s="762"/>
      <c r="K11" s="762"/>
      <c r="L11" s="762"/>
      <c r="M11" s="234"/>
      <c r="N11" s="72"/>
    </row>
    <row r="12" spans="1:14" ht="12.75" customHeight="1">
      <c r="C12" s="762"/>
      <c r="D12" s="762"/>
      <c r="E12" s="762"/>
      <c r="F12" s="762"/>
      <c r="G12" s="762"/>
      <c r="H12" s="762"/>
      <c r="I12" s="762"/>
      <c r="J12" s="762"/>
      <c r="K12" s="762"/>
      <c r="L12" s="762"/>
    </row>
    <row r="13" spans="1:14" ht="24" customHeight="1">
      <c r="C13" s="745" t="str">
        <f>CHOOSE(jezyk,n!A1062,n!B1062,n!C1062,n!D1060)</f>
        <v>Po dniu bilansowym nie wystąpiły istotne zdarzenia, mające wpływ na sprawozdanie finansowe za rok obrotowy 2024.</v>
      </c>
      <c r="D13" s="745"/>
      <c r="E13" s="745"/>
      <c r="F13" s="745"/>
      <c r="G13" s="745"/>
      <c r="H13" s="745"/>
      <c r="I13" s="745"/>
      <c r="J13" s="745"/>
      <c r="K13" s="745"/>
      <c r="L13" s="745"/>
      <c r="M13" s="131" t="s">
        <v>2186</v>
      </c>
    </row>
    <row r="14" spans="1:14">
      <c r="M14" s="131"/>
    </row>
    <row r="15" spans="1:14" ht="52.5" customHeight="1">
      <c r="A15" s="72"/>
      <c r="B15" s="111" t="s">
        <v>2156</v>
      </c>
      <c r="C15" s="762" t="str">
        <f>CHOOSE(jezyk,n!A1064,n!B1064,n!C1064,n!D1062)</f>
        <v>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v>
      </c>
      <c r="D15" s="762"/>
      <c r="E15" s="762"/>
      <c r="F15" s="762"/>
      <c r="G15" s="762"/>
      <c r="H15" s="762"/>
      <c r="I15" s="762"/>
      <c r="J15" s="762"/>
      <c r="K15" s="762"/>
      <c r="L15" s="762"/>
      <c r="M15" s="235"/>
    </row>
    <row r="16" spans="1:14" ht="12.75" customHeight="1">
      <c r="B16" s="111"/>
      <c r="C16" s="762"/>
      <c r="D16" s="762"/>
      <c r="E16" s="762"/>
      <c r="F16" s="762"/>
      <c r="G16" s="762"/>
      <c r="H16" s="762"/>
      <c r="I16" s="762"/>
      <c r="J16" s="762"/>
      <c r="K16" s="762"/>
      <c r="L16" s="762"/>
      <c r="M16" s="317"/>
    </row>
    <row r="17" spans="1:13" ht="12.75" customHeight="1">
      <c r="C17" s="745" t="str">
        <f>CHOOSE(jezyk,n!A1065,n!B1065,n!C1065,n!D1063)</f>
        <v>W roku obrotowym 2024 nie dokonywano zmian zasad rachunkowości, w tym metod wyceny.</v>
      </c>
      <c r="D17" s="745"/>
      <c r="E17" s="745"/>
      <c r="F17" s="745"/>
      <c r="G17" s="745"/>
      <c r="H17" s="745"/>
      <c r="I17" s="745"/>
      <c r="J17" s="745"/>
      <c r="K17" s="745"/>
      <c r="L17" s="745"/>
      <c r="M17" s="131" t="s">
        <v>2186</v>
      </c>
    </row>
    <row r="18" spans="1:13" ht="12.75" customHeight="1">
      <c r="B18" s="111"/>
      <c r="C18" s="1081"/>
      <c r="D18" s="1082"/>
      <c r="E18" s="1082"/>
      <c r="F18" s="1082"/>
      <c r="G18" s="1082"/>
      <c r="H18" s="1082"/>
      <c r="I18" s="1082"/>
      <c r="J18" s="1082"/>
      <c r="K18" s="1082"/>
      <c r="L18" s="1082"/>
      <c r="M18" s="1082"/>
    </row>
    <row r="19" spans="1:13" ht="27" hidden="1" customHeight="1">
      <c r="B19" s="111" t="s">
        <v>2157</v>
      </c>
      <c r="C19" s="762" t="str">
        <f>CHOOSE(jezyk,n!A1066,n!B1066,n!C1066,n!D1064)</f>
        <v>Informacje liczbowe, wraz z wyjaśnieniem, zapewniające porównywalność danych sprawozdania finansowego za rok poprzedzający ze sprawozdaniem za rok obrotowy</v>
      </c>
      <c r="D19" s="762"/>
      <c r="E19" s="762"/>
      <c r="F19" s="762"/>
      <c r="G19" s="762"/>
      <c r="H19" s="762"/>
      <c r="I19" s="762"/>
      <c r="J19" s="762"/>
      <c r="K19" s="762"/>
      <c r="L19" s="762"/>
      <c r="M19" s="235"/>
    </row>
    <row r="20" spans="1:13" ht="12.75" hidden="1" customHeight="1">
      <c r="C20" s="762"/>
      <c r="D20" s="762"/>
      <c r="E20" s="762"/>
      <c r="F20" s="762"/>
      <c r="G20" s="762"/>
      <c r="H20" s="762"/>
      <c r="I20" s="762"/>
      <c r="J20" s="762"/>
      <c r="K20" s="762"/>
      <c r="L20" s="762"/>
    </row>
    <row r="21" spans="1:13" ht="12.75" hidden="1" customHeight="1">
      <c r="C21" s="745" t="str">
        <f>CHOOSE(jezyk,n!A1067,n!B1067,n!C1067,n!D1067)</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D21" s="745"/>
      <c r="E21" s="745"/>
      <c r="F21" s="745"/>
      <c r="G21" s="745"/>
      <c r="H21" s="745"/>
      <c r="I21" s="745"/>
      <c r="J21" s="745"/>
      <c r="K21" s="745"/>
      <c r="L21" s="745"/>
      <c r="M21" s="131" t="s">
        <v>2186</v>
      </c>
    </row>
    <row r="22" spans="1:13" ht="27" hidden="1" customHeight="1">
      <c r="C22" s="745"/>
      <c r="D22" s="745"/>
      <c r="E22" s="745"/>
      <c r="F22" s="745"/>
      <c r="G22" s="745"/>
      <c r="H22" s="745"/>
      <c r="I22" s="745"/>
      <c r="J22" s="745"/>
      <c r="K22" s="745"/>
      <c r="L22" s="745"/>
      <c r="M22" s="131"/>
    </row>
    <row r="23" spans="1:13" hidden="1">
      <c r="C23" s="395"/>
      <c r="D23" s="395"/>
      <c r="E23" s="395"/>
      <c r="F23" s="395"/>
      <c r="G23" s="395"/>
      <c r="H23" s="395"/>
      <c r="I23" s="395"/>
      <c r="J23" s="395"/>
      <c r="K23" s="395"/>
      <c r="L23" s="395"/>
      <c r="M23" s="131"/>
    </row>
    <row r="24" spans="1:13" hidden="1">
      <c r="C24" s="1084" t="s">
        <v>6042</v>
      </c>
      <c r="D24" s="1084"/>
      <c r="E24" s="1084"/>
      <c r="F24" s="1084"/>
      <c r="G24" s="1084"/>
      <c r="H24" s="1084"/>
      <c r="I24" s="1084"/>
      <c r="J24" s="1084"/>
      <c r="K24" s="1084"/>
      <c r="L24" s="1084"/>
      <c r="M24" s="214" t="s">
        <v>6044</v>
      </c>
    </row>
    <row r="25" spans="1:13" hidden="1">
      <c r="C25" s="236"/>
      <c r="D25" s="236"/>
      <c r="E25" s="236"/>
      <c r="F25" s="236"/>
      <c r="G25" s="236"/>
      <c r="H25" s="236"/>
      <c r="I25" s="236"/>
      <c r="J25" s="236"/>
      <c r="K25" s="236"/>
      <c r="L25" s="236"/>
      <c r="M25" s="131"/>
    </row>
    <row r="26" spans="1:13" ht="12.75" hidden="1" customHeight="1">
      <c r="C26" s="745" t="str">
        <f>CHOOSE(jezyk,n!A1069,n!B1069,n!C1069,n!D1067)</f>
        <v>Skorygowane dane finansowe za poprzedni rok obrotowy zostały zaprezentowane jako trzecia kolumna do bilansu i rachunku zysków i strat.</v>
      </c>
      <c r="D26" s="745"/>
      <c r="E26" s="745"/>
      <c r="F26" s="745"/>
      <c r="G26" s="745"/>
      <c r="H26" s="745"/>
      <c r="I26" s="745"/>
      <c r="J26" s="745"/>
      <c r="K26" s="745"/>
      <c r="L26" s="745"/>
    </row>
    <row r="27" spans="1:13" ht="12.75" hidden="1" customHeight="1">
      <c r="C27" s="745"/>
      <c r="D27" s="745"/>
      <c r="E27" s="745"/>
      <c r="F27" s="745"/>
      <c r="G27" s="745"/>
      <c r="H27" s="745"/>
      <c r="I27" s="745"/>
      <c r="J27" s="745"/>
      <c r="K27" s="745"/>
      <c r="L27" s="745"/>
      <c r="M27" s="214" t="s">
        <v>6049</v>
      </c>
    </row>
    <row r="28" spans="1:13" ht="12.75" hidden="1" customHeight="1">
      <c r="C28" s="395"/>
      <c r="D28" s="395"/>
      <c r="E28" s="395"/>
      <c r="F28" s="395"/>
      <c r="G28" s="395"/>
      <c r="H28" s="395"/>
      <c r="I28" s="395"/>
      <c r="J28" s="395"/>
      <c r="K28" s="395"/>
      <c r="L28" s="395"/>
    </row>
    <row r="29" spans="1:13" ht="12.75" hidden="1" customHeight="1">
      <c r="A29" s="72"/>
      <c r="C29" s="745" t="str">
        <f>CHOOSE(jezyk,n!A1068,n!B1068,n!C1068,n!D1066)</f>
        <v>Wpływ wyżej opisanych zdarzeń na sprawozdanie finansowe za rok ubiegły prezentuje poniższa tabela:</v>
      </c>
      <c r="D29" s="745"/>
      <c r="E29" s="745"/>
      <c r="F29" s="745"/>
      <c r="G29" s="745"/>
      <c r="H29" s="745"/>
      <c r="I29" s="745"/>
      <c r="J29" s="745"/>
      <c r="K29" s="745"/>
      <c r="L29" s="745"/>
      <c r="M29" s="131" t="s">
        <v>6048</v>
      </c>
    </row>
    <row r="30" spans="1:13" ht="12.75" hidden="1" customHeight="1"/>
    <row r="31" spans="1:13" ht="28.5" hidden="1" customHeight="1">
      <c r="C31" s="845" t="str">
        <f>CHOOSE(jezyk,n!A1071,n!B1071,n!C1071,n!D1068)</f>
        <v>AKTYWA</v>
      </c>
      <c r="D31" s="845"/>
      <c r="E31" s="845"/>
      <c r="F31" s="839" t="str">
        <f>CHOOSE(jezyk,n!A1074,n!B1074,n!C1074,n!D1072)</f>
        <v>Dane zatwierdzone na 31.12.2023</v>
      </c>
      <c r="G31" s="839"/>
      <c r="H31" s="839" t="str">
        <f>CHOOSE(jezyk,n!A1075,n!B1075,n!C1075,n!D1073)</f>
        <v>Przekształcone dane na 31.12.2023</v>
      </c>
      <c r="I31" s="839"/>
      <c r="J31" s="932" t="str">
        <f>CHOOSE(jezyk,n!A1076,n!B1076,n!C1076,n!D1074)</f>
        <v>Zmiana</v>
      </c>
      <c r="K31" s="933"/>
    </row>
    <row r="32" spans="1:13" ht="12.75" hidden="1" customHeight="1">
      <c r="C32" s="1093" t="str">
        <f>CHOOSE(jezyk,n!A293,n!B293,n!C293,n!D293)</f>
        <v>Aktywa trwałe</v>
      </c>
      <c r="D32" s="1094"/>
      <c r="E32" s="1094"/>
      <c r="F32" s="1095">
        <f>Bilans!K10</f>
        <v>0</v>
      </c>
      <c r="G32" s="1096"/>
      <c r="H32" s="1097">
        <f>F32</f>
        <v>0</v>
      </c>
      <c r="I32" s="1098"/>
      <c r="J32" s="1095">
        <f>F32-H32</f>
        <v>0</v>
      </c>
      <c r="K32" s="1096"/>
    </row>
    <row r="33" spans="1:11" ht="12.75" hidden="1" customHeight="1">
      <c r="C33" s="237" t="str">
        <f>CHOOSE(jezyk,n!A1073,n!B1073,n!C1073,n!D1071)</f>
        <v>w tym:</v>
      </c>
      <c r="D33" s="92"/>
      <c r="E33" s="92"/>
      <c r="F33" s="1085"/>
      <c r="G33" s="1086"/>
      <c r="H33" s="1085"/>
      <c r="I33" s="1086"/>
      <c r="J33" s="1085"/>
      <c r="K33" s="1086"/>
    </row>
    <row r="34" spans="1:11" ht="12.75" hidden="1" customHeight="1">
      <c r="A34" s="72"/>
      <c r="C34" s="1087"/>
      <c r="D34" s="1088"/>
      <c r="E34" s="1088"/>
      <c r="F34" s="1089">
        <v>0</v>
      </c>
      <c r="G34" s="1090"/>
      <c r="H34" s="1089">
        <v>0</v>
      </c>
      <c r="I34" s="1090"/>
      <c r="J34" s="1091">
        <f>F34-H34</f>
        <v>0</v>
      </c>
      <c r="K34" s="1092"/>
    </row>
    <row r="35" spans="1:11" ht="12.75" hidden="1" customHeight="1">
      <c r="C35" s="1093" t="str">
        <f>CHOOSE(jezyk,n!A327,n!B327,n!C327,n!D327)</f>
        <v>Aktywa obrotowe</v>
      </c>
      <c r="D35" s="1094"/>
      <c r="E35" s="1094"/>
      <c r="F35" s="1095">
        <f>Bilans!J70</f>
        <v>0</v>
      </c>
      <c r="G35" s="1096"/>
      <c r="H35" s="1097">
        <v>0</v>
      </c>
      <c r="I35" s="1098"/>
      <c r="J35" s="1095">
        <f>H35-F35</f>
        <v>0</v>
      </c>
      <c r="K35" s="1096"/>
    </row>
    <row r="36" spans="1:11" ht="12.75" hidden="1" customHeight="1">
      <c r="C36" s="237" t="str">
        <f>CHOOSE(jezyk,n!A1073,n!B1073,n!C1073,n!D1071)</f>
        <v>w tym:</v>
      </c>
      <c r="D36" s="92"/>
      <c r="E36" s="92"/>
      <c r="F36" s="1085"/>
      <c r="G36" s="1086"/>
      <c r="H36" s="1085"/>
      <c r="I36" s="1086"/>
      <c r="J36" s="1085"/>
      <c r="K36" s="1086"/>
    </row>
    <row r="37" spans="1:11" ht="12.75" hidden="1" customHeight="1">
      <c r="A37" s="72"/>
      <c r="C37" s="1087"/>
      <c r="D37" s="1088"/>
      <c r="E37" s="1088"/>
      <c r="F37" s="1089">
        <v>0</v>
      </c>
      <c r="G37" s="1090"/>
      <c r="H37" s="1089">
        <v>0</v>
      </c>
      <c r="I37" s="1090"/>
      <c r="J37" s="1091">
        <f>H37-F37</f>
        <v>0</v>
      </c>
      <c r="K37" s="1092"/>
    </row>
    <row r="38" spans="1:11" ht="16.5" hidden="1" customHeight="1">
      <c r="C38" s="1102" t="str">
        <f>CHOOSE(jezyk,n!A359,n!B359,n!C359,n!D359)</f>
        <v>Aktywa razem</v>
      </c>
      <c r="D38" s="1103"/>
      <c r="E38" s="1104"/>
      <c r="F38" s="1105">
        <f>F32+F35</f>
        <v>0</v>
      </c>
      <c r="G38" s="1105"/>
      <c r="H38" s="1105">
        <f>H32+H35</f>
        <v>0</v>
      </c>
      <c r="I38" s="1105"/>
      <c r="J38" s="1105">
        <f>F38-H38</f>
        <v>0</v>
      </c>
      <c r="K38" s="1105"/>
    </row>
    <row r="39" spans="1:11" ht="12.75" hidden="1" customHeight="1"/>
    <row r="40" spans="1:11" ht="12.75" hidden="1" customHeight="1"/>
    <row r="41" spans="1:11" ht="24.75" hidden="1" customHeight="1">
      <c r="C41" s="845" t="str">
        <f>CHOOSE(jezyk,n!A1072,n!B1072,n!C1072,n!A1070)</f>
        <v>PASYWA</v>
      </c>
      <c r="D41" s="845"/>
      <c r="E41" s="845"/>
      <c r="F41" s="839" t="str">
        <f>F31</f>
        <v>Dane zatwierdzone na 31.12.2023</v>
      </c>
      <c r="G41" s="839"/>
      <c r="H41" s="839" t="str">
        <f>H31</f>
        <v>Przekształcone dane na 31.12.2023</v>
      </c>
      <c r="I41" s="839"/>
      <c r="J41" s="932" t="str">
        <f>CHOOSE(jezyk,n!A1076,n!B1076,n!C1076,n!D1074)</f>
        <v>Zmiana</v>
      </c>
      <c r="K41" s="933"/>
    </row>
    <row r="42" spans="1:11" ht="12.75" hidden="1" customHeight="1">
      <c r="C42" s="1093" t="str">
        <f>CHOOSE(jezyk,n!A361,n!B361,n!C361,n!D361)</f>
        <v>Kapitał  (fundusz) własny</v>
      </c>
      <c r="D42" s="1094"/>
      <c r="E42" s="1099"/>
      <c r="F42" s="1095">
        <f>Bilans!T10</f>
        <v>0</v>
      </c>
      <c r="G42" s="1096"/>
      <c r="H42" s="1100">
        <f>F42</f>
        <v>0</v>
      </c>
      <c r="I42" s="1101"/>
      <c r="J42" s="1095">
        <f>H42-F42</f>
        <v>0</v>
      </c>
      <c r="K42" s="1096"/>
    </row>
    <row r="43" spans="1:11" ht="12.75" hidden="1" customHeight="1">
      <c r="C43" s="237" t="str">
        <f>CHOOSE(jezyk,n!A1073,n!B1073,n!C1073,n!D1071)</f>
        <v>w tym:</v>
      </c>
      <c r="D43" s="92"/>
      <c r="E43" s="238"/>
      <c r="F43" s="1106"/>
      <c r="G43" s="1107"/>
      <c r="H43" s="1106"/>
      <c r="I43" s="1107"/>
      <c r="J43" s="1085"/>
      <c r="K43" s="1086"/>
    </row>
    <row r="44" spans="1:11" ht="12.75" hidden="1" customHeight="1">
      <c r="C44" s="1122" t="str">
        <f>CHOOSE(jezyk,n!A372,n!B372,n!C372,n!D372)</f>
        <v>Zysk (strata) z lat ubiegłych</v>
      </c>
      <c r="D44" s="772"/>
      <c r="E44" s="1123"/>
      <c r="F44" s="1110">
        <f>Bilans!T20</f>
        <v>1E-4</v>
      </c>
      <c r="G44" s="1111"/>
      <c r="H44" s="1108">
        <v>0</v>
      </c>
      <c r="I44" s="1109"/>
      <c r="J44" s="1110">
        <f>F44-H44</f>
        <v>1E-4</v>
      </c>
      <c r="K44" s="1111"/>
    </row>
    <row r="45" spans="1:11" ht="12.75" hidden="1" customHeight="1">
      <c r="C45" s="1112" t="str">
        <f>CHOOSE(jezyk,n!A373,n!B373,n!C373,n!D373)</f>
        <v>Zysk (strata) netto</v>
      </c>
      <c r="D45" s="1113"/>
      <c r="E45" s="1114"/>
      <c r="F45" s="1110">
        <f>Bilans!T21</f>
        <v>0</v>
      </c>
      <c r="G45" s="1111"/>
      <c r="H45" s="1115">
        <f>F45</f>
        <v>0</v>
      </c>
      <c r="I45" s="1116"/>
      <c r="J45" s="1091">
        <f>H45-F45</f>
        <v>0</v>
      </c>
      <c r="K45" s="1092"/>
    </row>
    <row r="46" spans="1:11" ht="25.5" hidden="1" customHeight="1">
      <c r="A46" s="72"/>
      <c r="C46" s="1117" t="str">
        <f>CHOOSE(jezyk,n!A375,n!B375,n!C375,n!D375)</f>
        <v>Zobowiązania i rezerwy na zobowiązania</v>
      </c>
      <c r="D46" s="1118"/>
      <c r="E46" s="1119"/>
      <c r="F46" s="1095">
        <f>Bilans!T27</f>
        <v>0</v>
      </c>
      <c r="G46" s="1096"/>
      <c r="H46" s="1097">
        <v>0</v>
      </c>
      <c r="I46" s="1098"/>
      <c r="J46" s="1095">
        <f>H46-F46</f>
        <v>0</v>
      </c>
      <c r="K46" s="1096"/>
    </row>
    <row r="47" spans="1:11" ht="12.75" hidden="1" customHeight="1">
      <c r="C47" s="239" t="str">
        <f>CHOOSE(jezyk,n!A1073,n!B1073,n!C1073,n!D1071)</f>
        <v>w tym:</v>
      </c>
      <c r="D47" s="38"/>
      <c r="E47" s="38"/>
      <c r="F47" s="239"/>
      <c r="G47" s="240"/>
      <c r="H47" s="239"/>
      <c r="I47" s="240"/>
      <c r="J47" s="1085"/>
      <c r="K47" s="1086"/>
    </row>
    <row r="48" spans="1:11" ht="12.75" hidden="1" customHeight="1">
      <c r="A48" s="72"/>
      <c r="C48" s="1120"/>
      <c r="D48" s="758"/>
      <c r="E48" s="1121"/>
      <c r="F48" s="1108">
        <v>0</v>
      </c>
      <c r="G48" s="1109"/>
      <c r="H48" s="1108">
        <v>0</v>
      </c>
      <c r="I48" s="1109"/>
      <c r="J48" s="1110">
        <f>H48-F48</f>
        <v>0</v>
      </c>
      <c r="K48" s="1111"/>
    </row>
    <row r="49" spans="1:18" ht="12.75" hidden="1" customHeight="1">
      <c r="A49" s="72"/>
      <c r="C49" s="1120"/>
      <c r="D49" s="758"/>
      <c r="E49" s="1121"/>
      <c r="F49" s="1108"/>
      <c r="G49" s="1109"/>
      <c r="H49" s="1108"/>
      <c r="I49" s="1109"/>
      <c r="J49" s="1110">
        <f>H49-F49</f>
        <v>0</v>
      </c>
      <c r="K49" s="1111"/>
    </row>
    <row r="50" spans="1:18" ht="12.75" hidden="1" customHeight="1">
      <c r="A50" s="72"/>
      <c r="C50" s="1120"/>
      <c r="D50" s="758"/>
      <c r="E50" s="1121"/>
      <c r="F50" s="1108">
        <v>0</v>
      </c>
      <c r="G50" s="1109"/>
      <c r="H50" s="1108">
        <v>0</v>
      </c>
      <c r="I50" s="1109"/>
      <c r="J50" s="1091">
        <f>H50-F50</f>
        <v>0</v>
      </c>
      <c r="K50" s="1092"/>
      <c r="P50" s="1127"/>
      <c r="Q50" s="1127"/>
      <c r="R50" s="1127"/>
    </row>
    <row r="51" spans="1:18" ht="17.25" hidden="1" customHeight="1">
      <c r="C51" s="1102" t="str">
        <f>CHOOSE(jezyk,n!A411,n!B411,n!C411,n!D411)</f>
        <v>Pasywa razem</v>
      </c>
      <c r="D51" s="1103"/>
      <c r="E51" s="1104"/>
      <c r="F51" s="1105">
        <f>F42+F46</f>
        <v>0</v>
      </c>
      <c r="G51" s="1105"/>
      <c r="H51" s="1105">
        <f>H42+H46</f>
        <v>0</v>
      </c>
      <c r="I51" s="1105"/>
      <c r="J51" s="1091">
        <f>H51-F51</f>
        <v>0</v>
      </c>
      <c r="K51" s="1092"/>
    </row>
    <row r="52" spans="1:18" ht="12.75" hidden="1" customHeight="1"/>
    <row r="53" spans="1:18" ht="24.75" hidden="1" customHeight="1">
      <c r="C53" s="845" t="str">
        <f>CHOOSE(jezyk,n!A417,n!B417,n!C417,n!D417)</f>
        <v>Rachunek zysków i strat</v>
      </c>
      <c r="D53" s="845"/>
      <c r="E53" s="845"/>
      <c r="F53" s="839" t="str">
        <f>CHOOSE(jezyk,n!A1077,n!B1077,n!C1077,n!D1075)</f>
        <v>Dane zatwierdzone za rok 2023</v>
      </c>
      <c r="G53" s="839"/>
      <c r="H53" s="839" t="str">
        <f>CHOOSE(jezyk,n!A1078,n!B1078,n!C1078,n!D1076)</f>
        <v>Przekształcone dane za rok 2023</v>
      </c>
      <c r="I53" s="839"/>
      <c r="J53" s="932" t="str">
        <f>CHOOSE(jezyk,n!A1076,n!B1076,n!C1076,n!D1074)</f>
        <v>Zmiana</v>
      </c>
      <c r="K53" s="933"/>
    </row>
    <row r="54" spans="1:18" ht="12.75" hidden="1" customHeight="1">
      <c r="C54" s="1093" t="str">
        <f>CHOOSE(jezyk,n!A1079,n!B1079,n!C1079,n!D1077)</f>
        <v>Przychody ze sprzedaży</v>
      </c>
      <c r="D54" s="1094"/>
      <c r="E54" s="1099"/>
      <c r="F54" s="1095">
        <f>'RZiS Por. '!F12</f>
        <v>0</v>
      </c>
      <c r="G54" s="1096"/>
      <c r="H54" s="1097">
        <f>F54</f>
        <v>0</v>
      </c>
      <c r="I54" s="1098"/>
      <c r="J54" s="1095">
        <f>H54-F54</f>
        <v>0</v>
      </c>
      <c r="K54" s="1096"/>
    </row>
    <row r="55" spans="1:18" ht="12.75" hidden="1" customHeight="1">
      <c r="C55" s="237" t="str">
        <f>CHOOSE(jezyk,n!A1073,n!B1073,n!C1073,n!D1071)</f>
        <v>w tym:</v>
      </c>
      <c r="D55" s="92"/>
      <c r="E55" s="238"/>
      <c r="F55" s="1133"/>
      <c r="G55" s="1134"/>
      <c r="H55" s="1133"/>
      <c r="I55" s="1134"/>
      <c r="J55" s="1085"/>
      <c r="K55" s="1086"/>
    </row>
    <row r="56" spans="1:18" ht="12.75" hidden="1" customHeight="1">
      <c r="A56" s="72"/>
      <c r="C56" s="1087"/>
      <c r="D56" s="1088"/>
      <c r="E56" s="1128"/>
      <c r="F56" s="1089">
        <f>Bilans!T33</f>
        <v>0</v>
      </c>
      <c r="G56" s="1129"/>
      <c r="H56" s="1089">
        <f>F56</f>
        <v>0</v>
      </c>
      <c r="I56" s="1129"/>
      <c r="J56" s="1091">
        <f>H56-F56</f>
        <v>0</v>
      </c>
      <c r="K56" s="1092"/>
    </row>
    <row r="57" spans="1:18" ht="12.75" hidden="1" customHeight="1">
      <c r="A57" s="72"/>
      <c r="C57" s="1130" t="str">
        <f>CHOOSE(jezyk,n!A426,n!B426,n!C426,n!D426)</f>
        <v>Koszty działalności operacyjnej</v>
      </c>
      <c r="D57" s="1131"/>
      <c r="E57" s="1132"/>
      <c r="F57" s="1095">
        <f>'RZiS Por. '!F20</f>
        <v>0</v>
      </c>
      <c r="G57" s="1096"/>
      <c r="H57" s="1097">
        <v>0</v>
      </c>
      <c r="I57" s="1098"/>
      <c r="J57" s="1095">
        <f>H57-F57</f>
        <v>0</v>
      </c>
      <c r="K57" s="1096"/>
    </row>
    <row r="58" spans="1:18" ht="12.75" hidden="1" customHeight="1">
      <c r="C58" s="237" t="str">
        <f>CHOOSE(jezyk,n!A1073,n!B1073,n!C1073,n!D1071)</f>
        <v>w tym:</v>
      </c>
      <c r="D58" s="92"/>
      <c r="E58" s="92"/>
      <c r="F58" s="237"/>
      <c r="G58" s="238"/>
      <c r="H58" s="237"/>
      <c r="I58" s="238"/>
      <c r="J58" s="1085"/>
      <c r="K58" s="1086"/>
    </row>
    <row r="59" spans="1:18" ht="12.75" hidden="1" customHeight="1">
      <c r="A59" s="72"/>
      <c r="C59" s="1087"/>
      <c r="D59" s="1088"/>
      <c r="E59" s="1128"/>
      <c r="F59" s="1089">
        <v>0</v>
      </c>
      <c r="G59" s="1129"/>
      <c r="H59" s="1089">
        <v>0</v>
      </c>
      <c r="I59" s="1129"/>
      <c r="J59" s="1091">
        <f>H59-F59</f>
        <v>0</v>
      </c>
      <c r="K59" s="1092"/>
    </row>
    <row r="60" spans="1:18" s="151" customFormat="1" ht="20.25" hidden="1" customHeight="1">
      <c r="B60" s="72"/>
      <c r="C60" s="1102" t="str">
        <f>CHOOSE(jezyk,n!A373,n!B373,n!C373,n!D373)</f>
        <v>Zysk (strata) netto</v>
      </c>
      <c r="D60" s="1103"/>
      <c r="E60" s="1104"/>
      <c r="F60" s="1105">
        <f>'RZiS Por. '!F81</f>
        <v>1E-4</v>
      </c>
      <c r="G60" s="1105"/>
      <c r="H60" s="1124">
        <f>H54+H57</f>
        <v>0</v>
      </c>
      <c r="I60" s="1124"/>
      <c r="J60" s="1125">
        <f>H60-F60</f>
        <v>-1E-4</v>
      </c>
      <c r="K60" s="1126"/>
    </row>
    <row r="61" spans="1:18" ht="12.75" hidden="1" customHeight="1"/>
    <row r="62" spans="1:18" ht="12.75" hidden="1" customHeight="1"/>
  </sheetData>
  <mergeCells count="117">
    <mergeCell ref="C60:E60"/>
    <mergeCell ref="F60:G60"/>
    <mergeCell ref="H60:I60"/>
    <mergeCell ref="J60:K60"/>
    <mergeCell ref="P50:R50"/>
    <mergeCell ref="J58:K58"/>
    <mergeCell ref="C59:E59"/>
    <mergeCell ref="F59:G59"/>
    <mergeCell ref="H59:I59"/>
    <mergeCell ref="J59:K59"/>
    <mergeCell ref="C56:E56"/>
    <mergeCell ref="F56:G56"/>
    <mergeCell ref="H56:I56"/>
    <mergeCell ref="J56:K56"/>
    <mergeCell ref="C57:E57"/>
    <mergeCell ref="F57:G57"/>
    <mergeCell ref="H57:I57"/>
    <mergeCell ref="J57:K57"/>
    <mergeCell ref="F55:G55"/>
    <mergeCell ref="H55:I55"/>
    <mergeCell ref="J55:K55"/>
    <mergeCell ref="C53:E53"/>
    <mergeCell ref="F53:G53"/>
    <mergeCell ref="H53:I53"/>
    <mergeCell ref="J53:K53"/>
    <mergeCell ref="C54:E54"/>
    <mergeCell ref="F54:G54"/>
    <mergeCell ref="H54:I54"/>
    <mergeCell ref="J54:K54"/>
    <mergeCell ref="J44:K44"/>
    <mergeCell ref="C49:E49"/>
    <mergeCell ref="F49:G49"/>
    <mergeCell ref="H49:I49"/>
    <mergeCell ref="J49:K49"/>
    <mergeCell ref="C44:E44"/>
    <mergeCell ref="J46:K46"/>
    <mergeCell ref="F44:G44"/>
    <mergeCell ref="H44:I44"/>
    <mergeCell ref="C50:E50"/>
    <mergeCell ref="F50:G50"/>
    <mergeCell ref="H50:I50"/>
    <mergeCell ref="J50:K50"/>
    <mergeCell ref="C51:E51"/>
    <mergeCell ref="F51:G51"/>
    <mergeCell ref="H51:I51"/>
    <mergeCell ref="J51:K51"/>
    <mergeCell ref="J47:K47"/>
    <mergeCell ref="C48:E48"/>
    <mergeCell ref="F48:G48"/>
    <mergeCell ref="H48:I48"/>
    <mergeCell ref="J48:K48"/>
    <mergeCell ref="C45:E45"/>
    <mergeCell ref="F45:G45"/>
    <mergeCell ref="H45:I45"/>
    <mergeCell ref="J45:K45"/>
    <mergeCell ref="C46:E46"/>
    <mergeCell ref="F46:G46"/>
    <mergeCell ref="H46:I46"/>
    <mergeCell ref="C42:E42"/>
    <mergeCell ref="F42:G42"/>
    <mergeCell ref="H42:I42"/>
    <mergeCell ref="J42:K42"/>
    <mergeCell ref="J43:K43"/>
    <mergeCell ref="C38:E38"/>
    <mergeCell ref="F38:G38"/>
    <mergeCell ref="H38:I38"/>
    <mergeCell ref="J38:K38"/>
    <mergeCell ref="C41:E41"/>
    <mergeCell ref="F41:G41"/>
    <mergeCell ref="H41:I41"/>
    <mergeCell ref="J41:K41"/>
    <mergeCell ref="F43:G43"/>
    <mergeCell ref="H43:I43"/>
    <mergeCell ref="J36:K36"/>
    <mergeCell ref="C37:E37"/>
    <mergeCell ref="F37:G37"/>
    <mergeCell ref="H37:I37"/>
    <mergeCell ref="J37:K37"/>
    <mergeCell ref="F36:G36"/>
    <mergeCell ref="H36:I36"/>
    <mergeCell ref="C32:E32"/>
    <mergeCell ref="F32:G32"/>
    <mergeCell ref="H32:I32"/>
    <mergeCell ref="J32:K32"/>
    <mergeCell ref="C35:E35"/>
    <mergeCell ref="F35:G35"/>
    <mergeCell ref="H35:I35"/>
    <mergeCell ref="J35:K35"/>
    <mergeCell ref="C34:E34"/>
    <mergeCell ref="J33:K33"/>
    <mergeCell ref="F34:G34"/>
    <mergeCell ref="H34:I34"/>
    <mergeCell ref="J34:K34"/>
    <mergeCell ref="F33:G33"/>
    <mergeCell ref="H33:I33"/>
    <mergeCell ref="C29:L29"/>
    <mergeCell ref="C31:E31"/>
    <mergeCell ref="F31:G31"/>
    <mergeCell ref="H31:I31"/>
    <mergeCell ref="J31:K31"/>
    <mergeCell ref="B4:L4"/>
    <mergeCell ref="C19:L19"/>
    <mergeCell ref="C21:L22"/>
    <mergeCell ref="C24:L24"/>
    <mergeCell ref="C26:L27"/>
    <mergeCell ref="C20:L20"/>
    <mergeCell ref="B1:L1"/>
    <mergeCell ref="C18:M18"/>
    <mergeCell ref="C7:L7"/>
    <mergeCell ref="C17:L17"/>
    <mergeCell ref="C15:L15"/>
    <mergeCell ref="C11:L11"/>
    <mergeCell ref="C9:L9"/>
    <mergeCell ref="C13:L13"/>
    <mergeCell ref="C8:L8"/>
    <mergeCell ref="C12:L12"/>
    <mergeCell ref="C16:L16"/>
  </mergeCells>
  <phoneticPr fontId="0" type="noConversion"/>
  <hyperlinks>
    <hyperlink ref="B1:L1" location="'spis treści'!A1" display="SPIS TREŚCI" xr:uid="{00000000-0004-0000-2D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6</oddFooter>
  </headerFooter>
  <rowBreaks count="1" manualBreakCount="1">
    <brk id="39"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27">
    <pageSetUpPr fitToPage="1"/>
  </sheetPr>
  <dimension ref="A1:W132"/>
  <sheetViews>
    <sheetView showGridLines="0" view="pageBreakPreview" topLeftCell="A29" zoomScaleNormal="75" zoomScaleSheetLayoutView="100" workbookViewId="0">
      <selection activeCell="H31" sqref="H31"/>
    </sheetView>
  </sheetViews>
  <sheetFormatPr defaultColWidth="9.140625" defaultRowHeight="12.75"/>
  <cols>
    <col min="1" max="1" width="20" style="66" bestFit="1" customWidth="1"/>
    <col min="2" max="2" width="4.7109375" style="72" customWidth="1"/>
    <col min="3" max="4" width="11.5703125" style="66" customWidth="1"/>
    <col min="5" max="5" width="10" style="66" customWidth="1"/>
    <col min="6" max="6" width="12.140625" style="66" customWidth="1"/>
    <col min="7" max="7" width="13.28515625" style="66" customWidth="1"/>
    <col min="8" max="8" width="13.140625" style="66" customWidth="1"/>
    <col min="9" max="9" width="16.85546875" style="66" customWidth="1"/>
    <col min="10" max="10" width="0.7109375" style="66" customWidth="1"/>
    <col min="11" max="11" width="0.42578125" style="66" customWidth="1"/>
    <col min="12" max="12" width="0.85546875" style="66" customWidth="1"/>
    <col min="13" max="13" width="3.85546875" style="66" customWidth="1"/>
    <col min="14" max="15" width="9.140625" style="66"/>
    <col min="16" max="16" width="13.28515625" style="66" customWidth="1"/>
    <col min="17" max="17" width="15.28515625" style="66" customWidth="1"/>
    <col min="18" max="18" width="9.140625" style="66"/>
    <col min="19" max="19" width="12.7109375" style="66" customWidth="1"/>
    <col min="20" max="20" width="9.140625" style="66"/>
    <col min="21" max="21" width="12.42578125" style="66" customWidth="1"/>
    <col min="22" max="16384" width="9.140625" style="66"/>
  </cols>
  <sheetData>
    <row r="1" spans="2:14">
      <c r="B1" s="773" t="s">
        <v>1257</v>
      </c>
      <c r="C1" s="773"/>
      <c r="D1" s="773"/>
      <c r="E1" s="773"/>
      <c r="F1" s="773"/>
      <c r="G1" s="773"/>
      <c r="H1" s="773"/>
      <c r="I1" s="773"/>
      <c r="J1" s="773"/>
      <c r="K1" s="773"/>
      <c r="L1" s="773"/>
      <c r="M1" s="773"/>
    </row>
    <row r="2" spans="2:14">
      <c r="B2" s="393" t="str">
        <f>nazwa_spolki</f>
        <v>Rhenus Digital Workforce Sp. z o.o.</v>
      </c>
      <c r="C2" s="397"/>
      <c r="D2" s="397"/>
      <c r="E2" s="397"/>
      <c r="F2" s="397"/>
      <c r="G2" s="397"/>
      <c r="H2" s="397"/>
      <c r="I2" s="397"/>
      <c r="J2" s="397"/>
      <c r="K2" s="397"/>
      <c r="L2" s="397"/>
      <c r="M2" s="397"/>
    </row>
    <row r="3" spans="2:14" ht="45.95" customHeight="1">
      <c r="B3" s="130" t="str">
        <f>tytul</f>
        <v>Sprawozdanie finansowe sporządzone za rok obrotowy 2024</v>
      </c>
      <c r="C3" s="397"/>
      <c r="D3" s="397"/>
      <c r="E3" s="397"/>
      <c r="F3" s="397"/>
      <c r="G3" s="397"/>
      <c r="H3" s="397"/>
      <c r="I3" s="397"/>
      <c r="J3" s="397"/>
      <c r="K3" s="397"/>
      <c r="L3" s="397"/>
      <c r="M3" s="397"/>
    </row>
    <row r="4" spans="2:14" s="180" customFormat="1" ht="20.25">
      <c r="B4" s="800" t="str">
        <f>"7. "&amp;CHOOSE(jezyk,n!A613,n!B613,n!C613,n!D611)</f>
        <v>7. DODATKOWE INFORMACJE I OBJAŚNIENIA</v>
      </c>
      <c r="C4" s="1083"/>
      <c r="D4" s="1083"/>
      <c r="E4" s="1083"/>
      <c r="F4" s="1083"/>
      <c r="G4" s="1083"/>
      <c r="H4" s="1083"/>
      <c r="I4" s="1083"/>
      <c r="J4" s="1083"/>
      <c r="K4" s="1083"/>
      <c r="L4" s="1083"/>
      <c r="M4" s="1083"/>
    </row>
    <row r="5" spans="2:14">
      <c r="C5" s="399"/>
      <c r="D5" s="399"/>
      <c r="E5" s="399"/>
      <c r="F5" s="399"/>
      <c r="G5" s="399"/>
      <c r="H5" s="399"/>
      <c r="I5" s="1140"/>
      <c r="J5" s="1082"/>
      <c r="K5" s="1082"/>
      <c r="L5" s="862"/>
      <c r="M5" s="862"/>
    </row>
    <row r="6" spans="2:14" s="72" customFormat="1" ht="12.75" customHeight="1">
      <c r="B6" s="111" t="s">
        <v>2107</v>
      </c>
      <c r="C6" s="1138" t="str">
        <f>CHOOSE(jezyk,n!A1081,n!B1081,n!C1081,n!D1079)</f>
        <v>Wspólne przedsięwzięcia, które nie podlegają konsolidacji</v>
      </c>
      <c r="D6" s="1139"/>
      <c r="E6" s="1139"/>
      <c r="F6" s="1139"/>
      <c r="G6" s="1139"/>
      <c r="H6" s="1139"/>
      <c r="I6" s="1139"/>
      <c r="J6" s="1139"/>
      <c r="K6" s="1139"/>
      <c r="L6" s="1139"/>
      <c r="M6" s="1139"/>
    </row>
    <row r="7" spans="2:14" ht="12.75" customHeight="1">
      <c r="B7" s="111"/>
      <c r="C7" s="384"/>
      <c r="D7" s="317"/>
      <c r="E7" s="317"/>
      <c r="F7" s="317"/>
      <c r="G7" s="317"/>
      <c r="H7" s="317"/>
      <c r="I7" s="1140"/>
      <c r="J7" s="1082"/>
      <c r="K7" s="1082"/>
      <c r="L7" s="862"/>
      <c r="M7" s="862"/>
    </row>
    <row r="8" spans="2:14">
      <c r="C8" s="745" t="str">
        <f>CHOOSE(jezyk,n!A1131,n!B1131,n!C1131,n!D1129)</f>
        <v>Nie dotyczy</v>
      </c>
      <c r="D8" s="745"/>
      <c r="E8" s="745"/>
      <c r="F8" s="745"/>
      <c r="G8" s="745"/>
      <c r="H8" s="745"/>
      <c r="I8" s="745"/>
      <c r="J8" s="745"/>
      <c r="K8" s="745"/>
      <c r="L8" s="745"/>
      <c r="M8" s="745"/>
      <c r="N8" s="131" t="s">
        <v>2186</v>
      </c>
    </row>
    <row r="9" spans="2:14">
      <c r="C9" s="406"/>
      <c r="D9" s="406"/>
      <c r="E9" s="406"/>
      <c r="F9" s="406"/>
      <c r="G9" s="406"/>
      <c r="H9" s="406"/>
      <c r="I9" s="406"/>
      <c r="J9" s="406"/>
      <c r="K9" s="406"/>
      <c r="L9" s="406"/>
      <c r="M9" s="406"/>
    </row>
    <row r="10" spans="2:14" s="151" customFormat="1" ht="19.5" hidden="1" customHeight="1">
      <c r="C10" s="187"/>
      <c r="D10" s="187"/>
      <c r="E10" s="187"/>
      <c r="F10" s="839" t="str">
        <f>CHOOSE(jezyk,n!A1091,n!B1091,n!C1091,n!D1089)</f>
        <v>Opis szczegółowy</v>
      </c>
      <c r="G10" s="839"/>
      <c r="H10" s="839"/>
      <c r="I10" s="402" t="str">
        <f>CHOOSE(jezyk,n!A1092,n!B1092,n!C1092,n!D1090)</f>
        <v>Kwota</v>
      </c>
      <c r="J10" s="187"/>
      <c r="K10" s="187"/>
      <c r="L10" s="187"/>
      <c r="M10" s="187"/>
    </row>
    <row r="11" spans="2:14" ht="27.75" hidden="1" customHeight="1">
      <c r="C11" s="846" t="str">
        <f>CHOOSE(jezyk,n!A1082,n!B1082,n!C1082,n!D1080)</f>
        <v>Nazwa i zakres działalności wspólnego przedsięwzięcia</v>
      </c>
      <c r="D11" s="846"/>
      <c r="E11" s="846"/>
      <c r="F11" s="850"/>
      <c r="G11" s="850"/>
      <c r="H11" s="850"/>
      <c r="I11" s="412"/>
    </row>
    <row r="12" spans="2:14" ht="27" hidden="1" customHeight="1">
      <c r="C12" s="846" t="str">
        <f>CHOOSE(jezyk,n!A1083,n!B1083,n!C1083,n!D1081)</f>
        <v>Procentowy udział jednostki w przedsięwzięciu</v>
      </c>
      <c r="D12" s="846"/>
      <c r="E12" s="846"/>
      <c r="F12" s="850"/>
      <c r="G12" s="850"/>
      <c r="H12" s="850"/>
      <c r="I12" s="412"/>
    </row>
    <row r="13" spans="2:14" ht="51" hidden="1" customHeight="1">
      <c r="C13" s="846" t="str">
        <f>CHOOSE(jezyk,n!A1084,n!B1084,n!C1084,n!D1082)</f>
        <v>Część wspólnie kontrolowanych rzeczowych składników aktywów trwałych oraz wartości niematerialnych i prawnych</v>
      </c>
      <c r="D13" s="846"/>
      <c r="E13" s="846"/>
      <c r="F13" s="850"/>
      <c r="G13" s="850"/>
      <c r="H13" s="850"/>
      <c r="I13" s="412"/>
    </row>
    <row r="14" spans="2:14" hidden="1">
      <c r="C14" s="846" t="str">
        <f>CHOOSE(jezyk,n!A1085,n!B1085,n!C1085,n!D1083)</f>
        <v>Zobowiązania zaciągnięte na potrzeby przedsięwzięcia lub zakup używanych rzeczowych składników aktywów trwałych</v>
      </c>
      <c r="D14" s="846"/>
      <c r="E14" s="846"/>
      <c r="F14" s="850"/>
      <c r="G14" s="850"/>
      <c r="H14" s="850"/>
      <c r="I14" s="412"/>
    </row>
    <row r="15" spans="2:14" ht="25.5" hidden="1" customHeight="1">
      <c r="C15" s="846" t="str">
        <f>CHOOSE(jezyk,n!A1086,n!B1086,n!C1086,n!D1084)</f>
        <v>Część zobowiązań wspólnie zaciągniętych</v>
      </c>
      <c r="D15" s="846"/>
      <c r="E15" s="846"/>
      <c r="F15" s="850"/>
      <c r="G15" s="850"/>
      <c r="H15" s="850"/>
      <c r="I15" s="412"/>
    </row>
    <row r="16" spans="2:14" ht="27" hidden="1" customHeight="1">
      <c r="C16" s="846" t="str">
        <f>CHOOSE(jezyk,n!A1087,n!B1087,n!C1087,n!D1085)</f>
        <v>Przychody uzyskane ze wspólnego przedsięwzięcia</v>
      </c>
      <c r="D16" s="846"/>
      <c r="E16" s="846"/>
      <c r="F16" s="850"/>
      <c r="G16" s="850"/>
      <c r="H16" s="850"/>
      <c r="I16" s="412"/>
    </row>
    <row r="17" spans="1:21" ht="27" hidden="1" customHeight="1">
      <c r="C17" s="846" t="str">
        <f>CHOOSE(jezyk,n!A1088,n!B1088,n!C1088,n!D1086)</f>
        <v>Koszty związane ze wspólnym przedsięwzięciem</v>
      </c>
      <c r="D17" s="846"/>
      <c r="E17" s="846"/>
      <c r="F17" s="850"/>
      <c r="G17" s="850"/>
      <c r="H17" s="850"/>
      <c r="I17" s="412"/>
    </row>
    <row r="18" spans="1:21" ht="28.5" hidden="1" customHeight="1">
      <c r="C18" s="846" t="str">
        <f>CHOOSE(jezyk,n!A1090,n!B1090,n!C1090,n!D1088)</f>
        <v>Zobowiązania inwestycyjne dotyczące wspólnego przedsięwzięcia</v>
      </c>
      <c r="D18" s="846"/>
      <c r="E18" s="846"/>
      <c r="F18" s="850"/>
      <c r="G18" s="850"/>
      <c r="H18" s="850"/>
      <c r="I18" s="412"/>
    </row>
    <row r="19" spans="1:21" hidden="1">
      <c r="I19" s="134"/>
      <c r="J19" s="317"/>
      <c r="K19" s="317"/>
    </row>
    <row r="20" spans="1:21">
      <c r="B20" s="111" t="s">
        <v>2108</v>
      </c>
      <c r="C20" s="1138" t="str">
        <f>CHOOSE(jezyk,n!A1093,n!B1093,n!C1093,n!D1091)</f>
        <v>Informacje o transakcjach z jednostkami powiązanymi</v>
      </c>
      <c r="D20" s="1139"/>
      <c r="E20" s="1139"/>
      <c r="F20" s="1139"/>
      <c r="G20" s="1139"/>
      <c r="H20" s="1139"/>
      <c r="I20" s="1139"/>
      <c r="J20" s="1139"/>
      <c r="K20" s="1139"/>
      <c r="L20" s="1139"/>
      <c r="M20" s="1139"/>
      <c r="N20" s="131" t="s">
        <v>4501</v>
      </c>
    </row>
    <row r="21" spans="1:21">
      <c r="C21" s="1081"/>
      <c r="D21" s="1082"/>
      <c r="E21" s="1082"/>
      <c r="F21" s="1082"/>
      <c r="G21" s="1082"/>
      <c r="H21" s="1082"/>
      <c r="I21" s="1082"/>
      <c r="J21" s="1082"/>
      <c r="K21" s="1082"/>
      <c r="L21" s="1082"/>
      <c r="M21" s="1082"/>
      <c r="N21" s="131"/>
    </row>
    <row r="22" spans="1:21" ht="26.25" customHeight="1">
      <c r="C22" s="741" t="str">
        <f>IF(GA!F67="nie",CHOOSE(jezyk,n!A1099,n!B1099,n!C1099,n!D1099),CHOOSE(jezyk,n!A1100,n!B1100,n!C1100,n!D1100))</f>
        <v>Zarówno w roku obrotowym 2024, jak i w roku poprzednim Spółka nie przeprowadzała transakcji z podmiotami powiązanymi.</v>
      </c>
      <c r="D22" s="741"/>
      <c r="E22" s="741"/>
      <c r="F22" s="741"/>
      <c r="G22" s="741"/>
      <c r="H22" s="741"/>
      <c r="I22" s="741"/>
      <c r="J22" s="741"/>
      <c r="K22" s="741"/>
      <c r="L22" s="741"/>
      <c r="M22" s="741"/>
      <c r="N22" s="131"/>
    </row>
    <row r="23" spans="1:21">
      <c r="C23" s="384"/>
      <c r="D23" s="317"/>
      <c r="E23" s="317"/>
      <c r="F23" s="317"/>
      <c r="G23" s="317"/>
      <c r="H23" s="317"/>
      <c r="I23" s="317"/>
      <c r="J23" s="317"/>
      <c r="K23" s="317"/>
      <c r="L23" s="317"/>
      <c r="M23" s="317"/>
      <c r="N23" s="131"/>
    </row>
    <row r="24" spans="1:21" ht="15" customHeight="1">
      <c r="C24" s="1143" t="str">
        <f>CHOOSE(jezyk,n!A616,n!B616,n!C616,n!D614)</f>
        <v>Rok obrotowy 2024</v>
      </c>
      <c r="D24" s="1144"/>
      <c r="E24" s="317"/>
      <c r="F24" s="317"/>
      <c r="G24" s="317"/>
      <c r="H24" s="317"/>
      <c r="I24" s="317"/>
      <c r="J24" s="317"/>
      <c r="K24" s="317"/>
      <c r="L24" s="317"/>
      <c r="M24" s="317"/>
      <c r="N24" s="131"/>
    </row>
    <row r="25" spans="1:21">
      <c r="C25" s="241"/>
      <c r="D25" s="241"/>
      <c r="E25" s="317"/>
      <c r="F25" s="317"/>
      <c r="G25" s="317"/>
      <c r="H25" s="317"/>
      <c r="I25" s="317"/>
      <c r="J25" s="317"/>
      <c r="K25" s="317"/>
      <c r="L25" s="317"/>
      <c r="M25" s="317"/>
      <c r="N25" s="131"/>
    </row>
    <row r="26" spans="1:21" hidden="1">
      <c r="C26" s="741" t="str">
        <f>IF(GA!F67="nie",CHOOSE(jezyk,n!A1094,n!B1094,n!C1094,n!D1092),CHOOSE(jezyk,n!A1095,n!B1095,n!C1095,n!D1095))</f>
        <v>W roku obrotowym 2024 Spółka nie przeprowadzała transakcji z podmiotami powiązanymi.</v>
      </c>
      <c r="D26" s="741"/>
      <c r="E26" s="741"/>
      <c r="F26" s="741"/>
      <c r="G26" s="741"/>
      <c r="H26" s="741"/>
      <c r="I26" s="741"/>
      <c r="J26" s="741"/>
      <c r="K26" s="741"/>
      <c r="L26" s="741"/>
      <c r="M26" s="741"/>
      <c r="N26" s="131" t="s">
        <v>2186</v>
      </c>
    </row>
    <row r="27" spans="1:21" hidden="1">
      <c r="I27" s="134"/>
      <c r="J27" s="317"/>
      <c r="K27" s="317"/>
    </row>
    <row r="28" spans="1:21" s="317" customFormat="1" ht="38.25">
      <c r="A28" s="66"/>
      <c r="B28" s="99"/>
      <c r="C28" s="841" t="str">
        <f>CHOOSE(jezyk,n!A1101,n!B1101,n!C1101,n!D1096)</f>
        <v>nazwa jednostki powiązanej</v>
      </c>
      <c r="D28" s="842"/>
      <c r="E28" s="843"/>
      <c r="F28" s="402" t="str">
        <f>CHOOSE(jezyk,n!A1102,n!B1102,n!C1102,n!D1098)</f>
        <v>waluta transakcji</v>
      </c>
      <c r="G28" s="402" t="str">
        <f>CHOOSE(jezyk,n!A1103,n!B1103,n!C1103,n!D1101)</f>
        <v>wartość transakcji w walucie</v>
      </c>
      <c r="H28" s="402" t="str">
        <f>CHOOSE(jezyk,n!A1104,n!B1104,n!C1104,n!D1102)</f>
        <v>wartość transakcji w PLN</v>
      </c>
      <c r="I28" s="839" t="str">
        <f>CHOOSE(jezyk,n!A1105,n!B1105,n!C1105,n!D1103)</f>
        <v>informacja o rodzaju transakcji</v>
      </c>
      <c r="J28" s="1142"/>
      <c r="K28" s="1142"/>
      <c r="L28" s="1142"/>
      <c r="M28" s="1142"/>
      <c r="N28" s="232"/>
    </row>
    <row r="29" spans="1:21" ht="27.95" customHeight="1">
      <c r="C29" s="1135"/>
      <c r="D29" s="1135"/>
      <c r="E29" s="1135"/>
      <c r="F29" s="242"/>
      <c r="G29" s="412"/>
      <c r="H29" s="412"/>
      <c r="I29" s="1135" t="str">
        <f>CHOOSE(jezyk,n!A1106,n!B1106,n!C1106,n!D1104)</f>
        <v>Zakupy</v>
      </c>
      <c r="J29" s="1135"/>
      <c r="K29" s="1135"/>
      <c r="L29" s="850"/>
      <c r="M29" s="850"/>
      <c r="S29" s="66">
        <f>rok</f>
        <v>2024</v>
      </c>
      <c r="U29" s="243" t="s">
        <v>6077</v>
      </c>
    </row>
    <row r="30" spans="1:21" ht="27.95" customHeight="1">
      <c r="C30" s="1135"/>
      <c r="D30" s="1135"/>
      <c r="E30" s="1135"/>
      <c r="F30" s="242"/>
      <c r="G30" s="412"/>
      <c r="H30" s="412"/>
      <c r="I30" s="1135" t="str">
        <f>CHOOSE(jezyk,n!A1107,n!B1107,n!C1107,n!D1105)</f>
        <v>Sprzedaż</v>
      </c>
      <c r="J30" s="1135"/>
      <c r="K30" s="1135"/>
      <c r="L30" s="850"/>
      <c r="M30" s="850"/>
      <c r="O30" s="244" t="s">
        <v>6073</v>
      </c>
      <c r="P30" s="245"/>
      <c r="Q30" s="245"/>
      <c r="R30" s="245"/>
      <c r="S30" s="246">
        <f>'RZiS Por. '!E14</f>
        <v>4235506.6399999997</v>
      </c>
      <c r="T30" s="245"/>
      <c r="U30" s="247">
        <f ca="1">S30-SUMIF(I29:M36,"Sprzedaż",H29:H36)</f>
        <v>4235506.6399999997</v>
      </c>
    </row>
    <row r="31" spans="1:21" ht="27.95" customHeight="1">
      <c r="C31" s="1135" t="s">
        <v>6941</v>
      </c>
      <c r="D31" s="1135"/>
      <c r="E31" s="1135"/>
      <c r="F31" s="242" t="s">
        <v>6000</v>
      </c>
      <c r="G31" s="412">
        <v>8724.35</v>
      </c>
      <c r="H31" s="412">
        <v>37436.03</v>
      </c>
      <c r="I31" s="1136" t="str">
        <f>CHOOSE(jezyk,n!A1108,n!B1108,n!C1108,n!D1106)</f>
        <v>Odsetki - koszty finansowe</v>
      </c>
      <c r="J31" s="1136"/>
      <c r="K31" s="1136"/>
      <c r="L31" s="1137"/>
      <c r="M31" s="1137"/>
      <c r="O31" s="248" t="s">
        <v>6074</v>
      </c>
      <c r="S31" s="38">
        <f>'RZiS Por. '!E58</f>
        <v>0</v>
      </c>
      <c r="T31" s="66" t="s">
        <v>6076</v>
      </c>
      <c r="U31" s="240">
        <f ca="1">S31-SUMIF(I29:M36,"Odsetki - przychody finansowe",H29:H36)</f>
        <v>0</v>
      </c>
    </row>
    <row r="32" spans="1:21" ht="27.95" customHeight="1">
      <c r="C32" s="1135"/>
      <c r="D32" s="1135"/>
      <c r="E32" s="1135"/>
      <c r="F32" s="242"/>
      <c r="G32" s="412"/>
      <c r="H32" s="412"/>
      <c r="I32" s="1136" t="str">
        <f>CHOOSE(jezyk,n!A1109,n!B1109,n!C1109,n!D1107)</f>
        <v>Odsetki - przychody finansowe</v>
      </c>
      <c r="J32" s="1136"/>
      <c r="K32" s="1136"/>
      <c r="L32" s="1137"/>
      <c r="M32" s="1137"/>
      <c r="O32" s="249" t="s">
        <v>6074</v>
      </c>
      <c r="P32" s="154"/>
      <c r="Q32" s="154"/>
      <c r="R32" s="154"/>
      <c r="S32" s="250">
        <f>'RZiS Por. '!E67</f>
        <v>37436.03</v>
      </c>
      <c r="T32" s="154" t="s">
        <v>6075</v>
      </c>
      <c r="U32" s="251">
        <f ca="1">S32-SUMIF(I29:M36,"Odsetki - koszty finansowe",H29:H36)</f>
        <v>0</v>
      </c>
    </row>
    <row r="33" spans="3:21" ht="27.95" customHeight="1">
      <c r="C33" s="1135"/>
      <c r="D33" s="1135"/>
      <c r="E33" s="1135"/>
      <c r="F33" s="242"/>
      <c r="G33" s="412"/>
      <c r="H33" s="412"/>
      <c r="I33" s="1136" t="str">
        <f>CHOOSE(jezyk,n!A1110,n!B1110,n!C1110,n!D1108)</f>
        <v>Otrzymane dywidendy i udziały w zyskach</v>
      </c>
      <c r="J33" s="1136"/>
      <c r="K33" s="1136"/>
      <c r="L33" s="1137"/>
      <c r="M33" s="1137"/>
      <c r="U33" s="38">
        <f ca="1">ROUND(SUM(U30:U32),2)</f>
        <v>4235506.6399999997</v>
      </c>
    </row>
    <row r="34" spans="3:21" ht="27.95" customHeight="1">
      <c r="C34" s="1135" t="s">
        <v>6941</v>
      </c>
      <c r="D34" s="1135"/>
      <c r="E34" s="1135"/>
      <c r="F34" s="242" t="s">
        <v>6000</v>
      </c>
      <c r="G34" s="412">
        <v>250000</v>
      </c>
      <c r="H34" s="412">
        <v>1066225</v>
      </c>
      <c r="I34" s="1136" t="str">
        <f>CHOOSE(jezyk,n!A1111,n!B1112,n!C1112,n!D1109)</f>
        <v>Otrzymane pożyczki</v>
      </c>
      <c r="J34" s="1136"/>
      <c r="K34" s="1136"/>
      <c r="L34" s="1137"/>
      <c r="M34" s="1137"/>
    </row>
    <row r="35" spans="3:21" ht="27.95" customHeight="1">
      <c r="C35" s="1135"/>
      <c r="D35" s="1135"/>
      <c r="E35" s="1135"/>
      <c r="F35" s="242"/>
      <c r="G35" s="412"/>
      <c r="H35" s="412"/>
      <c r="I35" s="1136" t="str">
        <f>CHOOSE(jezyk,n!A1112,n!B1111,n!C1111,n!D1110)</f>
        <v>Udzielone pożyczki</v>
      </c>
      <c r="J35" s="1136"/>
      <c r="K35" s="1136"/>
      <c r="L35" s="1137"/>
      <c r="M35" s="1137"/>
    </row>
    <row r="36" spans="3:21" ht="27.95" customHeight="1">
      <c r="C36" s="1135"/>
      <c r="D36" s="1135"/>
      <c r="E36" s="1135"/>
      <c r="F36" s="242"/>
      <c r="G36" s="412"/>
      <c r="H36" s="412"/>
      <c r="I36" s="1136" t="str">
        <f>CHOOSE(jezyk,n!A1113,n!B1113,n!C1113,n!#REF!)</f>
        <v>Zakup środków trwałych</v>
      </c>
      <c r="J36" s="1136"/>
      <c r="K36" s="1136"/>
      <c r="L36" s="1137"/>
      <c r="M36" s="1137"/>
    </row>
    <row r="37" spans="3:21" hidden="1">
      <c r="C37" s="252"/>
      <c r="D37" s="252"/>
      <c r="E37" s="252"/>
      <c r="F37" s="233"/>
      <c r="G37" s="139"/>
      <c r="H37" s="139"/>
      <c r="I37" s="187"/>
      <c r="J37" s="187"/>
      <c r="K37" s="187"/>
      <c r="L37" s="252"/>
      <c r="M37" s="252"/>
    </row>
    <row r="38" spans="3:21" ht="15" hidden="1" customHeight="1">
      <c r="C38" s="1143" t="str">
        <f>CHOOSE(jezyk,n!A617,n!B617,n!C617,n!D615)</f>
        <v>Rok obrotowy 2023</v>
      </c>
      <c r="D38" s="1144"/>
      <c r="E38" s="317"/>
      <c r="F38" s="317"/>
      <c r="G38" s="317"/>
      <c r="H38" s="317"/>
      <c r="I38" s="317"/>
      <c r="J38" s="187"/>
      <c r="K38" s="187"/>
      <c r="L38" s="252"/>
      <c r="M38" s="252"/>
    </row>
    <row r="39" spans="3:21" ht="15" hidden="1" customHeight="1">
      <c r="C39" s="241"/>
      <c r="D39" s="241"/>
      <c r="E39" s="317"/>
      <c r="F39" s="317"/>
      <c r="G39" s="317"/>
      <c r="H39" s="317"/>
      <c r="I39" s="317"/>
      <c r="J39" s="187"/>
      <c r="K39" s="187"/>
      <c r="L39" s="252"/>
      <c r="M39" s="252"/>
    </row>
    <row r="40" spans="3:21" hidden="1">
      <c r="C40" s="741" t="str">
        <f>IF(GA!F67="nie",CHOOSE(jezyk,n!A1096,n!B1096,n!C1096,n!D1096),CHOOSE(jezyk,n!A1097,n!B1097,n!C1097,n!D1097))</f>
        <v>W roku obrotowym 2023 Spółka nie przeprowadzała transakcji z podmiotami powiązanymi.</v>
      </c>
      <c r="D40" s="741"/>
      <c r="E40" s="741"/>
      <c r="F40" s="741"/>
      <c r="G40" s="741"/>
      <c r="H40" s="741"/>
      <c r="I40" s="741"/>
      <c r="J40" s="741"/>
      <c r="K40" s="741"/>
      <c r="L40" s="741"/>
      <c r="M40" s="741"/>
      <c r="N40" s="131" t="s">
        <v>2186</v>
      </c>
    </row>
    <row r="41" spans="3:21" hidden="1">
      <c r="C41" s="252"/>
      <c r="D41" s="252"/>
      <c r="E41" s="252"/>
      <c r="F41" s="233"/>
      <c r="G41" s="139"/>
      <c r="H41" s="139"/>
      <c r="I41" s="187"/>
      <c r="J41" s="187"/>
      <c r="K41" s="187"/>
      <c r="L41" s="252"/>
      <c r="M41" s="252"/>
    </row>
    <row r="42" spans="3:21" ht="39.75" hidden="1" customHeight="1">
      <c r="C42" s="841" t="str">
        <f>C28</f>
        <v>nazwa jednostki powiązanej</v>
      </c>
      <c r="D42" s="842"/>
      <c r="E42" s="843"/>
      <c r="F42" s="402" t="str">
        <f>F28</f>
        <v>waluta transakcji</v>
      </c>
      <c r="G42" s="402" t="str">
        <f>G28</f>
        <v>wartość transakcji w walucie</v>
      </c>
      <c r="H42" s="402" t="str">
        <f>H28</f>
        <v>wartość transakcji w PLN</v>
      </c>
      <c r="I42" s="839" t="str">
        <f>I28</f>
        <v>informacja o rodzaju transakcji</v>
      </c>
      <c r="J42" s="1142"/>
      <c r="K42" s="1142"/>
      <c r="L42" s="1142"/>
      <c r="M42" s="1142"/>
    </row>
    <row r="43" spans="3:21" ht="27.95" hidden="1" customHeight="1">
      <c r="C43" s="1135"/>
      <c r="D43" s="1135"/>
      <c r="E43" s="1135"/>
      <c r="F43" s="242"/>
      <c r="G43" s="412"/>
      <c r="H43" s="412"/>
      <c r="I43" s="1135" t="str">
        <f>CHOOSE(jezyk,n!A1106,n!B1106,n!C1106,n!D1104)</f>
        <v>Zakupy</v>
      </c>
      <c r="J43" s="1135"/>
      <c r="K43" s="1135"/>
      <c r="L43" s="850"/>
      <c r="M43" s="850"/>
      <c r="S43" s="66">
        <f>rok-1</f>
        <v>2023</v>
      </c>
      <c r="U43" s="243" t="s">
        <v>6077</v>
      </c>
    </row>
    <row r="44" spans="3:21" ht="27.95" hidden="1" customHeight="1">
      <c r="C44" s="1135"/>
      <c r="D44" s="1135"/>
      <c r="E44" s="1135"/>
      <c r="F44" s="242"/>
      <c r="G44" s="412"/>
      <c r="H44" s="412"/>
      <c r="I44" s="1135" t="str">
        <f>CHOOSE(jezyk,n!A1107,n!B1107,n!C1107,n!D1105)</f>
        <v>Sprzedaż</v>
      </c>
      <c r="J44" s="1135"/>
      <c r="K44" s="1135"/>
      <c r="L44" s="850"/>
      <c r="M44" s="850"/>
      <c r="O44" s="244" t="s">
        <v>6073</v>
      </c>
      <c r="P44" s="245"/>
      <c r="Q44" s="245"/>
      <c r="R44" s="245"/>
      <c r="S44" s="246">
        <f>'RZiS Por. '!F14</f>
        <v>0</v>
      </c>
      <c r="T44" s="245"/>
      <c r="U44" s="247">
        <f ca="1">S44-SUMIF(I43:M50,"Sprzedaż",H43:H50)</f>
        <v>0</v>
      </c>
    </row>
    <row r="45" spans="3:21" ht="27.95" hidden="1" customHeight="1">
      <c r="C45" s="1135"/>
      <c r="D45" s="1135"/>
      <c r="E45" s="1135"/>
      <c r="F45" s="242"/>
      <c r="G45" s="412"/>
      <c r="H45" s="412"/>
      <c r="I45" s="1135" t="str">
        <f>CHOOSE(jezyk,n!A1108,n!B1108,n!C1108,n!D1106)</f>
        <v>Odsetki - koszty finansowe</v>
      </c>
      <c r="J45" s="1135"/>
      <c r="K45" s="1135"/>
      <c r="L45" s="850"/>
      <c r="M45" s="850"/>
      <c r="O45" s="248" t="s">
        <v>6074</v>
      </c>
      <c r="S45" s="38">
        <f>'RZiS Por. '!F58</f>
        <v>0</v>
      </c>
      <c r="T45" s="66" t="s">
        <v>6076</v>
      </c>
      <c r="U45" s="240">
        <f ca="1">S45-SUMIF(I43:M50,"Odsetki - przychody finansowe",H43:H50)</f>
        <v>0</v>
      </c>
    </row>
    <row r="46" spans="3:21" ht="27.95" hidden="1" customHeight="1">
      <c r="C46" s="1135"/>
      <c r="D46" s="1135"/>
      <c r="E46" s="1135"/>
      <c r="F46" s="242"/>
      <c r="G46" s="412"/>
      <c r="H46" s="412"/>
      <c r="I46" s="1135" t="str">
        <f>CHOOSE(jezyk,n!A1109,n!B1109,n!C1109,n!D1107)</f>
        <v>Odsetki - przychody finansowe</v>
      </c>
      <c r="J46" s="1135"/>
      <c r="K46" s="1135"/>
      <c r="L46" s="850"/>
      <c r="M46" s="850"/>
      <c r="O46" s="249" t="s">
        <v>6074</v>
      </c>
      <c r="P46" s="154"/>
      <c r="Q46" s="154"/>
      <c r="R46" s="154"/>
      <c r="S46" s="250">
        <f>'RZiS Por. '!F67</f>
        <v>0</v>
      </c>
      <c r="T46" s="154" t="s">
        <v>6075</v>
      </c>
      <c r="U46" s="251">
        <f ca="1">S46-SUMIF(I43:M50,"Odsetki - koszty finansowe",H43:H50)</f>
        <v>0</v>
      </c>
    </row>
    <row r="47" spans="3:21" ht="27.95" hidden="1" customHeight="1">
      <c r="C47" s="1135"/>
      <c r="D47" s="1135"/>
      <c r="E47" s="1135"/>
      <c r="F47" s="242"/>
      <c r="G47" s="412"/>
      <c r="H47" s="412"/>
      <c r="I47" s="1135" t="str">
        <f>CHOOSE(jezyk,n!A1110,n!B1110,n!C1110,n!D1108)</f>
        <v>Otrzymane dywidendy i udziały w zyskach</v>
      </c>
      <c r="J47" s="1135"/>
      <c r="K47" s="1135"/>
      <c r="L47" s="850"/>
      <c r="M47" s="850"/>
      <c r="U47" s="38">
        <f ca="1">ROUND(SUM(U44:U46),2)</f>
        <v>0</v>
      </c>
    </row>
    <row r="48" spans="3:21" ht="27.95" hidden="1" customHeight="1">
      <c r="C48" s="1135"/>
      <c r="D48" s="1135"/>
      <c r="E48" s="1135"/>
      <c r="F48" s="242"/>
      <c r="G48" s="412"/>
      <c r="H48" s="412"/>
      <c r="I48" s="1135" t="str">
        <f>CHOOSE(jezyk,n!A1111,n!B1112,n!C1112,n!D1109)</f>
        <v>Otrzymane pożyczki</v>
      </c>
      <c r="J48" s="1135"/>
      <c r="K48" s="1135"/>
      <c r="L48" s="850"/>
      <c r="M48" s="850"/>
    </row>
    <row r="49" spans="1:14" ht="27.95" hidden="1" customHeight="1">
      <c r="C49" s="1135"/>
      <c r="D49" s="1135"/>
      <c r="E49" s="1135"/>
      <c r="F49" s="242"/>
      <c r="G49" s="412"/>
      <c r="H49" s="412"/>
      <c r="I49" s="1135" t="str">
        <f>CHOOSE(jezyk,n!A1112,n!B1111,n!C1111,n!D1110)</f>
        <v>Udzielone pożyczki</v>
      </c>
      <c r="J49" s="1135"/>
      <c r="K49" s="1135"/>
      <c r="L49" s="850"/>
      <c r="M49" s="850"/>
    </row>
    <row r="50" spans="1:14" ht="27.95" hidden="1" customHeight="1">
      <c r="C50" s="1135"/>
      <c r="D50" s="1135"/>
      <c r="E50" s="1135"/>
      <c r="F50" s="242"/>
      <c r="G50" s="412"/>
      <c r="H50" s="412"/>
      <c r="I50" s="1135" t="str">
        <f>CHOOSE(jezyk,n!A1113,n!B1113,n!C1113,n!#REF!)</f>
        <v>Zakup środków trwałych</v>
      </c>
      <c r="J50" s="1135"/>
      <c r="K50" s="1135"/>
      <c r="L50" s="850"/>
      <c r="M50" s="850"/>
    </row>
    <row r="51" spans="1:14">
      <c r="C51" s="406"/>
      <c r="E51" s="253"/>
      <c r="F51" s="253"/>
      <c r="G51" s="253"/>
      <c r="H51" s="253"/>
      <c r="I51" s="1140"/>
      <c r="J51" s="1082"/>
      <c r="K51" s="1082"/>
      <c r="L51" s="862"/>
      <c r="M51" s="862"/>
    </row>
    <row r="52" spans="1:14" ht="27" customHeight="1">
      <c r="B52" s="111" t="s">
        <v>2109</v>
      </c>
      <c r="C52" s="762" t="str">
        <f>CHOOSE(jezyk,n!A1114,n!B1114,n!C1114,n!D1112)</f>
        <v>Wykaz spółek, w których jednostka posiada zaangażowanie w kapitale lub 20% w ogólnej liczbie głosów w organie stanowiącym Spółki</v>
      </c>
      <c r="D52" s="1141"/>
      <c r="E52" s="1141"/>
      <c r="F52" s="1141"/>
      <c r="G52" s="1141"/>
      <c r="H52" s="1141"/>
      <c r="I52" s="1141"/>
      <c r="J52" s="1141"/>
      <c r="K52" s="1141"/>
      <c r="L52" s="1141"/>
      <c r="M52" s="1141"/>
    </row>
    <row r="53" spans="1:14">
      <c r="B53" s="111"/>
      <c r="C53" s="1081"/>
      <c r="D53" s="1082"/>
      <c r="E53" s="1082"/>
      <c r="F53" s="1082"/>
      <c r="G53" s="1082"/>
      <c r="H53" s="1082"/>
      <c r="I53" s="1082"/>
      <c r="J53" s="1082"/>
      <c r="K53" s="1082"/>
      <c r="L53" s="1082"/>
      <c r="M53" s="1082"/>
    </row>
    <row r="54" spans="1:14">
      <c r="C54" s="745" t="str">
        <f>CHOOSE(jezyk,n!A1131,n!B1131,n!C1131,n!D1129)</f>
        <v>Nie dotyczy</v>
      </c>
      <c r="D54" s="745"/>
      <c r="E54" s="745"/>
      <c r="F54" s="745"/>
      <c r="G54" s="745"/>
      <c r="H54" s="745"/>
      <c r="I54" s="745"/>
      <c r="J54" s="745"/>
      <c r="K54" s="745"/>
      <c r="L54" s="745"/>
      <c r="M54" s="745"/>
      <c r="N54" s="131" t="s">
        <v>2186</v>
      </c>
    </row>
    <row r="55" spans="1:14">
      <c r="B55" s="111"/>
      <c r="C55" s="1081"/>
      <c r="D55" s="1082"/>
      <c r="E55" s="1082"/>
      <c r="F55" s="1082"/>
      <c r="G55" s="1082"/>
      <c r="H55" s="1082"/>
      <c r="I55" s="1082"/>
      <c r="J55" s="1082"/>
      <c r="K55" s="1082"/>
      <c r="L55" s="1082"/>
      <c r="M55" s="1082"/>
    </row>
    <row r="56" spans="1:14" s="317" customFormat="1" ht="32.25" hidden="1" customHeight="1">
      <c r="A56" s="72"/>
      <c r="B56" s="99"/>
      <c r="C56" s="839" t="str">
        <f>CHOOSE(jezyk,n!A1115,n!B1115,n!C1115,n!D1113)</f>
        <v>nazwa spółki</v>
      </c>
      <c r="D56" s="839"/>
      <c r="E56" s="839"/>
      <c r="F56" s="402" t="str">
        <f>CHOOSE(jezyk,n!A1116,n!B1116,n!C1116,n!D1114)</f>
        <v>siedziba spółki</v>
      </c>
      <c r="G56" s="402" t="str">
        <f>CHOOSE(jezyk,n!A1117,n!B1117,n!C1117,n!D1115)</f>
        <v>procent udziałów</v>
      </c>
      <c r="H56" s="402" t="str">
        <f>CHOOSE(jezyk,n!A1118,n!B1118,n!C1118,n!D1116)</f>
        <v>stopień udziału w zarządzaniu</v>
      </c>
      <c r="I56" s="839" t="str">
        <f>CHOOSE(jezyk,n!A1119,n!B1119,n!C1119,n!D1117)</f>
        <v>zysk / strata netto spółki za ostatni rok obrotowy</v>
      </c>
      <c r="J56" s="1142"/>
      <c r="K56" s="1142"/>
      <c r="L56" s="1142"/>
      <c r="M56" s="1142"/>
    </row>
    <row r="57" spans="1:14" ht="19.5" hidden="1" customHeight="1">
      <c r="C57" s="850"/>
      <c r="D57" s="850"/>
      <c r="E57" s="850"/>
      <c r="F57" s="408"/>
      <c r="G57" s="423"/>
      <c r="H57" s="423"/>
      <c r="I57" s="1145"/>
      <c r="J57" s="1146"/>
      <c r="K57" s="1146"/>
      <c r="L57" s="1147"/>
      <c r="M57" s="1147"/>
    </row>
    <row r="58" spans="1:14" hidden="1">
      <c r="I58" s="1140"/>
      <c r="J58" s="1082"/>
      <c r="K58" s="1082"/>
      <c r="L58" s="862"/>
      <c r="M58" s="862"/>
    </row>
    <row r="59" spans="1:14" ht="25.5" customHeight="1">
      <c r="B59" s="111" t="s">
        <v>2110</v>
      </c>
      <c r="C59" s="762" t="str">
        <f>CHOOSE(jezyk,n!A1120,n!B1120,n!C1120,n!D1118)</f>
        <v>Jeżeli jednostka nie sporządza skonsolidowanego sprawozdania finansowego, korzystając ze zwolnienia lub wyłączeń informacje o:</v>
      </c>
      <c r="D59" s="1141"/>
      <c r="E59" s="1141"/>
      <c r="F59" s="1141"/>
      <c r="G59" s="1141"/>
      <c r="H59" s="1141"/>
      <c r="I59" s="1141"/>
      <c r="J59" s="1141"/>
      <c r="K59" s="1141"/>
      <c r="L59" s="1141"/>
      <c r="M59" s="1141"/>
    </row>
    <row r="60" spans="1:14" ht="12.75" customHeight="1">
      <c r="C60" s="762" t="str">
        <f>CHOOSE(jezyk,n!A1121,n!B1121,n!C1121,n!D1119)</f>
        <v xml:space="preserve"> - podstawie prawnej wraz z danymi uzasadniającymi odstąpienie od konsolidacji,</v>
      </c>
      <c r="D60" s="1141"/>
      <c r="E60" s="1141"/>
      <c r="F60" s="1141"/>
      <c r="G60" s="1141"/>
      <c r="H60" s="1141"/>
      <c r="I60" s="1141"/>
      <c r="J60" s="1141"/>
      <c r="K60" s="1141"/>
      <c r="L60" s="1141"/>
      <c r="M60" s="1141"/>
    </row>
    <row r="61" spans="1:14" ht="12.75" customHeight="1">
      <c r="C61" s="384"/>
      <c r="D61" s="317"/>
      <c r="E61" s="317"/>
      <c r="F61" s="317"/>
      <c r="G61" s="317"/>
      <c r="H61" s="317"/>
      <c r="I61" s="317"/>
      <c r="J61" s="317"/>
      <c r="K61" s="317"/>
      <c r="L61" s="317"/>
      <c r="M61" s="317"/>
    </row>
    <row r="62" spans="1:14" ht="12.75" customHeight="1">
      <c r="C62" s="741" t="str">
        <f>CHOOSE(jezyk,n!A1131,n!B1131,n!C1131,n!D1129)</f>
        <v>Nie dotyczy</v>
      </c>
      <c r="D62" s="741"/>
      <c r="E62" s="741"/>
      <c r="F62" s="741"/>
      <c r="G62" s="741"/>
      <c r="H62" s="741"/>
      <c r="I62" s="741"/>
      <c r="J62" s="741"/>
      <c r="K62" s="741"/>
      <c r="L62" s="741"/>
      <c r="M62" s="741"/>
      <c r="N62" s="131" t="s">
        <v>2186</v>
      </c>
    </row>
    <row r="63" spans="1:14" ht="12.75" customHeight="1">
      <c r="C63" s="384"/>
      <c r="D63" s="317"/>
      <c r="E63" s="317"/>
      <c r="F63" s="317"/>
      <c r="G63" s="317"/>
      <c r="H63" s="317"/>
      <c r="I63" s="317"/>
      <c r="J63" s="317"/>
      <c r="K63" s="317"/>
      <c r="L63" s="317"/>
      <c r="M63" s="317"/>
    </row>
    <row r="64" spans="1:14" ht="28.5" customHeight="1">
      <c r="C64" s="762" t="str">
        <f>CHOOSE(jezyk,n!A1122,n!B1122,n!C1122,n!D1120)</f>
        <v xml:space="preserve"> - nazwie i siedzibie jednostki sporządzającej skonsolidowane sprawozdanie finansowe na wyższym szczeblu grupy kapitałowej oraz miejscu jego publikacji</v>
      </c>
      <c r="D64" s="1141"/>
      <c r="E64" s="1141"/>
      <c r="F64" s="1141"/>
      <c r="G64" s="1141"/>
      <c r="H64" s="1141"/>
      <c r="I64" s="1141"/>
      <c r="J64" s="1141"/>
      <c r="K64" s="1141"/>
      <c r="L64" s="1141"/>
      <c r="M64" s="1141"/>
      <c r="N64" s="232"/>
    </row>
    <row r="65" spans="1:14" ht="12.75" customHeight="1">
      <c r="C65" s="424"/>
      <c r="D65" s="317"/>
      <c r="E65" s="317"/>
      <c r="F65" s="317"/>
      <c r="G65" s="317"/>
      <c r="H65" s="317"/>
      <c r="I65" s="317"/>
      <c r="J65" s="317"/>
      <c r="K65" s="317"/>
      <c r="L65" s="317"/>
      <c r="M65" s="317"/>
    </row>
    <row r="66" spans="1:14" ht="12.75" customHeight="1">
      <c r="C66" s="741" t="str">
        <f>CHOOSE(jezyk,n!A1131,n!B1131,n!C1131,n!D1129)</f>
        <v>Nie dotyczy</v>
      </c>
      <c r="D66" s="741"/>
      <c r="E66" s="741"/>
      <c r="F66" s="741"/>
      <c r="G66" s="741"/>
      <c r="H66" s="741"/>
      <c r="I66" s="741"/>
      <c r="J66" s="741"/>
      <c r="K66" s="741"/>
      <c r="L66" s="741"/>
      <c r="M66" s="741"/>
      <c r="N66" s="131" t="s">
        <v>2186</v>
      </c>
    </row>
    <row r="67" spans="1:14" ht="12.75" customHeight="1">
      <c r="C67" s="384"/>
      <c r="D67" s="317"/>
      <c r="E67" s="317"/>
      <c r="F67" s="317"/>
      <c r="G67" s="317"/>
      <c r="H67" s="317"/>
      <c r="I67" s="317"/>
      <c r="J67" s="317"/>
      <c r="K67" s="317"/>
      <c r="L67" s="317"/>
      <c r="M67" s="317"/>
    </row>
    <row r="68" spans="1:14" ht="27" customHeight="1">
      <c r="C68" s="762" t="str">
        <f>CHOOSE(jezyk,n!A1123,n!B1123,n!C1123,n!D1121)</f>
        <v xml:space="preserve"> - podstawowych wskaźnikach ekonomiczno- finansowych, charakteryzujących działalność jednostek powiązanych w danym i ubiegłym roku obrotowym</v>
      </c>
      <c r="D68" s="1141"/>
      <c r="E68" s="1141"/>
      <c r="F68" s="1141"/>
      <c r="G68" s="1141"/>
      <c r="H68" s="1141"/>
      <c r="I68" s="1141"/>
      <c r="J68" s="1141"/>
      <c r="K68" s="1141"/>
      <c r="L68" s="1141"/>
      <c r="M68" s="1141"/>
    </row>
    <row r="69" spans="1:14" s="151" customFormat="1" ht="19.5" hidden="1" customHeight="1">
      <c r="H69" s="407">
        <f>ro</f>
        <v>2024</v>
      </c>
      <c r="I69" s="416">
        <f>ro-1</f>
        <v>2023</v>
      </c>
    </row>
    <row r="70" spans="1:14" ht="25.5" hidden="1" customHeight="1">
      <c r="C70" s="846" t="str">
        <f>CHOOSE(jezyk,n!A1125,n!B1125,n!C1125,n!D1123)</f>
        <v>wartość przychodów netto ze sprzedaży produktów, towarów i materiałów oraz przychodów finansowych</v>
      </c>
      <c r="D70" s="846"/>
      <c r="E70" s="846"/>
      <c r="F70" s="846"/>
      <c r="G70" s="846"/>
      <c r="H70" s="254"/>
      <c r="I70" s="254"/>
      <c r="J70" s="317"/>
      <c r="K70" s="317"/>
    </row>
    <row r="71" spans="1:14" ht="25.5" hidden="1" customHeight="1">
      <c r="C71" s="846" t="str">
        <f>CHOOSE(jezyk,n!A1126,n!B1126,n!C1126,n!D1124)</f>
        <v>wynik finansowy netto oraz wartość kapitału własnego, z podziałem na grupy</v>
      </c>
      <c r="D71" s="846"/>
      <c r="E71" s="846"/>
      <c r="F71" s="846"/>
      <c r="G71" s="846"/>
      <c r="H71" s="254"/>
      <c r="I71" s="254"/>
      <c r="J71" s="317"/>
      <c r="K71" s="317"/>
    </row>
    <row r="72" spans="1:14" ht="17.25" hidden="1" customHeight="1">
      <c r="C72" s="846" t="str">
        <f>CHOOSE(jezyk,n!A1127,n!B1127,n!C1127,n!D1125)</f>
        <v>wartość aktywów trwałych</v>
      </c>
      <c r="D72" s="846"/>
      <c r="E72" s="846"/>
      <c r="F72" s="846"/>
      <c r="G72" s="846"/>
      <c r="H72" s="254"/>
      <c r="I72" s="254"/>
      <c r="J72" s="317"/>
      <c r="K72" s="317"/>
    </row>
    <row r="73" spans="1:14" ht="15" hidden="1" customHeight="1">
      <c r="C73" s="846" t="str">
        <f>CHOOSE(jezyk,n!A1128,n!B1128,n!C1128,n!D1126)</f>
        <v>przeciętne roczne zatrudnienie</v>
      </c>
      <c r="D73" s="846"/>
      <c r="E73" s="846"/>
      <c r="F73" s="846"/>
      <c r="G73" s="846"/>
      <c r="H73" s="254"/>
      <c r="I73" s="254"/>
      <c r="J73" s="317"/>
      <c r="K73" s="317"/>
    </row>
    <row r="74" spans="1:14" ht="13.15" customHeight="1">
      <c r="C74" s="406"/>
      <c r="D74" s="406"/>
      <c r="E74" s="406"/>
      <c r="F74" s="406"/>
      <c r="G74" s="406"/>
      <c r="J74" s="317"/>
      <c r="K74" s="317"/>
    </row>
    <row r="75" spans="1:14" ht="13.15" customHeight="1">
      <c r="C75" s="741" t="str">
        <f>CHOOSE(jezyk,n!A1131,n!B1131,n!C1131,n!D1129)</f>
        <v>Nie dotyczy</v>
      </c>
      <c r="D75" s="741"/>
      <c r="E75" s="741"/>
      <c r="F75" s="741"/>
      <c r="G75" s="741"/>
      <c r="H75" s="741"/>
      <c r="I75" s="741"/>
      <c r="J75" s="741"/>
      <c r="K75" s="741"/>
      <c r="L75" s="741"/>
      <c r="M75" s="741"/>
      <c r="N75" s="131" t="s">
        <v>2186</v>
      </c>
    </row>
    <row r="76" spans="1:14" ht="13.15" customHeight="1">
      <c r="C76" s="406"/>
      <c r="D76" s="406"/>
      <c r="E76" s="406"/>
      <c r="F76" s="406"/>
      <c r="J76" s="317"/>
      <c r="K76" s="317"/>
    </row>
    <row r="77" spans="1:14" ht="12.75" customHeight="1">
      <c r="A77" s="72"/>
      <c r="C77" s="838" t="str">
        <f>CHOOSE(jezyk,n!A1124,n!B1124,n!C1124,n!D1122)</f>
        <v>- rodzaju stosowanych standardów rachunkowości (krajowych czy międzynarodowych) przez jednostki powiązane</v>
      </c>
      <c r="D77" s="838"/>
      <c r="E77" s="838"/>
      <c r="F77" s="838"/>
      <c r="G77" s="838"/>
      <c r="H77" s="838"/>
      <c r="I77" s="838"/>
      <c r="J77" s="838"/>
      <c r="K77" s="838"/>
      <c r="L77" s="838"/>
      <c r="M77" s="838"/>
    </row>
    <row r="78" spans="1:14" ht="13.15" customHeight="1">
      <c r="C78" s="406"/>
      <c r="D78" s="406"/>
      <c r="E78" s="406"/>
      <c r="F78" s="406"/>
      <c r="J78" s="317"/>
      <c r="K78" s="317"/>
    </row>
    <row r="79" spans="1:14" ht="13.15" customHeight="1">
      <c r="C79" s="741" t="str">
        <f>CHOOSE(jezyk,n!A1131,n!B1131,n!C1131,n!D1129)</f>
        <v>Nie dotyczy</v>
      </c>
      <c r="D79" s="741"/>
      <c r="E79" s="741"/>
      <c r="F79" s="741"/>
      <c r="G79" s="741"/>
      <c r="H79" s="741"/>
      <c r="I79" s="741"/>
      <c r="J79" s="741"/>
      <c r="K79" s="741"/>
      <c r="L79" s="741"/>
      <c r="M79" s="741"/>
      <c r="N79" s="131" t="s">
        <v>2186</v>
      </c>
    </row>
    <row r="80" spans="1:14">
      <c r="I80" s="1140"/>
      <c r="J80" s="1082"/>
      <c r="K80" s="1082"/>
      <c r="L80" s="862"/>
      <c r="M80" s="862"/>
    </row>
    <row r="81" spans="2:23" ht="40.5" customHeight="1">
      <c r="B81" s="111" t="s">
        <v>2111</v>
      </c>
      <c r="C81" s="762" t="str">
        <f>CHOOSE(jezyk,n!A1646,n!B1646,n!C1646,n!D1642)</f>
        <v>Informacje o nazwie i siedzibie jednostki  sporządzającej skonsolidowane sprawozdanie finansowe na najwyższym szczeblu grupy kapitałowej, w skład której wchodzi spółka jako jednostka zależna, oraz miejscu, w którym sprawozdanie to jest dostępne</v>
      </c>
      <c r="D81" s="762"/>
      <c r="E81" s="762"/>
      <c r="F81" s="762"/>
      <c r="G81" s="762"/>
      <c r="H81" s="762"/>
      <c r="I81" s="762"/>
      <c r="J81" s="762"/>
      <c r="K81" s="762"/>
      <c r="L81" s="762"/>
      <c r="M81" s="762"/>
      <c r="N81" s="708" t="s">
        <v>6868</v>
      </c>
      <c r="O81" s="255"/>
      <c r="Q81" s="709" t="s">
        <v>6878</v>
      </c>
      <c r="R81" s="707">
        <f>IF(Q81="najniższym",1,2)</f>
        <v>2</v>
      </c>
      <c r="S81" s="255"/>
      <c r="T81" s="255"/>
      <c r="U81" s="255"/>
      <c r="V81" s="255"/>
      <c r="W81" s="255"/>
    </row>
    <row r="82" spans="2:23">
      <c r="I82" s="1140"/>
      <c r="J82" s="1082"/>
      <c r="K82" s="1082"/>
      <c r="L82" s="862"/>
      <c r="M82" s="862"/>
    </row>
    <row r="83" spans="2:23" ht="13.35" hidden="1" customHeight="1">
      <c r="C83" s="741" t="str">
        <f>IF(GA!F67="nie",CHOOSE(jezyk,n!A1132,n!B1132,n!C1132,n!D1130),CHOOSE(jezyk,n!A1133,n!B1133,n!C1133,n!D1133))</f>
        <v>Sprawozdanie finansowe spółki nie podlega konsolidacji.</v>
      </c>
      <c r="D83" s="741"/>
      <c r="E83" s="741"/>
      <c r="F83" s="741"/>
      <c r="G83" s="741"/>
      <c r="H83" s="741"/>
      <c r="I83" s="741"/>
      <c r="J83" s="741"/>
      <c r="K83" s="741"/>
      <c r="L83" s="741"/>
      <c r="M83" s="741"/>
      <c r="N83" s="131" t="s">
        <v>2186</v>
      </c>
    </row>
    <row r="84" spans="2:23" s="256" customFormat="1" hidden="1">
      <c r="B84" s="86"/>
      <c r="I84" s="257"/>
      <c r="J84" s="258"/>
      <c r="K84" s="258"/>
      <c r="N84" s="131"/>
    </row>
    <row r="85" spans="2:23" ht="29.25" customHeight="1">
      <c r="C85" s="851" t="str">
        <f>CHOOSE(jezyk,n!A1647,n!B1647,n!C1647,n!D1645)</f>
        <v>Skonsolidowane sprawozdanie finansowe na najwyższym szczeblu grupy kapitałowej sporządzane jest przez spółkę RETHMANN SE &amp; Co. KG z siedzibą w Werner Str. 95, 59379 Selm, Niemcy.</v>
      </c>
      <c r="D85" s="851"/>
      <c r="E85" s="851"/>
      <c r="F85" s="851"/>
      <c r="G85" s="851"/>
      <c r="H85" s="851"/>
      <c r="I85" s="851"/>
      <c r="J85" s="851"/>
      <c r="K85" s="851"/>
      <c r="L85" s="851"/>
      <c r="M85" s="851"/>
      <c r="N85" s="221"/>
      <c r="O85" s="221"/>
      <c r="P85" s="221"/>
      <c r="Q85" s="221"/>
      <c r="R85" s="221"/>
      <c r="S85" s="221"/>
      <c r="T85" s="221"/>
      <c r="U85" s="221"/>
      <c r="V85" s="221"/>
      <c r="W85" s="221"/>
    </row>
    <row r="86" spans="2:23">
      <c r="I86" s="1140"/>
      <c r="J86" s="1082"/>
      <c r="K86" s="1082"/>
      <c r="L86" s="862"/>
      <c r="M86" s="862"/>
    </row>
    <row r="87" spans="2:23" ht="25.5" customHeight="1">
      <c r="B87" s="111" t="s">
        <v>2112</v>
      </c>
      <c r="C87" s="762" t="str">
        <f>CHOOSE(jezyk,n!A1648,n!B1648,n!C1648,n!D1646)</f>
        <v xml:space="preserve">Nazwa, adres siedziby zarządu lub siedziby statutowej jednostki oraz forma prawna każdej z jednostek, których dana jednostka jest wspólnikiem ponoszącym nieograniczoną odpowiedzialność majątkową </v>
      </c>
      <c r="D87" s="762"/>
      <c r="E87" s="762"/>
      <c r="F87" s="762"/>
      <c r="G87" s="762"/>
      <c r="H87" s="762"/>
      <c r="I87" s="762"/>
      <c r="J87" s="762"/>
      <c r="K87" s="762"/>
      <c r="L87" s="762"/>
      <c r="M87" s="762"/>
    </row>
    <row r="88" spans="2:23">
      <c r="I88" s="1140"/>
      <c r="J88" s="1082"/>
      <c r="K88" s="1082"/>
      <c r="L88" s="862"/>
      <c r="M88" s="862"/>
    </row>
    <row r="89" spans="2:23">
      <c r="C89" s="741" t="str">
        <f>CHOOSE(jezyk,n!A1131,n!B1131,n!C1131,n!D1129)</f>
        <v>Nie dotyczy</v>
      </c>
      <c r="D89" s="741"/>
      <c r="E89" s="741"/>
      <c r="F89" s="741"/>
      <c r="G89" s="741"/>
      <c r="H89" s="741"/>
      <c r="I89" s="741"/>
      <c r="J89" s="741"/>
      <c r="K89" s="741"/>
      <c r="L89" s="741"/>
      <c r="M89" s="741"/>
      <c r="N89" s="131" t="s">
        <v>2186</v>
      </c>
    </row>
    <row r="90" spans="2:23">
      <c r="I90" s="1140"/>
      <c r="J90" s="1082"/>
      <c r="K90" s="1082"/>
      <c r="L90" s="862"/>
      <c r="M90" s="862"/>
    </row>
    <row r="91" spans="2:23">
      <c r="I91" s="1140"/>
      <c r="J91" s="1082"/>
      <c r="K91" s="1082"/>
      <c r="L91" s="862"/>
      <c r="M91" s="862"/>
    </row>
    <row r="92" spans="2:23">
      <c r="I92" s="1140"/>
      <c r="J92" s="1082"/>
      <c r="K92" s="1082"/>
      <c r="L92" s="862"/>
      <c r="M92" s="862"/>
    </row>
    <row r="93" spans="2:23">
      <c r="I93" s="1140"/>
      <c r="J93" s="1082"/>
      <c r="K93" s="1082"/>
      <c r="L93" s="862"/>
      <c r="M93" s="862"/>
    </row>
    <row r="94" spans="2:23">
      <c r="I94" s="1140"/>
      <c r="J94" s="1082"/>
      <c r="K94" s="1082"/>
      <c r="L94" s="862"/>
      <c r="M94" s="862"/>
    </row>
    <row r="95" spans="2:23">
      <c r="I95" s="1140"/>
      <c r="J95" s="1082"/>
      <c r="K95" s="1082"/>
      <c r="L95" s="862"/>
      <c r="M95" s="862"/>
    </row>
    <row r="96" spans="2:23">
      <c r="I96" s="1140"/>
      <c r="J96" s="1082"/>
      <c r="K96" s="1082"/>
      <c r="L96" s="862"/>
      <c r="M96" s="862"/>
    </row>
    <row r="97" spans="9:13">
      <c r="I97" s="1140"/>
      <c r="J97" s="1082"/>
      <c r="K97" s="1082"/>
      <c r="L97" s="862"/>
      <c r="M97" s="862"/>
    </row>
    <row r="98" spans="9:13">
      <c r="I98" s="1140"/>
      <c r="J98" s="1082"/>
      <c r="K98" s="1082"/>
      <c r="L98" s="862"/>
      <c r="M98" s="862"/>
    </row>
    <row r="99" spans="9:13">
      <c r="I99" s="1140"/>
      <c r="J99" s="1082"/>
      <c r="K99" s="1082"/>
      <c r="L99" s="862"/>
      <c r="M99" s="862"/>
    </row>
    <row r="100" spans="9:13">
      <c r="I100" s="1140"/>
      <c r="J100" s="1082"/>
      <c r="K100" s="1082"/>
      <c r="L100" s="862"/>
      <c r="M100" s="862"/>
    </row>
    <row r="101" spans="9:13">
      <c r="I101" s="1140"/>
      <c r="J101" s="1082"/>
      <c r="K101" s="1082"/>
      <c r="L101" s="862"/>
      <c r="M101" s="862"/>
    </row>
    <row r="102" spans="9:13">
      <c r="I102" s="1140"/>
      <c r="J102" s="1082"/>
      <c r="K102" s="1082"/>
      <c r="L102" s="862"/>
      <c r="M102" s="862"/>
    </row>
    <row r="103" spans="9:13">
      <c r="I103" s="1140"/>
      <c r="J103" s="1082"/>
      <c r="K103" s="1082"/>
      <c r="L103" s="862"/>
      <c r="M103" s="862"/>
    </row>
    <row r="104" spans="9:13">
      <c r="I104" s="1140"/>
      <c r="J104" s="1082"/>
      <c r="K104" s="1082"/>
      <c r="L104" s="862"/>
      <c r="M104" s="862"/>
    </row>
    <row r="105" spans="9:13">
      <c r="I105" s="1140"/>
      <c r="J105" s="1082"/>
      <c r="K105" s="1082"/>
      <c r="L105" s="862"/>
      <c r="M105" s="862"/>
    </row>
    <row r="106" spans="9:13">
      <c r="I106" s="1140"/>
      <c r="J106" s="1082"/>
      <c r="K106" s="1082"/>
      <c r="L106" s="862"/>
      <c r="M106" s="862"/>
    </row>
    <row r="107" spans="9:13">
      <c r="I107" s="1140"/>
      <c r="J107" s="1082"/>
      <c r="K107" s="1082"/>
      <c r="L107" s="862"/>
      <c r="M107" s="862"/>
    </row>
    <row r="108" spans="9:13">
      <c r="I108" s="1140"/>
      <c r="J108" s="1082"/>
      <c r="K108" s="1082"/>
      <c r="L108" s="862"/>
      <c r="M108" s="862"/>
    </row>
    <row r="109" spans="9:13">
      <c r="I109" s="1140"/>
      <c r="J109" s="1082"/>
      <c r="K109" s="1082"/>
      <c r="L109" s="862"/>
      <c r="M109" s="862"/>
    </row>
    <row r="110" spans="9:13">
      <c r="I110" s="1140"/>
      <c r="J110" s="1082"/>
      <c r="K110" s="1082"/>
      <c r="L110" s="862"/>
      <c r="M110" s="862"/>
    </row>
    <row r="111" spans="9:13">
      <c r="I111" s="1140"/>
      <c r="J111" s="1082"/>
      <c r="K111" s="1082"/>
      <c r="L111" s="862"/>
      <c r="M111" s="862"/>
    </row>
    <row r="112" spans="9:13">
      <c r="I112" s="1140"/>
      <c r="J112" s="1082"/>
      <c r="K112" s="1082"/>
      <c r="L112" s="862"/>
      <c r="M112" s="862"/>
    </row>
    <row r="113" spans="9:13">
      <c r="I113" s="1140"/>
      <c r="J113" s="1082"/>
      <c r="K113" s="1082"/>
      <c r="L113" s="862"/>
      <c r="M113" s="862"/>
    </row>
    <row r="114" spans="9:13">
      <c r="I114" s="1140"/>
      <c r="J114" s="1082"/>
      <c r="K114" s="1082"/>
      <c r="L114" s="862"/>
      <c r="M114" s="862"/>
    </row>
    <row r="115" spans="9:13">
      <c r="I115" s="1140"/>
      <c r="J115" s="1082"/>
      <c r="K115" s="1082"/>
      <c r="L115" s="862"/>
      <c r="M115" s="862"/>
    </row>
    <row r="116" spans="9:13">
      <c r="I116" s="1140"/>
      <c r="J116" s="1082"/>
      <c r="K116" s="1082"/>
      <c r="L116" s="862"/>
      <c r="M116" s="862"/>
    </row>
    <row r="117" spans="9:13">
      <c r="I117" s="1140"/>
      <c r="J117" s="1082"/>
      <c r="K117" s="1082"/>
      <c r="L117" s="862"/>
      <c r="M117" s="862"/>
    </row>
    <row r="118" spans="9:13">
      <c r="I118" s="1140"/>
      <c r="J118" s="1082"/>
      <c r="K118" s="1082"/>
      <c r="L118" s="862"/>
      <c r="M118" s="862"/>
    </row>
    <row r="119" spans="9:13">
      <c r="I119" s="1140"/>
      <c r="J119" s="1082"/>
      <c r="K119" s="1082"/>
      <c r="L119" s="862"/>
      <c r="M119" s="862"/>
    </row>
    <row r="120" spans="9:13">
      <c r="I120" s="1140"/>
      <c r="J120" s="1082"/>
      <c r="K120" s="1082"/>
      <c r="L120" s="862"/>
      <c r="M120" s="862"/>
    </row>
    <row r="121" spans="9:13">
      <c r="I121" s="1140"/>
      <c r="J121" s="1082"/>
      <c r="K121" s="1082"/>
      <c r="L121" s="862"/>
      <c r="M121" s="862"/>
    </row>
    <row r="122" spans="9:13">
      <c r="I122" s="1140"/>
      <c r="J122" s="1082"/>
      <c r="K122" s="1082"/>
      <c r="L122" s="862"/>
      <c r="M122" s="862"/>
    </row>
    <row r="123" spans="9:13">
      <c r="I123" s="1140"/>
      <c r="J123" s="1082"/>
      <c r="K123" s="1082"/>
      <c r="L123" s="862"/>
      <c r="M123" s="862"/>
    </row>
    <row r="124" spans="9:13">
      <c r="I124" s="1140"/>
      <c r="J124" s="1082"/>
      <c r="K124" s="1082"/>
      <c r="L124" s="862"/>
      <c r="M124" s="862"/>
    </row>
    <row r="125" spans="9:13">
      <c r="I125" s="1140"/>
      <c r="J125" s="1082"/>
      <c r="K125" s="1082"/>
      <c r="L125" s="862"/>
      <c r="M125" s="862"/>
    </row>
    <row r="126" spans="9:13">
      <c r="I126" s="1140"/>
      <c r="J126" s="1082"/>
      <c r="K126" s="1082"/>
      <c r="L126" s="862"/>
      <c r="M126" s="862"/>
    </row>
    <row r="127" spans="9:13">
      <c r="I127" s="1140"/>
      <c r="J127" s="1082"/>
      <c r="K127" s="1082"/>
      <c r="L127" s="862"/>
      <c r="M127" s="862"/>
    </row>
    <row r="128" spans="9:13">
      <c r="I128" s="1140"/>
      <c r="J128" s="1082"/>
      <c r="K128" s="1082"/>
      <c r="L128" s="862"/>
      <c r="M128" s="862"/>
    </row>
    <row r="129" spans="9:13">
      <c r="I129" s="1140"/>
      <c r="J129" s="1082"/>
      <c r="K129" s="1082"/>
      <c r="L129" s="862"/>
      <c r="M129" s="862"/>
    </row>
    <row r="130" spans="9:13">
      <c r="I130" s="1140"/>
      <c r="J130" s="1082"/>
      <c r="K130" s="1082"/>
      <c r="L130" s="862"/>
      <c r="M130" s="862"/>
    </row>
    <row r="131" spans="9:13">
      <c r="I131" s="1140"/>
      <c r="J131" s="1082"/>
      <c r="K131" s="1082"/>
      <c r="L131" s="862"/>
      <c r="M131" s="862"/>
    </row>
    <row r="132" spans="9:13">
      <c r="I132" s="1140"/>
      <c r="J132" s="1082"/>
      <c r="K132" s="1082"/>
      <c r="L132" s="862"/>
      <c r="M132" s="862"/>
    </row>
  </sheetData>
  <mergeCells count="141">
    <mergeCell ref="I121:M121"/>
    <mergeCell ref="I123:M123"/>
    <mergeCell ref="I124:M124"/>
    <mergeCell ref="I107:M107"/>
    <mergeCell ref="I108:M108"/>
    <mergeCell ref="I109:M109"/>
    <mergeCell ref="I110:M110"/>
    <mergeCell ref="I114:M114"/>
    <mergeCell ref="I111:M111"/>
    <mergeCell ref="I112:M112"/>
    <mergeCell ref="I119:M119"/>
    <mergeCell ref="I120:M120"/>
    <mergeCell ref="I113:M113"/>
    <mergeCell ref="I115:M115"/>
    <mergeCell ref="I116:M116"/>
    <mergeCell ref="I118:M118"/>
    <mergeCell ref="I117:M117"/>
    <mergeCell ref="I131:M131"/>
    <mergeCell ref="I132:M132"/>
    <mergeCell ref="I122:M122"/>
    <mergeCell ref="I128:M128"/>
    <mergeCell ref="I129:M129"/>
    <mergeCell ref="I130:M130"/>
    <mergeCell ref="I127:M127"/>
    <mergeCell ref="I125:M125"/>
    <mergeCell ref="I126:M126"/>
    <mergeCell ref="I104:M104"/>
    <mergeCell ref="I105:M105"/>
    <mergeCell ref="I106:M106"/>
    <mergeCell ref="I99:M99"/>
    <mergeCell ref="I100:M100"/>
    <mergeCell ref="I103:M103"/>
    <mergeCell ref="I101:M101"/>
    <mergeCell ref="I102:M102"/>
    <mergeCell ref="I98:M98"/>
    <mergeCell ref="C87:M87"/>
    <mergeCell ref="C89:M89"/>
    <mergeCell ref="C81:M81"/>
    <mergeCell ref="C85:M85"/>
    <mergeCell ref="I91:M91"/>
    <mergeCell ref="I92:M92"/>
    <mergeCell ref="I93:M93"/>
    <mergeCell ref="I94:M94"/>
    <mergeCell ref="I97:M97"/>
    <mergeCell ref="I90:M90"/>
    <mergeCell ref="I95:M95"/>
    <mergeCell ref="I96:M96"/>
    <mergeCell ref="I82:M82"/>
    <mergeCell ref="I86:M86"/>
    <mergeCell ref="I88:M88"/>
    <mergeCell ref="C83:M83"/>
    <mergeCell ref="I80:M80"/>
    <mergeCell ref="C55:M55"/>
    <mergeCell ref="I57:M57"/>
    <mergeCell ref="C56:E56"/>
    <mergeCell ref="C57:E57"/>
    <mergeCell ref="C64:M64"/>
    <mergeCell ref="C59:M59"/>
    <mergeCell ref="C60:M60"/>
    <mergeCell ref="C62:M62"/>
    <mergeCell ref="C66:M66"/>
    <mergeCell ref="C77:M77"/>
    <mergeCell ref="C79:M79"/>
    <mergeCell ref="C70:G70"/>
    <mergeCell ref="C71:G71"/>
    <mergeCell ref="C72:G72"/>
    <mergeCell ref="C73:G73"/>
    <mergeCell ref="C75:M75"/>
    <mergeCell ref="C68:M68"/>
    <mergeCell ref="I51:M51"/>
    <mergeCell ref="C54:M54"/>
    <mergeCell ref="C42:E42"/>
    <mergeCell ref="I42:M42"/>
    <mergeCell ref="C43:E43"/>
    <mergeCell ref="I43:M43"/>
    <mergeCell ref="C44:E44"/>
    <mergeCell ref="I44:M44"/>
    <mergeCell ref="C45:E45"/>
    <mergeCell ref="I45:M45"/>
    <mergeCell ref="C46:E46"/>
    <mergeCell ref="I46:M46"/>
    <mergeCell ref="C47:E47"/>
    <mergeCell ref="I47:M47"/>
    <mergeCell ref="C48:E48"/>
    <mergeCell ref="I48:M48"/>
    <mergeCell ref="C22:M22"/>
    <mergeCell ref="C18:E18"/>
    <mergeCell ref="F18:H18"/>
    <mergeCell ref="C52:M52"/>
    <mergeCell ref="C53:M53"/>
    <mergeCell ref="I58:M58"/>
    <mergeCell ref="I56:M56"/>
    <mergeCell ref="I30:M30"/>
    <mergeCell ref="C34:E34"/>
    <mergeCell ref="I34:M34"/>
    <mergeCell ref="C24:D24"/>
    <mergeCell ref="C38:D38"/>
    <mergeCell ref="C49:E49"/>
    <mergeCell ref="I49:M49"/>
    <mergeCell ref="C50:E50"/>
    <mergeCell ref="I50:M50"/>
    <mergeCell ref="C26:M26"/>
    <mergeCell ref="C30:E30"/>
    <mergeCell ref="C21:M21"/>
    <mergeCell ref="I28:M28"/>
    <mergeCell ref="C36:E36"/>
    <mergeCell ref="C31:E31"/>
    <mergeCell ref="I35:M35"/>
    <mergeCell ref="I36:M36"/>
    <mergeCell ref="B1:M1"/>
    <mergeCell ref="B4:M4"/>
    <mergeCell ref="C6:M6"/>
    <mergeCell ref="F12:H12"/>
    <mergeCell ref="C12:E12"/>
    <mergeCell ref="C15:E15"/>
    <mergeCell ref="C20:M20"/>
    <mergeCell ref="I5:M5"/>
    <mergeCell ref="F10:H10"/>
    <mergeCell ref="F11:H11"/>
    <mergeCell ref="C11:E11"/>
    <mergeCell ref="C14:E14"/>
    <mergeCell ref="I7:M7"/>
    <mergeCell ref="C13:E13"/>
    <mergeCell ref="F13:H13"/>
    <mergeCell ref="C8:M8"/>
    <mergeCell ref="C17:E17"/>
    <mergeCell ref="C16:E16"/>
    <mergeCell ref="F14:H14"/>
    <mergeCell ref="F15:H15"/>
    <mergeCell ref="F16:H16"/>
    <mergeCell ref="F17:H17"/>
    <mergeCell ref="C33:E33"/>
    <mergeCell ref="I33:M33"/>
    <mergeCell ref="I32:M32"/>
    <mergeCell ref="I31:M31"/>
    <mergeCell ref="C28:E28"/>
    <mergeCell ref="C29:E29"/>
    <mergeCell ref="I29:M29"/>
    <mergeCell ref="C32:E32"/>
    <mergeCell ref="C40:M40"/>
    <mergeCell ref="C35:E35"/>
  </mergeCells>
  <phoneticPr fontId="0" type="noConversion"/>
  <dataValidations count="1">
    <dataValidation type="list" allowBlank="1" showInputMessage="1" showErrorMessage="1" sqref="Q81" xr:uid="{866E65E6-10FA-4137-A5EB-AE33A9C77C3B}">
      <formula1>"najniższym,najwyższym"</formula1>
    </dataValidation>
  </dataValidations>
  <hyperlinks>
    <hyperlink ref="B1:M1" location="'spis treści'!A1" display="SPIS TREŚCI" xr:uid="{00000000-0004-0000-2E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7</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28">
    <pageSetUpPr fitToPage="1"/>
  </sheetPr>
  <dimension ref="A1:AA364"/>
  <sheetViews>
    <sheetView showGridLines="0" view="pageBreakPreview" topLeftCell="A340" zoomScaleNormal="100" zoomScaleSheetLayoutView="100" workbookViewId="0">
      <selection activeCell="C340" sqref="C340:H340"/>
    </sheetView>
  </sheetViews>
  <sheetFormatPr defaultColWidth="9.140625" defaultRowHeight="12.75"/>
  <cols>
    <col min="1" max="1" width="20" style="66" bestFit="1" customWidth="1"/>
    <col min="2" max="2" width="5.7109375" style="72" customWidth="1"/>
    <col min="3" max="3" width="9.140625" style="66"/>
    <col min="4" max="4" width="7" style="66" customWidth="1"/>
    <col min="5" max="5" width="7.42578125" style="66" customWidth="1"/>
    <col min="6" max="6" width="4.7109375" style="66" customWidth="1"/>
    <col min="7" max="7" width="9.140625" style="66"/>
    <col min="8" max="8" width="7.5703125" style="66" customWidth="1"/>
    <col min="9" max="9" width="15.140625" style="66" customWidth="1"/>
    <col min="10" max="10" width="5.28515625" style="66" customWidth="1"/>
    <col min="11" max="11" width="12.28515625" style="66" customWidth="1"/>
    <col min="12" max="12" width="14.7109375" style="66" customWidth="1"/>
    <col min="13" max="13" width="9.140625" style="66"/>
    <col min="14" max="14" width="12.42578125" style="66" customWidth="1"/>
    <col min="15" max="16384" width="9.140625" style="66"/>
  </cols>
  <sheetData>
    <row r="1" spans="1:13">
      <c r="B1" s="773" t="s">
        <v>1257</v>
      </c>
      <c r="C1" s="773"/>
      <c r="D1" s="773"/>
      <c r="E1" s="773"/>
      <c r="F1" s="773"/>
      <c r="G1" s="773"/>
      <c r="H1" s="773"/>
      <c r="I1" s="773"/>
      <c r="J1" s="773"/>
      <c r="K1" s="773"/>
      <c r="L1" s="397"/>
    </row>
    <row r="2" spans="1:13">
      <c r="B2" s="393" t="str">
        <f>nazwa_spolki</f>
        <v>Rhenus Digital Workforce Sp. z o.o.</v>
      </c>
      <c r="C2" s="397"/>
      <c r="D2" s="397"/>
      <c r="E2" s="397"/>
      <c r="F2" s="397"/>
      <c r="G2" s="397"/>
      <c r="H2" s="397"/>
      <c r="I2" s="397"/>
      <c r="J2" s="397"/>
      <c r="K2" s="397"/>
      <c r="L2" s="397"/>
    </row>
    <row r="3" spans="1:13" ht="45.95" customHeight="1">
      <c r="B3" s="130" t="str">
        <f>tytul</f>
        <v>Sprawozdanie finansowe sporządzone za rok obrotowy 2024</v>
      </c>
      <c r="C3" s="397"/>
      <c r="D3" s="397"/>
      <c r="E3" s="397"/>
      <c r="F3" s="397"/>
      <c r="G3" s="397"/>
      <c r="H3" s="397"/>
      <c r="I3" s="397"/>
      <c r="J3" s="397"/>
      <c r="K3" s="397"/>
      <c r="L3" s="397"/>
    </row>
    <row r="4" spans="1:13" s="180" customFormat="1" ht="20.25">
      <c r="B4" s="800" t="str">
        <f>"8. "&amp;CHOOSE(jezyk,n!A613,n!B613,n!C613,n!D611)</f>
        <v>8. DODATKOWE INFORMACJE I OBJAŚNIENIA</v>
      </c>
      <c r="C4" s="800"/>
      <c r="D4" s="800"/>
      <c r="E4" s="800"/>
      <c r="F4" s="800"/>
      <c r="G4" s="800"/>
      <c r="H4" s="800"/>
      <c r="I4" s="800"/>
      <c r="J4" s="800"/>
      <c r="K4" s="800"/>
      <c r="L4" s="800"/>
    </row>
    <row r="6" spans="1:13" ht="27" customHeight="1">
      <c r="A6" s="72"/>
      <c r="B6" s="111" t="s">
        <v>2113</v>
      </c>
      <c r="C6" s="762" t="str">
        <f>CHOOSE(jezyk,n!A1130,n!B1130,n!C1130,n!D1128)</f>
        <v>Informacje o spółce, z którą nastąpiło połączenie rozliczone metodą nabycia</v>
      </c>
      <c r="D6" s="762"/>
      <c r="E6" s="762"/>
      <c r="F6" s="762"/>
      <c r="G6" s="762"/>
      <c r="H6" s="762"/>
      <c r="I6" s="762"/>
      <c r="J6" s="762"/>
      <c r="K6" s="762"/>
      <c r="L6" s="762"/>
      <c r="M6" s="232"/>
    </row>
    <row r="7" spans="1:13" ht="12.75" customHeight="1">
      <c r="B7" s="111"/>
      <c r="C7" s="741" t="str">
        <f>CHOOSE(jezyk,n!A1131,n!B1131,n!C1131,n!D1129)</f>
        <v>Nie dotyczy</v>
      </c>
      <c r="D7" s="741"/>
      <c r="E7" s="741"/>
      <c r="F7" s="741"/>
      <c r="G7" s="741"/>
      <c r="H7" s="741"/>
      <c r="I7" s="741"/>
      <c r="J7" s="741"/>
      <c r="K7" s="741"/>
      <c r="L7" s="741"/>
      <c r="M7" s="131" t="s">
        <v>2186</v>
      </c>
    </row>
    <row r="9" spans="1:13" ht="19.5" customHeight="1">
      <c r="B9" s="80" t="s">
        <v>1459</v>
      </c>
      <c r="C9" s="841" t="str">
        <f>CHOOSE(jezyk,n!A1134,n!B1134,n!C1134,n!D1131)</f>
        <v>Nazwa spółki</v>
      </c>
      <c r="D9" s="842"/>
      <c r="E9" s="842"/>
      <c r="F9" s="843"/>
      <c r="G9" s="932" t="str">
        <f>CHOOSE(jezyk,n!A1135,n!B1135,n!C1135,n!D1132)</f>
        <v>Przedmiot działalności spółki przejętej</v>
      </c>
      <c r="H9" s="1080"/>
      <c r="I9" s="1080"/>
      <c r="J9" s="1080"/>
      <c r="K9" s="1080"/>
      <c r="L9" s="933"/>
    </row>
    <row r="10" spans="1:13" ht="18" customHeight="1">
      <c r="B10" s="88"/>
      <c r="C10" s="1158"/>
      <c r="D10" s="1159"/>
      <c r="E10" s="1159"/>
      <c r="F10" s="1160"/>
      <c r="G10" s="1155"/>
      <c r="H10" s="1156"/>
      <c r="I10" s="1156"/>
      <c r="J10" s="1156"/>
      <c r="K10" s="1156"/>
      <c r="L10" s="1157"/>
    </row>
    <row r="11" spans="1:13">
      <c r="B11" s="88"/>
    </row>
    <row r="12" spans="1:13">
      <c r="B12" s="80" t="s">
        <v>1460</v>
      </c>
      <c r="C12" s="79" t="str">
        <f>CHOOSE(jezyk,n!A1136,n!B1136,n!C1136,n!D1134)</f>
        <v>Informacja o wyemitowanych akcjach (udziałach) w celu połączenia</v>
      </c>
    </row>
    <row r="13" spans="1:13">
      <c r="B13" s="88"/>
    </row>
    <row r="14" spans="1:13" ht="12.75" customHeight="1">
      <c r="B14" s="88"/>
      <c r="C14" s="741" t="str">
        <f>CHOOSE(jezyk,n!A1131,n!B1131,n!C1131,n!D1129)</f>
        <v>Nie dotyczy</v>
      </c>
      <c r="D14" s="741"/>
      <c r="E14" s="741"/>
      <c r="F14" s="741"/>
      <c r="G14" s="741"/>
      <c r="H14" s="741"/>
      <c r="I14" s="741"/>
      <c r="J14" s="741"/>
      <c r="K14" s="741"/>
      <c r="L14" s="741"/>
    </row>
    <row r="15" spans="1:13">
      <c r="B15" s="88"/>
    </row>
    <row r="16" spans="1:13" ht="27.75" hidden="1" customHeight="1">
      <c r="B16" s="88"/>
      <c r="C16" s="839" t="str">
        <f>CHOOSE(jezyk,n!A1137,n!B1137,n!C1137,n!D1135)</f>
        <v>Liczba akcji (udziałów):</v>
      </c>
      <c r="D16" s="839" t="str">
        <f>CHOOSE(jezyk,n!B1642,n!C1642,n!D1638,n!E1638)</f>
        <v>Gruppe 6</v>
      </c>
      <c r="E16" s="839" t="str">
        <f>CHOOSE(jezyk,n!C1642,n!D1638,n!E1638,n!F1638)</f>
        <v>Group 6</v>
      </c>
      <c r="F16" s="839">
        <f>CHOOSE(jezyk,n!D1638,n!E1638,n!F1638,n!G1638)</f>
        <v>0</v>
      </c>
      <c r="G16" s="839" t="str">
        <f>CHOOSE(jezyk,n!A1138,n!B1138,n!C1138,n!D1136)</f>
        <v>Wartość nominalna akcji (udziałów):</v>
      </c>
      <c r="H16" s="839">
        <f>CHOOSE(jezyk,n!F1637,n!G1637,n!H1637,n!I1637)</f>
        <v>0</v>
      </c>
      <c r="I16" s="839" t="str">
        <f>CHOOSE(jezyk,n!A1139,n!B1139,n!C1139,n!D1137)</f>
        <v>Rodzaj akcji (udziałów):</v>
      </c>
      <c r="J16" s="839"/>
      <c r="K16" s="839"/>
      <c r="L16" s="259"/>
    </row>
    <row r="17" spans="1:13" ht="18.75" hidden="1" customHeight="1">
      <c r="B17" s="88"/>
      <c r="C17" s="1161"/>
      <c r="D17" s="1161"/>
      <c r="E17" s="1161"/>
      <c r="F17" s="1161"/>
      <c r="G17" s="1147"/>
      <c r="H17" s="1147"/>
      <c r="I17" s="1176"/>
      <c r="J17" s="1176"/>
      <c r="K17" s="1176"/>
      <c r="L17" s="259"/>
    </row>
    <row r="18" spans="1:13" ht="15" hidden="1" customHeight="1">
      <c r="B18" s="88"/>
      <c r="C18" s="923">
        <f>SUM(C17:F17)</f>
        <v>0</v>
      </c>
      <c r="D18" s="1177"/>
      <c r="E18" s="1177"/>
      <c r="F18" s="924"/>
      <c r="G18" s="923">
        <f>SUM(G17:J17)</f>
        <v>0</v>
      </c>
      <c r="H18" s="924"/>
      <c r="I18" s="260"/>
      <c r="J18" s="260"/>
      <c r="K18" s="259"/>
      <c r="L18" s="259"/>
    </row>
    <row r="19" spans="1:13" hidden="1">
      <c r="B19" s="88"/>
      <c r="C19" s="259"/>
      <c r="D19" s="259"/>
      <c r="E19" s="259"/>
      <c r="F19" s="259"/>
      <c r="G19" s="259"/>
      <c r="H19" s="259"/>
      <c r="I19" s="259"/>
      <c r="J19" s="259"/>
      <c r="K19" s="259"/>
      <c r="L19" s="259"/>
    </row>
    <row r="20" spans="1:13">
      <c r="B20" s="80" t="s">
        <v>1461</v>
      </c>
      <c r="C20" s="79" t="str">
        <f>CHOOSE(jezyk,n!A1649,n!B1649,n!C1649,n!D1645)</f>
        <v>Informacje o cenie przejęcia i wartości firmy</v>
      </c>
    </row>
    <row r="21" spans="1:13">
      <c r="B21" s="88"/>
    </row>
    <row r="22" spans="1:13">
      <c r="B22" s="88"/>
      <c r="C22" s="1175" t="str">
        <f>CHOOSE(jezyk,n!A1650,n!B1650,n!C1650,n!D1646)</f>
        <v>Pozycja</v>
      </c>
      <c r="D22" s="1175" t="str">
        <f>CHOOSE(jezyk,n!B1652,n!C1652,n!D1648,n!E1648)</f>
        <v>Wert des Nettovermögens</v>
      </c>
      <c r="E22" s="1175" t="str">
        <f>CHOOSE(jezyk,n!C1652,n!D1648,n!E1648,n!F1648)</f>
        <v>Net assets by value</v>
      </c>
      <c r="F22" s="1175">
        <f>CHOOSE(jezyk,n!D1648,n!E1648,n!F1648,n!G1648)</f>
        <v>0</v>
      </c>
      <c r="G22" s="1170" t="str">
        <f>CHOOSE(jezyk,n!A1654,n!B1654,n!C1654,n!D1650)</f>
        <v>Spółka X</v>
      </c>
      <c r="H22" s="1170">
        <f>CHOOSE(jezyk,n!F1648,n!G1648,n!H1648,n!I1648)</f>
        <v>0</v>
      </c>
      <c r="I22" s="1170" t="str">
        <f>CHOOSE(jezyk,n!A1655,n!B1655,n!C1655,n!D1651)</f>
        <v>Spółka Y</v>
      </c>
      <c r="J22" s="1170">
        <f>CHOOSE(jezyk,n!H1648,n!I1648,n!J1648,n!K1648)</f>
        <v>0</v>
      </c>
    </row>
    <row r="23" spans="1:13" ht="16.5" customHeight="1">
      <c r="B23" s="88"/>
      <c r="C23" s="846" t="str">
        <f>CHOOSE(jezyk,n!A1651,n!B1651,n!C1651,n!D1647)</f>
        <v>Cena przejęcia</v>
      </c>
      <c r="D23" s="846" t="str">
        <f>CHOOSE(jezyk,n!B1653,n!C1653,n!D1649,n!E1649)</f>
        <v>Geschäfts- oder Firmenwert/Negativer Geschäfts- oder Firmenwert</v>
      </c>
      <c r="E23" s="846" t="str">
        <f>CHOOSE(jezyk,n!C1653,n!D1649,n!E1649,n!F1649)</f>
        <v>Goodwill / Negative goodwill</v>
      </c>
      <c r="F23" s="846">
        <f>CHOOSE(jezyk,n!D1649,n!E1649,n!F1649,n!G1649)</f>
        <v>0</v>
      </c>
      <c r="G23" s="981"/>
      <c r="H23" s="981"/>
      <c r="I23" s="981"/>
      <c r="J23" s="981"/>
    </row>
    <row r="24" spans="1:13" ht="19.5" customHeight="1">
      <c r="B24" s="88"/>
      <c r="C24" s="846" t="str">
        <f>CHOOSE(jezyk,n!A1652,n!B1652,n!C1652,n!D1648)</f>
        <v>Wartość aktywów netto</v>
      </c>
      <c r="D24" s="846" t="str">
        <f>CHOOSE(jezyk,n!B1657,n!C1657,n!D1653,n!E1653)</f>
        <v xml:space="preserve">beim Amtsgericht ……………., ………... Wirtschaftsabteilung des Landesgerichtsregisters, unter der Nummer ………….. </v>
      </c>
      <c r="E24" s="846" t="str">
        <f>CHOOSE(jezyk,n!C1657,n!D1653,n!E1653,n!F1653)</f>
        <v xml:space="preserve">in the District Court for ……………., ………... Commercial Division of the National Court Register, under number ………….. </v>
      </c>
      <c r="F24" s="846">
        <f>CHOOSE(jezyk,n!D1653,n!E1653,n!F1653,n!G1653)</f>
        <v>0</v>
      </c>
      <c r="G24" s="981"/>
      <c r="H24" s="981"/>
      <c r="I24" s="981"/>
      <c r="J24" s="981"/>
    </row>
    <row r="25" spans="1:13" ht="24.75" customHeight="1">
      <c r="A25" s="72"/>
      <c r="B25" s="88"/>
      <c r="C25" s="846" t="str">
        <f>CHOOSE(jezyk,n!A1653,n!B1653,n!C1653,n!D1649)</f>
        <v>Wartość firmy/Ujemna wartość firmy</v>
      </c>
      <c r="D25" s="846" t="str">
        <f>CHOOSE(jezyk,n!B1658,n!C1658,n!D1654,n!E1654)</f>
        <v>Die gesellschaftsrechtlichen Verhältnisse sind im Gesellschaftsvertrag in der Fassung vom  …………….., mit späteren Änderungen, geregelt. Der Gesellschaftsvertrag wurde in (Notarkanzlei) in (Stadt) unter der Urkundenrolle ……………. geschlossen.</v>
      </c>
      <c r="E25" s="846" t="str">
        <f>CHOOSE(jezyk,n!C1658,n!D1654,n!E1654,n!F1654)</f>
        <v>The Company conducts its business activity on the basis of the Articles of Association dated …………….., drawn up in the notary office in (location), and recorded in Register no. ……………., as amended.</v>
      </c>
      <c r="F25" s="846">
        <f>CHOOSE(jezyk,n!D1654,n!E1654,n!F1654,n!G1654)</f>
        <v>0</v>
      </c>
      <c r="G25" s="981"/>
      <c r="H25" s="981"/>
      <c r="I25" s="981"/>
      <c r="J25" s="981"/>
    </row>
    <row r="27" spans="1:13" ht="12.75" customHeight="1">
      <c r="C27" s="1179" t="str">
        <f>CHOOSE(jezyk,n!A1656,n!B1656,n!C1656,n!D1652)</f>
        <v>Opis metody amortyzacji wartości firmy.</v>
      </c>
      <c r="D27" s="1179"/>
      <c r="E27" s="1179"/>
      <c r="F27" s="1179"/>
      <c r="G27" s="1179"/>
      <c r="H27" s="1179"/>
      <c r="I27" s="1179"/>
      <c r="J27" s="1179"/>
      <c r="K27" s="1179"/>
      <c r="L27" s="1179"/>
    </row>
    <row r="29" spans="1:13" ht="12.75" customHeight="1">
      <c r="A29" s="72"/>
      <c r="B29" s="111" t="s">
        <v>2114</v>
      </c>
      <c r="C29" s="854" t="str">
        <f>CHOOSE(jezyk,n!A1140,n!B1140,n!C1140,n!D1138)</f>
        <v>Informacje o spółkach, z którymi nastąpiło połączenie rozliczone metodą łączenia udziałów</v>
      </c>
      <c r="D29" s="854"/>
      <c r="E29" s="854"/>
      <c r="F29" s="854"/>
      <c r="G29" s="854"/>
      <c r="H29" s="854"/>
      <c r="I29" s="854"/>
      <c r="J29" s="854"/>
      <c r="K29" s="854"/>
      <c r="L29" s="854"/>
    </row>
    <row r="30" spans="1:13">
      <c r="B30" s="111"/>
      <c r="C30" s="403"/>
      <c r="D30" s="403"/>
      <c r="E30" s="403"/>
      <c r="F30" s="403"/>
      <c r="G30" s="403"/>
      <c r="H30" s="403"/>
      <c r="I30" s="403"/>
      <c r="J30" s="403"/>
      <c r="K30" s="403"/>
      <c r="L30" s="403"/>
    </row>
    <row r="31" spans="1:13" ht="12.75" customHeight="1">
      <c r="B31" s="111"/>
      <c r="C31" s="741" t="str">
        <f>CHOOSE(jezyk,n!A1131,n!B1131,n!C1131,n!D1129)</f>
        <v>Nie dotyczy</v>
      </c>
      <c r="D31" s="741"/>
      <c r="E31" s="741"/>
      <c r="F31" s="741"/>
      <c r="G31" s="741"/>
      <c r="H31" s="741"/>
      <c r="I31" s="741"/>
      <c r="J31" s="741"/>
      <c r="K31" s="741"/>
      <c r="L31" s="741"/>
      <c r="M31" s="131" t="s">
        <v>2186</v>
      </c>
    </row>
    <row r="32" spans="1:13">
      <c r="B32" s="111"/>
      <c r="C32" s="162"/>
      <c r="M32" s="232"/>
    </row>
    <row r="33" spans="2:13" ht="19.5" hidden="1" customHeight="1">
      <c r="B33" s="80" t="s">
        <v>1459</v>
      </c>
      <c r="C33" s="841" t="str">
        <f>CHOOSE(jezyk,n!A1134,n!B1134,n!C1134,n!D1131)</f>
        <v>Nazwa spółki</v>
      </c>
      <c r="D33" s="842"/>
      <c r="E33" s="842"/>
      <c r="F33" s="843"/>
      <c r="G33" s="932" t="str">
        <f>CHOOSE(jezyk,n!A1141,n!B1141,n!C1141,n!D1139)</f>
        <v>Przedmiot działalności spółki:</v>
      </c>
      <c r="H33" s="1080"/>
      <c r="I33" s="1080"/>
      <c r="J33" s="1080"/>
      <c r="K33" s="1080"/>
      <c r="L33" s="933"/>
    </row>
    <row r="34" spans="2:13" ht="16.5" hidden="1" customHeight="1">
      <c r="B34" s="88"/>
      <c r="C34" s="1158"/>
      <c r="D34" s="1159"/>
      <c r="E34" s="1159"/>
      <c r="F34" s="1160"/>
      <c r="G34" s="1158"/>
      <c r="H34" s="1159"/>
      <c r="I34" s="1159"/>
      <c r="J34" s="1159"/>
      <c r="K34" s="1159"/>
      <c r="L34" s="1160"/>
    </row>
    <row r="35" spans="2:13" hidden="1">
      <c r="B35" s="88"/>
    </row>
    <row r="36" spans="2:13" hidden="1">
      <c r="B36" s="80" t="s">
        <v>1460</v>
      </c>
      <c r="C36" s="79" t="str">
        <f>CHOOSE(jezyk,n!A1136,n!B1136,n!C1136,n!D1134)</f>
        <v>Informacja o wyemitowanych akcjach (udziałach) w celu połączenia</v>
      </c>
    </row>
    <row r="37" spans="2:13" hidden="1">
      <c r="B37" s="88"/>
    </row>
    <row r="38" spans="2:13" ht="25.5" hidden="1" customHeight="1">
      <c r="B38" s="88"/>
      <c r="C38" s="846" t="str">
        <f>C16</f>
        <v>Liczba akcji (udziałów):</v>
      </c>
      <c r="D38" s="846" t="str">
        <f>CHOOSE(jezyk,n!B1669,n!C1669,n!D1665,n!E1665)</f>
        <v>Trotz des Konjunkturrückgangs treten keine Symptome auf, die von einer Bedrohung der Unternehmensfortführung oder der Einschränkung ihres Umfangs zeugen würden, und die erfolgten Änderungen weisen auf die Fortsetzung der Entwicklung hin.</v>
      </c>
      <c r="E38" s="846" t="str">
        <f>CHOOSE(jezyk,n!C1669,n!D1665,n!E1665,n!F1665)</f>
        <v>Despite the economic recession there are no signs indicating any threats to the Company's ability to continue as a going concern or to limitation of the size of its operations, and all changes suggest that it would continue its development.</v>
      </c>
      <c r="F38" s="846">
        <f>CHOOSE(jezyk,n!D1665,n!E1665,n!F1665,n!G1665)</f>
        <v>0</v>
      </c>
      <c r="G38" s="839" t="str">
        <f>G16</f>
        <v>Wartość nominalna akcji (udziałów):</v>
      </c>
      <c r="H38" s="839">
        <f>CHOOSE(jezyk,n!F1664,n!G1664,n!H1664,n!I1664)</f>
        <v>0</v>
      </c>
      <c r="I38" s="839" t="str">
        <f>I16</f>
        <v>Rodzaj akcji (udziałów):</v>
      </c>
      <c r="J38" s="839"/>
      <c r="K38" s="839"/>
    </row>
    <row r="39" spans="2:13" ht="15" hidden="1" customHeight="1">
      <c r="B39" s="88"/>
      <c r="C39" s="1161"/>
      <c r="D39" s="1161"/>
      <c r="E39" s="1161"/>
      <c r="F39" s="1161"/>
      <c r="G39" s="1147"/>
      <c r="H39" s="1147"/>
      <c r="I39" s="1178"/>
      <c r="J39" s="1178"/>
      <c r="K39" s="1178"/>
    </row>
    <row r="40" spans="2:13" ht="15" hidden="1" customHeight="1">
      <c r="B40" s="88"/>
      <c r="C40" s="1161"/>
      <c r="D40" s="1161"/>
      <c r="E40" s="1161"/>
      <c r="F40" s="1161"/>
      <c r="G40" s="1147"/>
      <c r="H40" s="1147"/>
      <c r="I40" s="1178"/>
      <c r="J40" s="1178"/>
      <c r="K40" s="1178"/>
      <c r="L40" s="261"/>
    </row>
    <row r="41" spans="2:13" ht="15" hidden="1" customHeight="1">
      <c r="B41" s="88"/>
      <c r="C41" s="923">
        <f>SUM(C39:F40)</f>
        <v>0</v>
      </c>
      <c r="D41" s="1177"/>
      <c r="E41" s="1177"/>
      <c r="F41" s="924"/>
      <c r="G41" s="923">
        <f>SUM(G39:J40)</f>
        <v>0</v>
      </c>
      <c r="H41" s="924"/>
      <c r="I41" s="260"/>
      <c r="J41" s="260"/>
      <c r="K41" s="259"/>
    </row>
    <row r="42" spans="2:13" hidden="1">
      <c r="B42" s="88"/>
      <c r="C42" s="162"/>
    </row>
    <row r="43" spans="2:13" hidden="1">
      <c r="B43" s="80" t="s">
        <v>1461</v>
      </c>
      <c r="C43" s="1172" t="str">
        <f>CHOOSE(jezyk,n!A1142,n!B1142,n!C1142,n!D1140)</f>
        <v>Dane połączonych spółek za okres od XX.XX.XXXX do XX.XX.XXXX</v>
      </c>
      <c r="D43" s="1172"/>
      <c r="E43" s="1172"/>
      <c r="F43" s="1172"/>
      <c r="G43" s="1172"/>
      <c r="H43" s="1172"/>
      <c r="I43" s="1172"/>
      <c r="J43" s="1172"/>
      <c r="K43" s="1172"/>
      <c r="L43" s="1172"/>
      <c r="M43" s="262"/>
    </row>
    <row r="44" spans="2:13" hidden="1"/>
    <row r="45" spans="2:13" ht="15" hidden="1" customHeight="1">
      <c r="C45" s="852" t="str">
        <f>CHOOSE(jezyk,n!A1143,n!B1143,n!C1143,n!D1141)</f>
        <v>Pozycja</v>
      </c>
      <c r="D45" s="852"/>
      <c r="E45" s="852"/>
      <c r="F45" s="852"/>
      <c r="G45" s="852"/>
      <c r="H45" s="852"/>
      <c r="I45" s="1170" t="str">
        <f>CHOOSE(jezyk,n!A1654,n!B1654,n!C1654,n!D1650)</f>
        <v>Spółka X</v>
      </c>
      <c r="J45" s="1170">
        <f>CHOOSE(jezyk,n!F1686,n!G1686,n!H1686,n!I1686)</f>
        <v>0</v>
      </c>
      <c r="K45" s="1170" t="str">
        <f>CHOOSE(jezyk,n!A1655,n!B1655,n!C1655,n!D1651)</f>
        <v>Spółka Y</v>
      </c>
      <c r="L45" s="1170">
        <f>CHOOSE(jezyk,n!H1686,n!I1686,n!J1686,n!K1686)</f>
        <v>0</v>
      </c>
    </row>
    <row r="46" spans="2:13" ht="15" hidden="1" customHeight="1">
      <c r="C46" s="846" t="str">
        <f>CHOOSE(jezyk,n!A1144,n!B1144,n!C1144,n!D1142)</f>
        <v>Przychody</v>
      </c>
      <c r="D46" s="846"/>
      <c r="E46" s="846"/>
      <c r="F46" s="846"/>
      <c r="G46" s="846"/>
      <c r="H46" s="846"/>
      <c r="I46" s="981"/>
      <c r="J46" s="981"/>
      <c r="K46" s="981"/>
      <c r="L46" s="981"/>
    </row>
    <row r="47" spans="2:13" ht="15" hidden="1" customHeight="1">
      <c r="C47" s="846" t="str">
        <f>CHOOSE(jezyk,n!A1145,n!B1145,n!C1145,n!D1143)</f>
        <v>Koszty</v>
      </c>
      <c r="D47" s="846"/>
      <c r="E47" s="846"/>
      <c r="F47" s="846"/>
      <c r="G47" s="846"/>
      <c r="H47" s="846"/>
      <c r="I47" s="981"/>
      <c r="J47" s="981"/>
      <c r="K47" s="981"/>
      <c r="L47" s="981"/>
    </row>
    <row r="48" spans="2:13" ht="15" hidden="1" customHeight="1">
      <c r="C48" s="846" t="str">
        <f>CHOOSE(jezyk,n!A1146,n!B1146,n!C1146,n!D1144)</f>
        <v>Zysk / strata</v>
      </c>
      <c r="D48" s="846"/>
      <c r="E48" s="846"/>
      <c r="F48" s="846"/>
      <c r="G48" s="846"/>
      <c r="H48" s="846"/>
      <c r="I48" s="981"/>
      <c r="J48" s="981"/>
      <c r="K48" s="981"/>
      <c r="L48" s="981"/>
    </row>
    <row r="49" spans="1:13" ht="15" hidden="1" customHeight="1">
      <c r="C49" s="846" t="str">
        <f>CHOOSE(jezyk,n!A1147,n!B1147,n!C1147,n!D1145)</f>
        <v>Kapitał własny – stan na XX.XX.XXXX</v>
      </c>
      <c r="D49" s="846"/>
      <c r="E49" s="846"/>
      <c r="F49" s="846"/>
      <c r="G49" s="846"/>
      <c r="H49" s="846"/>
      <c r="I49" s="981"/>
      <c r="J49" s="981"/>
      <c r="K49" s="981"/>
      <c r="L49" s="981"/>
    </row>
    <row r="50" spans="1:13" ht="15" hidden="1" customHeight="1">
      <c r="C50" s="846" t="str">
        <f>CHOOSE(jezyk,n!A1148,n!B1148,n!C1148,n!D1146)</f>
        <v>Zmiana kapitału własnego</v>
      </c>
      <c r="D50" s="846"/>
      <c r="E50" s="846"/>
      <c r="F50" s="846"/>
      <c r="G50" s="846"/>
      <c r="H50" s="846"/>
      <c r="I50" s="981"/>
      <c r="J50" s="981"/>
      <c r="K50" s="981"/>
      <c r="L50" s="981"/>
    </row>
    <row r="51" spans="1:13" ht="15" hidden="1" customHeight="1">
      <c r="C51" s="846" t="str">
        <f>CHOOSE(jezyk,n!A1149,n!B1149,n!C1149,n!D1147)</f>
        <v xml:space="preserve">Zmiana stanu - kapitał podstawowy </v>
      </c>
      <c r="D51" s="846"/>
      <c r="E51" s="846"/>
      <c r="F51" s="846"/>
      <c r="G51" s="846"/>
      <c r="H51" s="846"/>
      <c r="I51" s="981"/>
      <c r="J51" s="981"/>
      <c r="K51" s="981"/>
      <c r="L51" s="981"/>
    </row>
    <row r="52" spans="1:13" ht="15" hidden="1" customHeight="1">
      <c r="C52" s="846" t="str">
        <f>CHOOSE(jezyk,n!A1150,n!B1150,n!C1150,n!D1148)</f>
        <v>Zmiana stanu - Zysk / strata z lat ubiegłych</v>
      </c>
      <c r="D52" s="846"/>
      <c r="E52" s="846"/>
      <c r="F52" s="846"/>
      <c r="G52" s="846"/>
      <c r="H52" s="846"/>
      <c r="I52" s="981"/>
      <c r="J52" s="981"/>
      <c r="K52" s="981"/>
      <c r="L52" s="981"/>
    </row>
    <row r="53" spans="1:13" ht="15" hidden="1" customHeight="1">
      <c r="C53" s="846" t="str">
        <f>CHOOSE(jezyk,n!A1151,n!B1151,n!C1151,n!D1149)</f>
        <v>Zmiana stanu kapitał zapasowy</v>
      </c>
      <c r="D53" s="846"/>
      <c r="E53" s="846"/>
      <c r="F53" s="846"/>
      <c r="G53" s="846"/>
      <c r="H53" s="846"/>
      <c r="I53" s="981"/>
      <c r="J53" s="981"/>
      <c r="K53" s="981"/>
      <c r="L53" s="981"/>
    </row>
    <row r="54" spans="1:13" ht="15" hidden="1" customHeight="1">
      <c r="A54" s="72"/>
      <c r="C54" s="846" t="str">
        <f>CHOOSE(jezyk,n!A1152,n!B1152,n!C1152,n!D1150)</f>
        <v xml:space="preserve">Kompensaty wzajemnych rozrachunków </v>
      </c>
      <c r="D54" s="846"/>
      <c r="E54" s="846"/>
      <c r="F54" s="846"/>
      <c r="G54" s="846"/>
      <c r="H54" s="846"/>
      <c r="I54" s="981"/>
      <c r="J54" s="981"/>
      <c r="K54" s="981"/>
      <c r="L54" s="981"/>
    </row>
    <row r="55" spans="1:13" ht="15" hidden="1" customHeight="1">
      <c r="A55" s="72"/>
      <c r="C55" s="846" t="str">
        <f>CHOOSE(jezyk,n!A1153,n!B1153,n!C1153,n!D1151)</f>
        <v>Zmiana kwalifikacji środków trwałych na towary</v>
      </c>
      <c r="D55" s="846"/>
      <c r="E55" s="846"/>
      <c r="F55" s="846"/>
      <c r="G55" s="846"/>
      <c r="H55" s="846"/>
      <c r="I55" s="981"/>
      <c r="J55" s="981"/>
      <c r="K55" s="981"/>
      <c r="L55" s="981"/>
    </row>
    <row r="56" spans="1:13" hidden="1">
      <c r="C56" s="1030"/>
      <c r="D56" s="1030"/>
      <c r="E56" s="1030"/>
      <c r="F56" s="1030"/>
      <c r="G56" s="1030"/>
      <c r="H56" s="1030"/>
      <c r="I56" s="981"/>
      <c r="J56" s="981"/>
      <c r="K56" s="981"/>
      <c r="L56" s="981"/>
    </row>
    <row r="57" spans="1:13" hidden="1"/>
    <row r="58" spans="1:13" hidden="1"/>
    <row r="59" spans="1:13" ht="20.25">
      <c r="B59" s="800" t="str">
        <f>"9. "&amp;CHOOSE(jezyk,n!A613,n!B613,n!C613,n!D611)</f>
        <v>9. DODATKOWE INFORMACJE I OBJAŚNIENIA</v>
      </c>
      <c r="C59" s="1083"/>
      <c r="D59" s="1083"/>
      <c r="E59" s="1083"/>
      <c r="F59" s="1083"/>
      <c r="G59" s="1083"/>
      <c r="H59" s="1083"/>
      <c r="I59" s="1083"/>
      <c r="J59" s="1083"/>
      <c r="K59" s="1083"/>
      <c r="L59" s="1083"/>
    </row>
    <row r="61" spans="1:13" ht="52.5" customHeight="1">
      <c r="A61" s="72"/>
      <c r="B61" s="111" t="s">
        <v>1508</v>
      </c>
      <c r="C61" s="762" t="str">
        <f>CHOOSE(jezyk,n!A1155,n!B1155,n!C1155,n!D1153)</f>
        <v>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v>
      </c>
      <c r="D61" s="762"/>
      <c r="E61" s="762"/>
      <c r="F61" s="762"/>
      <c r="G61" s="762"/>
      <c r="H61" s="762"/>
      <c r="I61" s="762"/>
      <c r="J61" s="762"/>
      <c r="K61" s="762"/>
      <c r="L61" s="762"/>
    </row>
    <row r="62" spans="1:13">
      <c r="C62" s="762"/>
      <c r="D62" s="762"/>
      <c r="E62" s="762"/>
      <c r="F62" s="762"/>
      <c r="G62" s="762"/>
      <c r="H62" s="762"/>
      <c r="I62" s="762"/>
      <c r="J62" s="762"/>
      <c r="K62" s="762"/>
      <c r="L62" s="762"/>
    </row>
    <row r="63" spans="1:13" ht="12.75" customHeight="1">
      <c r="A63" s="72"/>
      <c r="C63" s="745" t="str">
        <f>IF(GA!F67="nie",CHOOSE(jezyk,n!A1156,n!B1156,n!C1156,n!D1154),CHOOSE(jezyk,n!A1157,n!B1157,n!C1157,n!D1157))</f>
        <v>Nie dotyczy, nie istnieją niepewności co do możliwości kontynuowania działalności przez Spółkę.</v>
      </c>
      <c r="D63" s="745"/>
      <c r="E63" s="745"/>
      <c r="F63" s="745"/>
      <c r="G63" s="745"/>
      <c r="H63" s="745"/>
      <c r="I63" s="745"/>
      <c r="J63" s="745"/>
      <c r="K63" s="745"/>
      <c r="L63" s="745"/>
      <c r="M63" s="131" t="s">
        <v>2186</v>
      </c>
    </row>
    <row r="64" spans="1:13">
      <c r="C64" s="745"/>
      <c r="D64" s="745"/>
      <c r="E64" s="745"/>
      <c r="F64" s="745"/>
      <c r="G64" s="745"/>
      <c r="H64" s="745"/>
      <c r="I64" s="745"/>
      <c r="J64" s="745"/>
      <c r="K64" s="745"/>
      <c r="L64" s="745"/>
    </row>
    <row r="66" spans="1:13" ht="20.25">
      <c r="B66" s="800" t="str">
        <f>"10. "&amp;CHOOSE(jezyk,n!A613,n!B613,n!C613,n!D611)</f>
        <v>10. DODATKOWE INFORMACJE I OBJAŚNIENIA</v>
      </c>
      <c r="C66" s="1083"/>
      <c r="D66" s="1083"/>
      <c r="E66" s="1083"/>
      <c r="F66" s="1083"/>
      <c r="G66" s="1083"/>
      <c r="H66" s="1083"/>
      <c r="I66" s="1083"/>
      <c r="J66" s="1083"/>
      <c r="K66" s="1083"/>
      <c r="L66" s="1083"/>
    </row>
    <row r="69" spans="1:13" ht="39" customHeight="1">
      <c r="B69" s="111" t="s">
        <v>94</v>
      </c>
      <c r="C69" s="762" t="str">
        <f>CHOOSE(jezyk,n!A1194,n!B1194,n!C1194,n!D1171)</f>
        <v>Informacje dodatkowe w zakresie instrumentów finansowych, zgodnie z §40.1  Rozporządzenia Ministra Finansów z dnia 12.12.2001 w sprawie szczegółowych zasad uznawania, metod wyceny, zakresu ujawniania i sposobu prezentacji instrumentów finansowych</v>
      </c>
      <c r="D69" s="762"/>
      <c r="E69" s="762"/>
      <c r="F69" s="762"/>
      <c r="G69" s="762"/>
      <c r="H69" s="762"/>
      <c r="I69" s="762"/>
      <c r="J69" s="762"/>
      <c r="K69" s="762"/>
      <c r="L69" s="762"/>
    </row>
    <row r="70" spans="1:13">
      <c r="C70" s="762"/>
      <c r="D70" s="762"/>
      <c r="E70" s="762"/>
      <c r="F70" s="762"/>
      <c r="G70" s="762"/>
      <c r="H70" s="762"/>
      <c r="I70" s="762"/>
      <c r="J70" s="762"/>
      <c r="K70" s="762"/>
      <c r="L70" s="762"/>
    </row>
    <row r="71" spans="1:13" ht="24" customHeight="1">
      <c r="C71" s="1171" t="str">
        <f>IF(GA!F67="nie",CHOOSE(jezyk,n!A1195,n!B1195,n!C1195,n!D1193),CHOOSE(jezyk,n!A1196,n!B1196,n!C1196,n!D1196))</f>
        <v>Spółka zastosowała uproszczenia wynikające z art. 28b ust. 1 Ustawy o rachunkowości i nie stosuje przepisów w/w Rozporządzenia.</v>
      </c>
      <c r="D71" s="1171"/>
      <c r="E71" s="1171"/>
      <c r="F71" s="1171"/>
      <c r="G71" s="1171"/>
      <c r="H71" s="1171"/>
      <c r="I71" s="1171"/>
      <c r="J71" s="1171"/>
      <c r="K71" s="1171"/>
      <c r="L71" s="1171"/>
      <c r="M71" s="131" t="s">
        <v>5513</v>
      </c>
    </row>
    <row r="72" spans="1:13">
      <c r="C72" s="960"/>
      <c r="D72" s="960"/>
      <c r="E72" s="960"/>
      <c r="F72" s="960"/>
      <c r="G72" s="960"/>
      <c r="H72" s="960"/>
      <c r="I72" s="960"/>
      <c r="J72" s="960"/>
      <c r="K72" s="960"/>
      <c r="L72" s="960"/>
    </row>
    <row r="73" spans="1:13" ht="27.75" customHeight="1">
      <c r="A73" s="72"/>
      <c r="C73" s="746" t="str">
        <f>CHOOSE(jezyk,n!A1197,n!B1197,n!C1197,n!D1194)</f>
        <v>Podstawowa charakterystyka, ilość i wartość instrumentów finansowych, w tym opis istotnych warunków i terminów, które mogą wpływać na wielkość, rozkład w czasie oraz pewność przyszłych przepływów pieniężnych</v>
      </c>
      <c r="D73" s="746"/>
      <c r="E73" s="746"/>
      <c r="F73" s="746"/>
      <c r="G73" s="746"/>
      <c r="H73" s="746"/>
      <c r="I73" s="746"/>
      <c r="J73" s="746"/>
      <c r="K73" s="746"/>
      <c r="L73" s="746"/>
    </row>
    <row r="75" spans="1:13">
      <c r="B75" s="111" t="s">
        <v>5494</v>
      </c>
      <c r="C75" s="746" t="str">
        <f>CHOOSE(jezyk,n!A1198,n!B1198,n!C1198,n!D1195)</f>
        <v>Aktywa finansowe - charakterystyka instrumentów finansowych</v>
      </c>
      <c r="D75" s="746"/>
      <c r="E75" s="746"/>
      <c r="F75" s="746"/>
      <c r="G75" s="746"/>
      <c r="H75" s="746"/>
      <c r="I75" s="746"/>
      <c r="J75" s="746"/>
      <c r="K75" s="746"/>
      <c r="L75" s="746"/>
    </row>
    <row r="76" spans="1:13" s="256" customFormat="1">
      <c r="B76" s="90"/>
      <c r="C76" s="87"/>
      <c r="D76" s="87"/>
      <c r="E76" s="87"/>
      <c r="F76" s="87"/>
      <c r="G76" s="87"/>
      <c r="H76" s="87"/>
      <c r="I76" s="87"/>
      <c r="J76" s="87"/>
      <c r="K76" s="87"/>
      <c r="L76" s="87"/>
    </row>
    <row r="77" spans="1:13" s="256" customFormat="1">
      <c r="B77" s="90"/>
      <c r="C77" s="745" t="str">
        <f>CHOOSE(jezyk,n!A1233,n!B1233,n!C1233,n!D1231)</f>
        <v>Nie wystąpiły</v>
      </c>
      <c r="D77" s="745"/>
      <c r="E77" s="745"/>
      <c r="F77" s="745"/>
      <c r="G77" s="745"/>
      <c r="H77" s="745"/>
      <c r="I77" s="745"/>
      <c r="J77" s="745"/>
      <c r="K77" s="745"/>
      <c r="L77" s="745"/>
      <c r="M77" s="131" t="s">
        <v>5514</v>
      </c>
    </row>
    <row r="78" spans="1:13" s="256" customFormat="1">
      <c r="B78" s="90"/>
      <c r="C78" s="87"/>
      <c r="D78" s="87"/>
      <c r="E78" s="87"/>
      <c r="F78" s="87"/>
      <c r="G78" s="87"/>
      <c r="H78" s="87"/>
      <c r="I78" s="87"/>
      <c r="J78" s="87"/>
      <c r="K78" s="87"/>
      <c r="L78" s="87"/>
    </row>
    <row r="79" spans="1:13">
      <c r="B79" s="80" t="s">
        <v>1459</v>
      </c>
      <c r="C79" s="746" t="str">
        <f>CHOOSE(jezyk,n!A1199,n!B1199,n!C1199,n!D1197)</f>
        <v>Pożyczki udzielone i należności własne</v>
      </c>
      <c r="D79" s="746"/>
      <c r="E79" s="746"/>
      <c r="F79" s="746"/>
      <c r="G79" s="746"/>
      <c r="H79" s="746"/>
      <c r="I79" s="746"/>
      <c r="J79" s="746"/>
      <c r="K79" s="746"/>
      <c r="L79" s="746"/>
      <c r="M79" s="131" t="s">
        <v>6700</v>
      </c>
    </row>
    <row r="80" spans="1:13">
      <c r="B80" s="80"/>
      <c r="C80" s="87"/>
      <c r="D80" s="87"/>
      <c r="E80" s="87"/>
      <c r="F80" s="87"/>
      <c r="G80" s="87"/>
      <c r="H80" s="87"/>
      <c r="I80" s="87"/>
      <c r="J80" s="87"/>
      <c r="K80" s="87"/>
      <c r="L80" s="87"/>
    </row>
    <row r="81" spans="2:12">
      <c r="B81" s="80"/>
      <c r="C81" s="745" t="str">
        <f>CHOOSE(jezyk,n!A1233,n!B1233,n!C1233,n!D1231)</f>
        <v>Nie wystąpiły</v>
      </c>
      <c r="D81" s="745"/>
      <c r="E81" s="745"/>
      <c r="F81" s="745"/>
      <c r="G81" s="745"/>
      <c r="H81" s="745"/>
      <c r="I81" s="745"/>
      <c r="J81" s="745"/>
      <c r="K81" s="745"/>
      <c r="L81" s="745"/>
    </row>
    <row r="82" spans="2:12">
      <c r="B82" s="80"/>
      <c r="C82" s="87"/>
      <c r="D82" s="87"/>
      <c r="E82" s="87"/>
      <c r="F82" s="87"/>
      <c r="G82" s="87"/>
      <c r="H82" s="87"/>
      <c r="I82" s="87"/>
      <c r="J82" s="87"/>
      <c r="K82" s="87"/>
      <c r="L82" s="87"/>
    </row>
    <row r="83" spans="2:12">
      <c r="B83" s="80" t="s">
        <v>1460</v>
      </c>
      <c r="C83" s="746" t="str">
        <f>CHOOSE(jezyk,n!A1200,n!B1200,n!C1200,n!D1198)</f>
        <v xml:space="preserve">Aktywa finansowe utrzymywane do terminu wymagalności </v>
      </c>
      <c r="D83" s="746"/>
      <c r="E83" s="746"/>
      <c r="F83" s="746"/>
      <c r="G83" s="746"/>
      <c r="H83" s="746"/>
      <c r="I83" s="746"/>
      <c r="J83" s="746"/>
      <c r="K83" s="746"/>
      <c r="L83" s="746"/>
    </row>
    <row r="84" spans="2:12">
      <c r="B84" s="80"/>
      <c r="C84" s="87"/>
      <c r="D84" s="87"/>
      <c r="E84" s="87"/>
      <c r="F84" s="87"/>
      <c r="G84" s="87"/>
      <c r="H84" s="87"/>
      <c r="I84" s="87"/>
      <c r="J84" s="87"/>
      <c r="K84" s="87"/>
      <c r="L84" s="87"/>
    </row>
    <row r="85" spans="2:12">
      <c r="B85" s="80"/>
      <c r="C85" s="745" t="str">
        <f>CHOOSE(jezyk,n!A1233,n!B1233,n!C1233,n!D1231)</f>
        <v>Nie wystąpiły</v>
      </c>
      <c r="D85" s="745"/>
      <c r="E85" s="745"/>
      <c r="F85" s="745"/>
      <c r="G85" s="745"/>
      <c r="H85" s="745"/>
      <c r="I85" s="745"/>
      <c r="J85" s="745"/>
      <c r="K85" s="745"/>
      <c r="L85" s="745"/>
    </row>
    <row r="86" spans="2:12">
      <c r="B86" s="80"/>
      <c r="C86" s="87"/>
      <c r="D86" s="87"/>
      <c r="E86" s="87"/>
      <c r="F86" s="87"/>
      <c r="G86" s="87"/>
      <c r="H86" s="87"/>
      <c r="I86" s="87"/>
      <c r="J86" s="87"/>
      <c r="K86" s="87"/>
      <c r="L86" s="87"/>
    </row>
    <row r="87" spans="2:12">
      <c r="B87" s="80" t="s">
        <v>1461</v>
      </c>
      <c r="C87" s="746" t="str">
        <f>CHOOSE(jezyk,n!A1201,n!B1201,n!C1201,n!D1199)</f>
        <v>Aktywa finansowe dostępne do sprzedaży</v>
      </c>
      <c r="D87" s="746"/>
      <c r="E87" s="746"/>
      <c r="F87" s="746"/>
      <c r="G87" s="746"/>
      <c r="H87" s="746"/>
      <c r="I87" s="746"/>
      <c r="J87" s="746"/>
      <c r="K87" s="746"/>
      <c r="L87" s="746"/>
    </row>
    <row r="88" spans="2:12">
      <c r="B88" s="80"/>
      <c r="C88" s="87"/>
      <c r="D88" s="87"/>
      <c r="E88" s="87"/>
      <c r="F88" s="87"/>
      <c r="G88" s="87"/>
      <c r="H88" s="87"/>
      <c r="I88" s="87"/>
      <c r="J88" s="87"/>
      <c r="K88" s="87"/>
      <c r="L88" s="87"/>
    </row>
    <row r="89" spans="2:12">
      <c r="B89" s="80"/>
      <c r="C89" s="745" t="str">
        <f>CHOOSE(jezyk,n!A1233,n!B1233,n!C1233,n!D1231)</f>
        <v>Nie wystąpiły</v>
      </c>
      <c r="D89" s="745"/>
      <c r="E89" s="745"/>
      <c r="F89" s="745"/>
      <c r="G89" s="745"/>
      <c r="H89" s="745"/>
      <c r="I89" s="745"/>
      <c r="J89" s="745"/>
      <c r="K89" s="745"/>
      <c r="L89" s="745"/>
    </row>
    <row r="90" spans="2:12">
      <c r="B90" s="80"/>
      <c r="C90" s="87"/>
      <c r="D90" s="87"/>
      <c r="E90" s="87"/>
      <c r="F90" s="87"/>
      <c r="G90" s="87"/>
      <c r="H90" s="87"/>
      <c r="I90" s="87"/>
      <c r="J90" s="87"/>
      <c r="K90" s="87"/>
      <c r="L90" s="87"/>
    </row>
    <row r="91" spans="2:12">
      <c r="B91" s="80" t="s">
        <v>1122</v>
      </c>
      <c r="C91" s="746" t="str">
        <f>CHOOSE(jezyk,n!A1202,n!B1202,n!C1202,n!D1200)</f>
        <v>Aktywa finansowe przeznaczone do obrotu</v>
      </c>
      <c r="D91" s="746"/>
      <c r="E91" s="746"/>
      <c r="F91" s="746"/>
      <c r="G91" s="746"/>
      <c r="H91" s="746"/>
      <c r="I91" s="746"/>
      <c r="J91" s="746"/>
      <c r="K91" s="746"/>
      <c r="L91" s="746"/>
    </row>
    <row r="92" spans="2:12">
      <c r="B92" s="80"/>
      <c r="C92" s="87"/>
      <c r="D92" s="87"/>
      <c r="E92" s="87"/>
      <c r="F92" s="87"/>
      <c r="G92" s="87"/>
      <c r="H92" s="87"/>
      <c r="I92" s="87"/>
      <c r="J92" s="87"/>
      <c r="K92" s="87"/>
      <c r="L92" s="87"/>
    </row>
    <row r="93" spans="2:12">
      <c r="B93" s="80"/>
      <c r="C93" s="745" t="str">
        <f>CHOOSE(jezyk,n!A1233,n!B1233,n!C1233,n!D1231)</f>
        <v>Nie wystąpiły</v>
      </c>
      <c r="D93" s="745"/>
      <c r="E93" s="745"/>
      <c r="F93" s="745"/>
      <c r="G93" s="745"/>
      <c r="H93" s="745"/>
      <c r="I93" s="745"/>
      <c r="J93" s="745"/>
      <c r="K93" s="745"/>
      <c r="L93" s="745"/>
    </row>
    <row r="94" spans="2:12">
      <c r="B94" s="80"/>
      <c r="C94" s="87"/>
      <c r="D94" s="87"/>
      <c r="E94" s="87"/>
      <c r="F94" s="87"/>
      <c r="G94" s="87"/>
      <c r="H94" s="87"/>
      <c r="I94" s="87"/>
      <c r="J94" s="87"/>
      <c r="K94" s="87"/>
      <c r="L94" s="87"/>
    </row>
    <row r="95" spans="2:12">
      <c r="B95" s="111" t="s">
        <v>5515</v>
      </c>
      <c r="C95" s="746" t="str">
        <f>CHOOSE(jezyk,n!A1203,n!B1203,n!C1203,n!D1201)</f>
        <v>Informacje dotyczące odpisów aktualizujących z tytułu trwałej utraty wartości aktywów finansowych</v>
      </c>
      <c r="D95" s="746"/>
      <c r="E95" s="746"/>
      <c r="F95" s="746"/>
      <c r="G95" s="746"/>
      <c r="H95" s="746"/>
      <c r="I95" s="746"/>
      <c r="J95" s="746"/>
      <c r="K95" s="746"/>
      <c r="L95" s="746"/>
    </row>
    <row r="96" spans="2:12">
      <c r="B96" s="80"/>
      <c r="C96" s="87"/>
      <c r="D96" s="87"/>
      <c r="E96" s="87"/>
      <c r="F96" s="87"/>
      <c r="G96" s="87"/>
      <c r="H96" s="87"/>
      <c r="I96" s="87"/>
      <c r="J96" s="87"/>
      <c r="K96" s="87"/>
      <c r="L96" s="87"/>
    </row>
    <row r="97" spans="1:13">
      <c r="B97" s="80"/>
      <c r="C97" s="745" t="str">
        <f>CHOOSE(jezyk,n!A1233,n!B1233,n!C1233,n!D1231)</f>
        <v>Nie wystąpiły</v>
      </c>
      <c r="D97" s="745"/>
      <c r="E97" s="745"/>
      <c r="F97" s="745"/>
      <c r="G97" s="745"/>
      <c r="H97" s="745"/>
      <c r="I97" s="745"/>
      <c r="J97" s="745"/>
      <c r="K97" s="745"/>
      <c r="L97" s="745"/>
    </row>
    <row r="98" spans="1:13">
      <c r="B98" s="80"/>
      <c r="C98" s="87"/>
      <c r="D98" s="87"/>
      <c r="E98" s="87"/>
      <c r="F98" s="87"/>
      <c r="G98" s="87"/>
      <c r="H98" s="87"/>
      <c r="I98" s="87"/>
      <c r="J98" s="87"/>
      <c r="K98" s="87"/>
      <c r="L98" s="87"/>
    </row>
    <row r="99" spans="1:13" ht="27.75" customHeight="1">
      <c r="A99" s="72"/>
      <c r="B99" s="263" t="s">
        <v>5516</v>
      </c>
      <c r="C99" s="746" t="str">
        <f>CHOOSE(jezyk,n!A1204,n!B1204,n!C1204,n!D1202)</f>
        <v xml:space="preserve">Informacje o odsetkach naliczonych od dłużnych instrumentów finansowych, pożyczek udzielonych i należności własnych </v>
      </c>
      <c r="D99" s="746"/>
      <c r="E99" s="746"/>
      <c r="F99" s="746"/>
      <c r="G99" s="746"/>
      <c r="H99" s="746"/>
      <c r="I99" s="746"/>
      <c r="J99" s="746"/>
      <c r="K99" s="746"/>
      <c r="L99" s="746"/>
    </row>
    <row r="100" spans="1:13">
      <c r="B100" s="80"/>
      <c r="C100" s="87"/>
      <c r="D100" s="87"/>
      <c r="E100" s="87"/>
      <c r="F100" s="87"/>
      <c r="G100" s="87"/>
      <c r="H100" s="87"/>
      <c r="I100" s="87"/>
      <c r="J100" s="87"/>
      <c r="K100" s="87"/>
      <c r="L100" s="87"/>
    </row>
    <row r="101" spans="1:13">
      <c r="B101" s="263"/>
      <c r="C101" s="745" t="str">
        <f>CHOOSE(jezyk,n!A1233,n!B1233,n!C1233,n!D1231)</f>
        <v>Nie wystąpiły</v>
      </c>
      <c r="D101" s="745"/>
      <c r="E101" s="745"/>
      <c r="F101" s="745"/>
      <c r="G101" s="745"/>
      <c r="H101" s="745"/>
      <c r="I101" s="745"/>
      <c r="J101" s="745"/>
      <c r="K101" s="745"/>
      <c r="L101" s="745"/>
      <c r="M101" s="131" t="s">
        <v>5526</v>
      </c>
    </row>
    <row r="102" spans="1:13" hidden="1">
      <c r="B102" s="263"/>
      <c r="F102" s="395"/>
      <c r="G102" s="395"/>
      <c r="H102" s="395"/>
      <c r="I102" s="395"/>
      <c r="J102" s="395"/>
      <c r="K102" s="395"/>
      <c r="L102" s="395"/>
      <c r="M102" s="131"/>
    </row>
    <row r="103" spans="1:13" s="151" customFormat="1" ht="15" hidden="1" customHeight="1">
      <c r="B103" s="264"/>
      <c r="C103" s="1143" t="str">
        <f>CHOOSE(jezyk,n!A616,n!B616,n!C616,n!D614)</f>
        <v>Rok obrotowy 2024</v>
      </c>
      <c r="D103" s="1162"/>
      <c r="E103" s="1144"/>
      <c r="F103" s="187"/>
      <c r="G103" s="187"/>
      <c r="H103" s="187"/>
      <c r="I103" s="187"/>
      <c r="J103" s="187"/>
      <c r="K103" s="187"/>
      <c r="L103" s="187"/>
      <c r="M103" s="149"/>
    </row>
    <row r="104" spans="1:13" hidden="1">
      <c r="B104" s="263"/>
      <c r="C104" s="187"/>
      <c r="D104" s="187"/>
      <c r="E104" s="187"/>
      <c r="F104" s="187"/>
      <c r="G104" s="187"/>
      <c r="H104" s="187"/>
      <c r="I104" s="187"/>
      <c r="J104" s="187"/>
      <c r="K104" s="187"/>
      <c r="L104" s="187"/>
    </row>
    <row r="105" spans="1:13" ht="15" hidden="1" customHeight="1">
      <c r="B105" s="263"/>
      <c r="C105" s="953" t="str">
        <f>CHOOSE(jezyk,n!A1205,n!B1205,n!C1205,n!D1203)</f>
        <v>Rodzaj aktywa</v>
      </c>
      <c r="D105" s="1163"/>
      <c r="E105" s="1163"/>
      <c r="F105" s="954"/>
      <c r="G105" s="839" t="str">
        <f>CHOOSE(jezyk,n!A1211,n!B1211,n!C1211,n!D1209)</f>
        <v>Przychody z tytułu odsetek w danym roku obrotowym</v>
      </c>
      <c r="H105" s="839"/>
      <c r="I105" s="839"/>
      <c r="J105" s="839"/>
      <c r="K105" s="839"/>
      <c r="L105" s="839"/>
    </row>
    <row r="106" spans="1:13" ht="15" hidden="1" customHeight="1">
      <c r="B106" s="263"/>
      <c r="C106" s="1164"/>
      <c r="D106" s="1165"/>
      <c r="E106" s="1165"/>
      <c r="F106" s="1107"/>
      <c r="G106" s="839" t="str">
        <f>CHOOSE(jezyk,n!A1209,n!B1209,n!C1209,n!D1207)</f>
        <v>Odsetki zrealizowane</v>
      </c>
      <c r="H106" s="839"/>
      <c r="I106" s="839" t="str">
        <f>CHOOSE(jezyk,n!A1210,n!B1210,n!C1210,n!D1208)</f>
        <v>Odsetki niezrealizowane, o terminie płatności:</v>
      </c>
      <c r="J106" s="839"/>
      <c r="K106" s="839"/>
      <c r="L106" s="839"/>
    </row>
    <row r="107" spans="1:13" ht="15" hidden="1" customHeight="1">
      <c r="B107" s="263"/>
      <c r="C107" s="1166"/>
      <c r="D107" s="1167"/>
      <c r="E107" s="1167"/>
      <c r="F107" s="1168"/>
      <c r="G107" s="839"/>
      <c r="H107" s="839"/>
      <c r="I107" s="402" t="str">
        <f>CHOOSE(jezyk,n!A1247,n!B1247,n!C1247,n!D1245)</f>
        <v>do 3 m-cy</v>
      </c>
      <c r="J107" s="839" t="str">
        <f>CHOOSE(jezyk,n!A1248,n!B1248,n!C1248,n!D1246)</f>
        <v>3 - 12 m-cy</v>
      </c>
      <c r="K107" s="839"/>
      <c r="L107" s="402" t="str">
        <f>CHOOSE(jezyk,n!A1249,n!B1249,n!C1249,n!D1247)</f>
        <v>powyżej 12 m-cy</v>
      </c>
    </row>
    <row r="108" spans="1:13" ht="17.100000000000001" hidden="1" customHeight="1">
      <c r="B108" s="263"/>
      <c r="C108" s="903" t="str">
        <f>CHOOSE(jezyk,n!A1206,n!B1206,n!C1206,n!D1204)</f>
        <v>Udzielone pożyczki</v>
      </c>
      <c r="D108" s="904"/>
      <c r="E108" s="904"/>
      <c r="F108" s="905"/>
      <c r="G108" s="966"/>
      <c r="H108" s="967"/>
      <c r="I108" s="414"/>
      <c r="J108" s="966"/>
      <c r="K108" s="967"/>
      <c r="L108" s="428"/>
    </row>
    <row r="109" spans="1:13" ht="17.100000000000001" hidden="1" customHeight="1">
      <c r="A109" s="72"/>
      <c r="B109" s="263"/>
      <c r="C109" s="903" t="str">
        <f>CHOOSE(jezyk,n!A1207,n!B1207,n!C1207,n!D1205)</f>
        <v>Dłużne instrumenty finansowe</v>
      </c>
      <c r="D109" s="904"/>
      <c r="E109" s="904"/>
      <c r="F109" s="905"/>
      <c r="G109" s="966"/>
      <c r="H109" s="967"/>
      <c r="I109" s="414"/>
      <c r="J109" s="966"/>
      <c r="K109" s="967"/>
      <c r="L109" s="428"/>
    </row>
    <row r="110" spans="1:13" ht="17.100000000000001" hidden="1" customHeight="1">
      <c r="B110" s="263"/>
      <c r="C110" s="903" t="str">
        <f>CHOOSE(jezyk,n!A1208,n!B1208,n!C1208,n!D1206)</f>
        <v>Pozostałe aktywa</v>
      </c>
      <c r="D110" s="904"/>
      <c r="E110" s="904"/>
      <c r="F110" s="905"/>
      <c r="G110" s="966"/>
      <c r="H110" s="967"/>
      <c r="I110" s="414"/>
      <c r="J110" s="966"/>
      <c r="K110" s="967"/>
      <c r="L110" s="428"/>
    </row>
    <row r="111" spans="1:13" ht="17.100000000000001" hidden="1" customHeight="1">
      <c r="B111" s="263"/>
      <c r="C111" s="1149"/>
      <c r="D111" s="1149"/>
      <c r="E111" s="1149"/>
      <c r="F111" s="1150"/>
      <c r="G111" s="1148">
        <f>SUM(G108:H110)</f>
        <v>0</v>
      </c>
      <c r="H111" s="1148"/>
      <c r="I111" s="427">
        <f>SUM(I108:I110)</f>
        <v>0</v>
      </c>
      <c r="J111" s="1148">
        <f>SUM(J108:K110)</f>
        <v>0</v>
      </c>
      <c r="K111" s="1148"/>
      <c r="L111" s="427">
        <f>SUM(L108:L110)</f>
        <v>0</v>
      </c>
    </row>
    <row r="112" spans="1:13" hidden="1">
      <c r="B112" s="263"/>
      <c r="C112" s="187"/>
      <c r="D112" s="187"/>
      <c r="E112" s="187"/>
      <c r="F112" s="187"/>
      <c r="G112" s="187"/>
      <c r="H112" s="187"/>
      <c r="I112" s="187"/>
      <c r="J112" s="187"/>
      <c r="K112" s="187"/>
      <c r="L112" s="187"/>
    </row>
    <row r="113" spans="1:12" ht="15" hidden="1" customHeight="1">
      <c r="B113" s="263"/>
      <c r="C113" s="1143" t="str">
        <f>CHOOSE(jezyk,n!A617,n!B617,n!C617,n!D615)</f>
        <v>Rok obrotowy 2023</v>
      </c>
      <c r="D113" s="1162"/>
      <c r="E113" s="1144"/>
      <c r="F113" s="187"/>
      <c r="G113" s="187"/>
      <c r="H113" s="187"/>
      <c r="I113" s="187"/>
      <c r="J113" s="187"/>
      <c r="K113" s="187"/>
      <c r="L113" s="187"/>
    </row>
    <row r="114" spans="1:12" hidden="1">
      <c r="B114" s="263"/>
      <c r="C114" s="187"/>
      <c r="D114" s="187"/>
      <c r="E114" s="187"/>
      <c r="F114" s="187"/>
      <c r="G114" s="187"/>
      <c r="H114" s="187"/>
      <c r="I114" s="187"/>
      <c r="J114" s="187"/>
      <c r="K114" s="187"/>
      <c r="L114" s="187"/>
    </row>
    <row r="115" spans="1:12" ht="17.100000000000001" hidden="1" customHeight="1">
      <c r="B115" s="263"/>
      <c r="C115" s="953" t="str">
        <f>C105</f>
        <v>Rodzaj aktywa</v>
      </c>
      <c r="D115" s="1163"/>
      <c r="E115" s="1163"/>
      <c r="F115" s="954"/>
      <c r="G115" s="839" t="str">
        <f>G105</f>
        <v>Przychody z tytułu odsetek w danym roku obrotowym</v>
      </c>
      <c r="H115" s="839"/>
      <c r="I115" s="839"/>
      <c r="J115" s="839"/>
      <c r="K115" s="839"/>
      <c r="L115" s="839"/>
    </row>
    <row r="116" spans="1:12" ht="17.100000000000001" hidden="1" customHeight="1">
      <c r="B116" s="263"/>
      <c r="C116" s="1164"/>
      <c r="D116" s="1165"/>
      <c r="E116" s="1165"/>
      <c r="F116" s="1107"/>
      <c r="G116" s="839" t="str">
        <f>G106</f>
        <v>Odsetki zrealizowane</v>
      </c>
      <c r="H116" s="839"/>
      <c r="I116" s="839" t="str">
        <f>I106</f>
        <v>Odsetki niezrealizowane, o terminie płatności:</v>
      </c>
      <c r="J116" s="839"/>
      <c r="K116" s="839"/>
      <c r="L116" s="839"/>
    </row>
    <row r="117" spans="1:12" ht="17.100000000000001" hidden="1" customHeight="1">
      <c r="B117" s="263"/>
      <c r="C117" s="1166"/>
      <c r="D117" s="1167"/>
      <c r="E117" s="1167"/>
      <c r="F117" s="1168"/>
      <c r="G117" s="839"/>
      <c r="H117" s="839"/>
      <c r="I117" s="402" t="str">
        <f>I107</f>
        <v>do 3 m-cy</v>
      </c>
      <c r="J117" s="839" t="str">
        <f>J107</f>
        <v>3 - 12 m-cy</v>
      </c>
      <c r="K117" s="839"/>
      <c r="L117" s="402" t="str">
        <f>L107</f>
        <v>powyżej 12 m-cy</v>
      </c>
    </row>
    <row r="118" spans="1:12" ht="17.100000000000001" hidden="1" customHeight="1">
      <c r="B118" s="263"/>
      <c r="C118" s="903" t="str">
        <f>C108</f>
        <v>Udzielone pożyczki</v>
      </c>
      <c r="D118" s="904"/>
      <c r="E118" s="904"/>
      <c r="F118" s="905"/>
      <c r="G118" s="966"/>
      <c r="H118" s="967"/>
      <c r="I118" s="414"/>
      <c r="J118" s="966"/>
      <c r="K118" s="967"/>
      <c r="L118" s="428"/>
    </row>
    <row r="119" spans="1:12" ht="17.100000000000001" hidden="1" customHeight="1">
      <c r="A119" s="72"/>
      <c r="B119" s="263"/>
      <c r="C119" s="903" t="str">
        <f>C109</f>
        <v>Dłużne instrumenty finansowe</v>
      </c>
      <c r="D119" s="904"/>
      <c r="E119" s="904"/>
      <c r="F119" s="905"/>
      <c r="G119" s="966"/>
      <c r="H119" s="967"/>
      <c r="I119" s="414"/>
      <c r="J119" s="966"/>
      <c r="K119" s="967"/>
      <c r="L119" s="428"/>
    </row>
    <row r="120" spans="1:12" ht="17.100000000000001" hidden="1" customHeight="1">
      <c r="B120" s="263"/>
      <c r="C120" s="903" t="str">
        <f>C110</f>
        <v>Pozostałe aktywa</v>
      </c>
      <c r="D120" s="904"/>
      <c r="E120" s="904"/>
      <c r="F120" s="905"/>
      <c r="G120" s="966"/>
      <c r="H120" s="967"/>
      <c r="I120" s="414"/>
      <c r="J120" s="966"/>
      <c r="K120" s="967"/>
      <c r="L120" s="428"/>
    </row>
    <row r="121" spans="1:12" ht="17.100000000000001" hidden="1" customHeight="1">
      <c r="B121" s="263"/>
      <c r="C121" s="1149"/>
      <c r="D121" s="1149"/>
      <c r="E121" s="1149"/>
      <c r="F121" s="1150"/>
      <c r="G121" s="1148">
        <f>SUM(G118:H120)</f>
        <v>0</v>
      </c>
      <c r="H121" s="1148"/>
      <c r="I121" s="427">
        <f>SUM(I118:I120)</f>
        <v>0</v>
      </c>
      <c r="J121" s="1148">
        <f>SUM(J118:K120)</f>
        <v>0</v>
      </c>
      <c r="K121" s="1148"/>
      <c r="L121" s="427">
        <f>SUM(L118:L120)</f>
        <v>0</v>
      </c>
    </row>
    <row r="122" spans="1:12">
      <c r="B122" s="263"/>
      <c r="C122" s="187"/>
      <c r="D122" s="187"/>
      <c r="E122" s="187"/>
      <c r="F122" s="187"/>
      <c r="G122" s="187"/>
      <c r="H122" s="187"/>
      <c r="I122" s="187"/>
      <c r="J122" s="187"/>
      <c r="K122" s="187"/>
      <c r="L122" s="187"/>
    </row>
    <row r="123" spans="1:12" ht="27.75" customHeight="1">
      <c r="B123" s="263" t="s">
        <v>5517</v>
      </c>
      <c r="C123" s="746" t="str">
        <f>CHOOSE(jezyk,n!A1212,n!B1212,n!C1212,n!D1210)</f>
        <v>Informacje o niezrealizowanych odsetkach od udzielonych pożyczek i należności własnych, które objęto odpisem aktualizującym w roku obrotowym</v>
      </c>
      <c r="D123" s="746"/>
      <c r="E123" s="746"/>
      <c r="F123" s="746"/>
      <c r="G123" s="746"/>
      <c r="H123" s="746"/>
      <c r="I123" s="746"/>
      <c r="J123" s="746"/>
      <c r="K123" s="746"/>
      <c r="L123" s="746"/>
    </row>
    <row r="124" spans="1:12" ht="12.75" customHeight="1">
      <c r="B124" s="80"/>
      <c r="C124" s="87"/>
      <c r="D124" s="87"/>
      <c r="E124" s="87"/>
      <c r="F124" s="87"/>
      <c r="G124" s="87"/>
      <c r="H124" s="87"/>
      <c r="I124" s="87"/>
      <c r="J124" s="87"/>
      <c r="K124" s="87"/>
      <c r="L124" s="87"/>
    </row>
    <row r="125" spans="1:12">
      <c r="B125" s="263"/>
      <c r="C125" s="745" t="str">
        <f>CHOOSE(jezyk,n!A1233,n!B1233,n!C1233,n!D1231)</f>
        <v>Nie wystąpiły</v>
      </c>
      <c r="D125" s="745"/>
      <c r="E125" s="745"/>
      <c r="F125" s="745"/>
      <c r="G125" s="745"/>
      <c r="H125" s="745"/>
      <c r="I125" s="745"/>
      <c r="J125" s="745"/>
      <c r="K125" s="745"/>
      <c r="L125" s="745"/>
    </row>
    <row r="126" spans="1:12">
      <c r="B126" s="80"/>
      <c r="C126" s="87"/>
      <c r="D126" s="87"/>
      <c r="E126" s="87"/>
      <c r="F126" s="87"/>
      <c r="G126" s="87"/>
      <c r="H126" s="87"/>
      <c r="I126" s="87"/>
      <c r="J126" s="87"/>
      <c r="K126" s="87"/>
      <c r="L126" s="87"/>
    </row>
    <row r="127" spans="1:12">
      <c r="B127" s="263" t="s">
        <v>5518</v>
      </c>
      <c r="C127" s="746" t="str">
        <f>CHOOSE(jezyk,n!A1213,n!B1213,n!C1213,n!D1211)</f>
        <v xml:space="preserve">Informacje o aktywach finansowych wycenianych w wartości godziwej </v>
      </c>
      <c r="D127" s="746"/>
      <c r="E127" s="746"/>
      <c r="F127" s="746"/>
      <c r="G127" s="746"/>
      <c r="H127" s="746"/>
      <c r="I127" s="746"/>
      <c r="J127" s="746"/>
      <c r="K127" s="746"/>
      <c r="L127" s="746"/>
    </row>
    <row r="128" spans="1:12">
      <c r="B128" s="80"/>
      <c r="C128" s="87"/>
      <c r="D128" s="87"/>
      <c r="E128" s="87"/>
      <c r="F128" s="87"/>
      <c r="G128" s="87"/>
      <c r="H128" s="87"/>
      <c r="I128" s="87"/>
      <c r="J128" s="87"/>
      <c r="K128" s="87"/>
      <c r="L128" s="87"/>
    </row>
    <row r="129" spans="2:13">
      <c r="B129" s="263"/>
      <c r="C129" s="745" t="str">
        <f>CHOOSE(jezyk,n!A1233,n!B1233,n!C1233,n!D1231)</f>
        <v>Nie wystąpiły</v>
      </c>
      <c r="D129" s="745"/>
      <c r="E129" s="745"/>
      <c r="F129" s="745"/>
      <c r="G129" s="745"/>
      <c r="H129" s="745"/>
      <c r="I129" s="745"/>
      <c r="J129" s="745"/>
      <c r="K129" s="745"/>
      <c r="L129" s="745"/>
    </row>
    <row r="130" spans="2:13">
      <c r="B130" s="80"/>
      <c r="C130" s="87"/>
      <c r="D130" s="87"/>
      <c r="E130" s="87"/>
      <c r="F130" s="87"/>
      <c r="G130" s="87"/>
      <c r="H130" s="87"/>
      <c r="I130" s="87"/>
      <c r="J130" s="87"/>
      <c r="K130" s="87"/>
      <c r="L130" s="87"/>
    </row>
    <row r="131" spans="2:13">
      <c r="B131" s="263" t="s">
        <v>5519</v>
      </c>
      <c r="C131" s="746" t="str">
        <f>CHOOSE(jezyk,n!A1214,n!B1214,n!C1214,n!D1212)</f>
        <v>Zobowiązania finansowe - charakterystyka instrumentów finansowych</v>
      </c>
      <c r="D131" s="746"/>
      <c r="E131" s="746"/>
      <c r="F131" s="746"/>
      <c r="G131" s="746"/>
      <c r="H131" s="746"/>
      <c r="I131" s="746"/>
      <c r="J131" s="746"/>
      <c r="K131" s="746"/>
      <c r="L131" s="746"/>
    </row>
    <row r="132" spans="2:13">
      <c r="B132" s="80"/>
      <c r="C132" s="87"/>
      <c r="D132" s="87"/>
      <c r="E132" s="87"/>
      <c r="F132" s="87"/>
      <c r="G132" s="87"/>
      <c r="H132" s="87"/>
      <c r="I132" s="87"/>
      <c r="J132" s="87"/>
      <c r="K132" s="87"/>
      <c r="L132" s="87"/>
    </row>
    <row r="133" spans="2:13">
      <c r="B133" s="263"/>
      <c r="C133" s="745" t="str">
        <f>CHOOSE(jezyk,n!A1233,n!B1233,n!C1233,n!D1231)</f>
        <v>Nie wystąpiły</v>
      </c>
      <c r="D133" s="745"/>
      <c r="E133" s="745"/>
      <c r="F133" s="745"/>
      <c r="G133" s="745"/>
      <c r="H133" s="745"/>
      <c r="I133" s="745"/>
      <c r="J133" s="745"/>
      <c r="K133" s="745"/>
      <c r="L133" s="745"/>
      <c r="M133" s="131" t="s">
        <v>6701</v>
      </c>
    </row>
    <row r="134" spans="2:13">
      <c r="B134" s="80"/>
      <c r="C134" s="87"/>
      <c r="D134" s="87"/>
      <c r="E134" s="87"/>
      <c r="F134" s="87"/>
      <c r="G134" s="87"/>
      <c r="H134" s="87"/>
      <c r="I134" s="87"/>
      <c r="J134" s="87"/>
      <c r="K134" s="87"/>
      <c r="L134" s="87"/>
    </row>
    <row r="135" spans="2:13">
      <c r="B135" s="263" t="s">
        <v>5520</v>
      </c>
      <c r="C135" s="746" t="str">
        <f>CHOOSE(jezyk,n!A1215,n!B1215,n!C1215,n!D1213)</f>
        <v>Zobowiązania finansowe przeznaczone do obrotu</v>
      </c>
      <c r="D135" s="746"/>
      <c r="E135" s="746"/>
      <c r="F135" s="746"/>
      <c r="G135" s="746"/>
      <c r="H135" s="746"/>
      <c r="I135" s="746"/>
      <c r="J135" s="746"/>
      <c r="K135" s="746"/>
      <c r="L135" s="746"/>
    </row>
    <row r="136" spans="2:13">
      <c r="B136" s="80"/>
      <c r="C136" s="87"/>
      <c r="D136" s="87"/>
      <c r="E136" s="87"/>
      <c r="F136" s="87"/>
      <c r="G136" s="87"/>
      <c r="H136" s="87"/>
      <c r="I136" s="87"/>
      <c r="J136" s="87"/>
      <c r="K136" s="87"/>
      <c r="L136" s="87"/>
    </row>
    <row r="137" spans="2:13">
      <c r="B137" s="263"/>
      <c r="C137" s="745" t="str">
        <f>CHOOSE(jezyk,n!A1233,n!B1233,n!C1233,n!D1231)</f>
        <v>Nie wystąpiły</v>
      </c>
      <c r="D137" s="745"/>
      <c r="E137" s="745"/>
      <c r="F137" s="745"/>
      <c r="G137" s="745"/>
      <c r="H137" s="745"/>
      <c r="I137" s="745"/>
      <c r="J137" s="745"/>
      <c r="K137" s="745"/>
      <c r="L137" s="745"/>
    </row>
    <row r="138" spans="2:13">
      <c r="B138" s="80"/>
      <c r="C138" s="87"/>
      <c r="D138" s="87"/>
      <c r="E138" s="87"/>
      <c r="F138" s="87"/>
      <c r="G138" s="87"/>
      <c r="H138" s="87"/>
      <c r="I138" s="87"/>
      <c r="J138" s="87"/>
      <c r="K138" s="87"/>
      <c r="L138" s="87"/>
    </row>
    <row r="139" spans="2:13">
      <c r="B139" s="263" t="s">
        <v>5521</v>
      </c>
      <c r="C139" s="746" t="str">
        <f>CHOOSE(jezyk,n!A1216,n!B1216,n!C1216,n!D1214)</f>
        <v>Instrumenty zabezpieczające</v>
      </c>
      <c r="D139" s="746"/>
      <c r="E139" s="746"/>
      <c r="F139" s="746"/>
      <c r="G139" s="746"/>
      <c r="H139" s="746"/>
      <c r="I139" s="746"/>
      <c r="J139" s="746"/>
      <c r="K139" s="746"/>
      <c r="L139" s="746"/>
    </row>
    <row r="140" spans="2:13">
      <c r="B140" s="80"/>
      <c r="C140" s="87"/>
      <c r="D140" s="87"/>
      <c r="E140" s="87"/>
      <c r="F140" s="87"/>
      <c r="G140" s="87"/>
      <c r="H140" s="87"/>
      <c r="I140" s="87"/>
      <c r="J140" s="87"/>
      <c r="K140" s="87"/>
      <c r="L140" s="87"/>
    </row>
    <row r="141" spans="2:13">
      <c r="B141" s="263"/>
      <c r="C141" s="745" t="str">
        <f>CHOOSE(jezyk,n!A1233,n!B1233,n!C1233,n!D1231)</f>
        <v>Nie wystąpiły</v>
      </c>
      <c r="D141" s="745"/>
      <c r="E141" s="745"/>
      <c r="F141" s="745"/>
      <c r="G141" s="745"/>
      <c r="H141" s="745"/>
      <c r="I141" s="745"/>
      <c r="J141" s="745"/>
      <c r="K141" s="745"/>
      <c r="L141" s="745"/>
    </row>
    <row r="142" spans="2:13">
      <c r="B142" s="80"/>
      <c r="C142" s="87"/>
      <c r="D142" s="87"/>
      <c r="E142" s="87"/>
      <c r="F142" s="87"/>
      <c r="G142" s="87"/>
      <c r="H142" s="87"/>
      <c r="I142" s="87"/>
      <c r="J142" s="87"/>
      <c r="K142" s="87"/>
      <c r="L142" s="87"/>
    </row>
    <row r="143" spans="2:13">
      <c r="B143" s="263" t="s">
        <v>5522</v>
      </c>
      <c r="C143" s="746" t="str">
        <f>CHOOSE(jezyk,n!A1217,n!B1217,n!C1217,n!D1215)</f>
        <v>Pozostałe zobowiązania finansowe</v>
      </c>
      <c r="D143" s="746"/>
      <c r="E143" s="746"/>
      <c r="F143" s="746"/>
      <c r="G143" s="746"/>
      <c r="H143" s="746"/>
      <c r="I143" s="746"/>
      <c r="J143" s="746"/>
      <c r="K143" s="746"/>
      <c r="L143" s="746"/>
    </row>
    <row r="144" spans="2:13">
      <c r="B144" s="80"/>
      <c r="C144" s="87"/>
      <c r="D144" s="87"/>
      <c r="E144" s="87"/>
      <c r="F144" s="87"/>
      <c r="G144" s="87"/>
      <c r="H144" s="87"/>
      <c r="I144" s="87"/>
      <c r="J144" s="87"/>
      <c r="K144" s="87"/>
      <c r="L144" s="87"/>
    </row>
    <row r="145" spans="1:13">
      <c r="B145" s="263"/>
      <c r="C145" s="745" t="str">
        <f>CHOOSE(jezyk,n!A1233,n!B1233,n!C1233,n!D1231)</f>
        <v>Nie wystąpiły</v>
      </c>
      <c r="D145" s="745"/>
      <c r="E145" s="745"/>
      <c r="F145" s="745"/>
      <c r="G145" s="745"/>
      <c r="H145" s="745"/>
      <c r="I145" s="745"/>
      <c r="J145" s="745"/>
      <c r="K145" s="745"/>
      <c r="L145" s="745"/>
      <c r="M145" s="131" t="s">
        <v>5526</v>
      </c>
    </row>
    <row r="146" spans="1:13">
      <c r="B146" s="263"/>
      <c r="C146" s="395"/>
      <c r="D146" s="395"/>
      <c r="E146" s="395"/>
      <c r="F146" s="395"/>
      <c r="G146" s="395"/>
      <c r="H146" s="395"/>
      <c r="I146" s="395"/>
      <c r="J146" s="395"/>
      <c r="K146" s="395"/>
      <c r="L146" s="395"/>
      <c r="M146" s="131"/>
    </row>
    <row r="147" spans="1:13" ht="15" customHeight="1">
      <c r="B147" s="80"/>
      <c r="C147" s="1143" t="str">
        <f>CHOOSE(jezyk,n!A616,n!B616,n!C616,n!D614)</f>
        <v>Rok obrotowy 2024</v>
      </c>
      <c r="D147" s="1162"/>
      <c r="E147" s="1144"/>
      <c r="F147" s="87"/>
      <c r="G147" s="87"/>
      <c r="H147" s="87"/>
      <c r="I147" s="87"/>
      <c r="J147" s="87"/>
      <c r="K147" s="87"/>
      <c r="L147" s="87"/>
    </row>
    <row r="148" spans="1:13">
      <c r="B148" s="80"/>
      <c r="C148" s="265"/>
      <c r="D148" s="265"/>
      <c r="E148" s="265"/>
      <c r="F148" s="87"/>
      <c r="G148" s="87"/>
      <c r="H148" s="87"/>
      <c r="I148" s="87"/>
      <c r="J148" s="87"/>
      <c r="K148" s="87"/>
      <c r="L148" s="87"/>
    </row>
    <row r="149" spans="1:13" s="317" customFormat="1" ht="42.75" customHeight="1">
      <c r="A149" s="66"/>
      <c r="B149" s="266"/>
      <c r="C149" s="841" t="str">
        <f>CHOOSE(jezyk,n!A1234,n!B1234,n!C1234,n!D1232)</f>
        <v>Rodzaj zobowiązania</v>
      </c>
      <c r="D149" s="843"/>
      <c r="E149" s="841" t="str">
        <f>CHOOSE(jezyk,n!A1235,n!B1235,n!C1235,n!D1233)</f>
        <v>Kwota umowna</v>
      </c>
      <c r="F149" s="843"/>
      <c r="G149" s="841" t="str">
        <f>CHOOSE(jezyk,n!A1236,n!B1236,n!C1236,n!D1234)</f>
        <v>Wartość zobowiązania na 31.12.2024</v>
      </c>
      <c r="H149" s="843"/>
      <c r="I149" s="402" t="str">
        <f>CHOOSE(jezyk,n!A1238,n!B1238,n!C1238,n!D1236)</f>
        <v>Część krótkoterminowa</v>
      </c>
      <c r="J149" s="841" t="str">
        <f>CHOOSE(jezyk,n!A1239,n!B1239,n!C1239,n!D1237)</f>
        <v>Część długoterminowa</v>
      </c>
      <c r="K149" s="843"/>
      <c r="L149" s="402" t="str">
        <f>CHOOSE(jezyk,n!A1240,n!B1240,n!C1240,n!D1238)</f>
        <v>Warunki oprocentowania</v>
      </c>
    </row>
    <row r="150" spans="1:13" ht="23.25" hidden="1" customHeight="1">
      <c r="B150" s="80"/>
      <c r="C150" s="847" t="str">
        <f>CHOOSE(jezyk,n!A1242,n!B1242,n!C1242,n!D1240)</f>
        <v>Kredyt inwestycyjny</v>
      </c>
      <c r="D150" s="849"/>
      <c r="E150" s="1173"/>
      <c r="F150" s="1174"/>
      <c r="G150" s="968"/>
      <c r="H150" s="969"/>
      <c r="I150" s="417"/>
      <c r="J150" s="968"/>
      <c r="K150" s="969"/>
      <c r="L150" s="267"/>
    </row>
    <row r="151" spans="1:13" ht="26.25" customHeight="1">
      <c r="B151" s="80"/>
      <c r="C151" s="847" t="str">
        <f>CHOOSE(jezyk,n!A1243,n!B1243,n!C1243,n!D1241)</f>
        <v>Pożyczka grupowa</v>
      </c>
      <c r="D151" s="849"/>
      <c r="E151" s="1173" t="s">
        <v>6942</v>
      </c>
      <c r="F151" s="1174"/>
      <c r="G151" s="968">
        <v>637573</v>
      </c>
      <c r="H151" s="969"/>
      <c r="I151" s="417"/>
      <c r="J151" s="968">
        <v>637573</v>
      </c>
      <c r="K151" s="969"/>
      <c r="L151" s="267"/>
    </row>
    <row r="152" spans="1:13">
      <c r="B152" s="80"/>
      <c r="C152" s="1149"/>
      <c r="D152" s="1150"/>
      <c r="E152" s="844">
        <f>SUM(E150:F151)</f>
        <v>0</v>
      </c>
      <c r="F152" s="844"/>
      <c r="G152" s="844">
        <f>SUM(G150:H151)</f>
        <v>637573</v>
      </c>
      <c r="H152" s="844"/>
      <c r="I152" s="427">
        <f>SUM(I150:I151)</f>
        <v>0</v>
      </c>
      <c r="J152" s="923">
        <f>SUM(J150:J151)</f>
        <v>637573</v>
      </c>
      <c r="K152" s="924"/>
      <c r="L152" s="268"/>
      <c r="M152" s="99"/>
    </row>
    <row r="153" spans="1:13">
      <c r="B153" s="80"/>
      <c r="C153" s="87"/>
      <c r="D153" s="87"/>
      <c r="E153" s="87"/>
      <c r="F153" s="87"/>
      <c r="G153" s="87"/>
      <c r="H153" s="87"/>
      <c r="I153" s="87"/>
      <c r="J153" s="87"/>
      <c r="K153" s="87"/>
      <c r="L153" s="87"/>
    </row>
    <row r="154" spans="1:13">
      <c r="B154" s="80"/>
      <c r="C154" s="746" t="str">
        <f>CHOOSE(jezyk,n!A1241,n!B1241,n!C1241,n!D1239)</f>
        <v>Zabezpieczenia</v>
      </c>
      <c r="D154" s="746"/>
      <c r="E154" s="746"/>
      <c r="F154" s="746"/>
      <c r="G154" s="746"/>
      <c r="H154" s="746"/>
      <c r="I154" s="746"/>
      <c r="J154" s="746"/>
      <c r="K154" s="746"/>
      <c r="L154" s="746"/>
    </row>
    <row r="155" spans="1:13">
      <c r="B155" s="80"/>
      <c r="C155" s="187"/>
      <c r="D155" s="187"/>
      <c r="E155" s="187"/>
      <c r="F155" s="187"/>
      <c r="G155" s="187"/>
      <c r="H155" s="187"/>
      <c r="I155" s="187"/>
      <c r="J155" s="187"/>
      <c r="K155" s="187"/>
      <c r="L155" s="187"/>
    </row>
    <row r="156" spans="1:13">
      <c r="B156" s="80"/>
      <c r="C156" s="745" t="str">
        <f>CHOOSE(jezyk,n!A1233,n!B1233,n!C1233,n!D1231)</f>
        <v>Nie wystąpiły</v>
      </c>
      <c r="D156" s="745"/>
      <c r="E156" s="745"/>
      <c r="F156" s="745"/>
      <c r="G156" s="745"/>
      <c r="H156" s="745"/>
      <c r="I156" s="745"/>
      <c r="J156" s="745"/>
      <c r="K156" s="745"/>
      <c r="L156" s="745"/>
    </row>
    <row r="157" spans="1:13" ht="12.75" hidden="1" customHeight="1">
      <c r="A157" s="72"/>
      <c r="B157" s="80"/>
      <c r="C157" s="763" t="s">
        <v>5535</v>
      </c>
      <c r="D157" s="763"/>
      <c r="E157" s="763"/>
      <c r="F157" s="763"/>
      <c r="G157" s="763"/>
      <c r="H157" s="763"/>
      <c r="I157" s="763"/>
      <c r="J157" s="763"/>
      <c r="K157" s="763"/>
      <c r="L157" s="763"/>
      <c r="M157" s="131" t="s">
        <v>5536</v>
      </c>
    </row>
    <row r="158" spans="1:13" hidden="1">
      <c r="B158" s="80"/>
      <c r="C158" s="425"/>
      <c r="D158" s="425"/>
      <c r="E158" s="425"/>
      <c r="F158" s="425"/>
      <c r="G158" s="425"/>
      <c r="H158" s="425"/>
      <c r="I158" s="425"/>
      <c r="J158" s="425"/>
      <c r="K158" s="425"/>
      <c r="L158" s="425"/>
      <c r="M158" s="131"/>
    </row>
    <row r="159" spans="1:13" ht="15" hidden="1" customHeight="1">
      <c r="B159" s="80"/>
      <c r="C159" s="1143" t="str">
        <f>CHOOSE(jezyk,n!A617,n!B617,n!C617,n!D615)</f>
        <v>Rok obrotowy 2023</v>
      </c>
      <c r="D159" s="1162"/>
      <c r="E159" s="1144"/>
      <c r="F159" s="87"/>
      <c r="G159" s="87"/>
      <c r="H159" s="87"/>
      <c r="I159" s="87"/>
      <c r="J159" s="87"/>
      <c r="K159" s="87"/>
      <c r="L159" s="87"/>
      <c r="M159" s="131"/>
    </row>
    <row r="160" spans="1:13" hidden="1">
      <c r="B160" s="80"/>
      <c r="C160" s="265"/>
      <c r="D160" s="265"/>
      <c r="E160" s="265"/>
      <c r="F160" s="87"/>
      <c r="G160" s="87"/>
      <c r="H160" s="87"/>
      <c r="I160" s="87"/>
      <c r="J160" s="87"/>
      <c r="K160" s="87"/>
      <c r="L160" s="87"/>
      <c r="M160" s="131"/>
    </row>
    <row r="161" spans="2:13" ht="39" hidden="1" customHeight="1">
      <c r="B161" s="80"/>
      <c r="C161" s="841" t="str">
        <f>C149</f>
        <v>Rodzaj zobowiązania</v>
      </c>
      <c r="D161" s="843"/>
      <c r="E161" s="841" t="str">
        <f>E149</f>
        <v>Kwota umowna</v>
      </c>
      <c r="F161" s="843"/>
      <c r="G161" s="841" t="str">
        <f>CHOOSE(jezyk,n!A1237,n!B1237,n!C1237,n!D1235)</f>
        <v>Wartość zobowiązania na 31.12.2023</v>
      </c>
      <c r="H161" s="843"/>
      <c r="I161" s="402" t="str">
        <f>I149</f>
        <v>Część krótkoterminowa</v>
      </c>
      <c r="J161" s="841" t="str">
        <f>J149</f>
        <v>Część długoterminowa</v>
      </c>
      <c r="K161" s="843"/>
      <c r="L161" s="402" t="str">
        <f>L149</f>
        <v>Warunki oprocentowania</v>
      </c>
      <c r="M161" s="131"/>
    </row>
    <row r="162" spans="2:13" ht="29.25" hidden="1" customHeight="1">
      <c r="B162" s="80"/>
      <c r="C162" s="847" t="str">
        <f>C150</f>
        <v>Kredyt inwestycyjny</v>
      </c>
      <c r="D162" s="849"/>
      <c r="E162" s="1173"/>
      <c r="F162" s="1174"/>
      <c r="G162" s="968"/>
      <c r="H162" s="969"/>
      <c r="I162" s="417"/>
      <c r="J162" s="968"/>
      <c r="K162" s="969"/>
      <c r="L162" s="267"/>
      <c r="M162" s="131"/>
    </row>
    <row r="163" spans="2:13" ht="20.25" hidden="1" customHeight="1">
      <c r="B163" s="80"/>
      <c r="C163" s="847" t="str">
        <f>C151</f>
        <v>Pożyczka grupowa</v>
      </c>
      <c r="D163" s="849"/>
      <c r="E163" s="1173"/>
      <c r="F163" s="1174"/>
      <c r="G163" s="968"/>
      <c r="H163" s="969"/>
      <c r="I163" s="417"/>
      <c r="J163" s="968"/>
      <c r="K163" s="969"/>
      <c r="L163" s="267"/>
      <c r="M163" s="131"/>
    </row>
    <row r="164" spans="2:13" s="151" customFormat="1" ht="17.100000000000001" hidden="1" customHeight="1">
      <c r="B164" s="269"/>
      <c r="C164" s="1163"/>
      <c r="D164" s="954"/>
      <c r="E164" s="844">
        <f>SUM(E162:F163)</f>
        <v>0</v>
      </c>
      <c r="F164" s="844"/>
      <c r="G164" s="844">
        <f>SUM(G162:H163)</f>
        <v>0</v>
      </c>
      <c r="H164" s="844"/>
      <c r="I164" s="427">
        <f>SUM(I162:I163)</f>
        <v>0</v>
      </c>
      <c r="J164" s="923">
        <f>SUM(J162:J163)</f>
        <v>0</v>
      </c>
      <c r="K164" s="924"/>
      <c r="L164" s="270"/>
      <c r="M164" s="149"/>
    </row>
    <row r="165" spans="2:13" hidden="1">
      <c r="B165" s="80"/>
      <c r="C165" s="87"/>
      <c r="D165" s="87"/>
      <c r="E165" s="87"/>
      <c r="F165" s="87"/>
      <c r="G165" s="87"/>
      <c r="H165" s="87"/>
      <c r="I165" s="87"/>
      <c r="J165" s="87"/>
      <c r="K165" s="87"/>
      <c r="L165" s="87"/>
    </row>
    <row r="166" spans="2:13">
      <c r="B166" s="80"/>
      <c r="C166" s="87"/>
      <c r="D166" s="87"/>
      <c r="E166" s="87"/>
      <c r="F166" s="87"/>
      <c r="G166" s="87"/>
      <c r="H166" s="87"/>
      <c r="I166" s="87"/>
      <c r="J166" s="87"/>
      <c r="K166" s="87"/>
      <c r="L166" s="87"/>
    </row>
    <row r="167" spans="2:13">
      <c r="B167" s="263" t="s">
        <v>5523</v>
      </c>
      <c r="C167" s="746" t="str">
        <f>CHOOSE(jezyk,n!A1218,n!B1218,n!C1218,n!D1216)</f>
        <v>Koszty z tytułu odsetek od zobowiązań finansowych</v>
      </c>
      <c r="D167" s="746"/>
      <c r="E167" s="746"/>
      <c r="F167" s="746"/>
      <c r="G167" s="746"/>
      <c r="H167" s="746"/>
      <c r="I167" s="746"/>
      <c r="J167" s="746"/>
      <c r="K167" s="746"/>
      <c r="L167" s="746"/>
    </row>
    <row r="168" spans="2:13">
      <c r="B168" s="80"/>
      <c r="C168" s="87"/>
      <c r="D168" s="87"/>
      <c r="E168" s="87"/>
      <c r="F168" s="87"/>
      <c r="G168" s="87"/>
      <c r="H168" s="87"/>
      <c r="I168" s="87"/>
      <c r="J168" s="87"/>
      <c r="K168" s="87"/>
      <c r="L168" s="87"/>
    </row>
    <row r="169" spans="2:13" hidden="1">
      <c r="B169" s="263"/>
      <c r="C169" s="745" t="str">
        <f>CHOOSE(jezyk,n!A1233,n!B1233,n!C1233,n!D1231)</f>
        <v>Nie wystąpiły</v>
      </c>
      <c r="D169" s="745"/>
      <c r="E169" s="745"/>
      <c r="F169" s="745"/>
      <c r="G169" s="745"/>
      <c r="H169" s="745"/>
      <c r="I169" s="745"/>
      <c r="J169" s="745"/>
      <c r="K169" s="745"/>
      <c r="L169" s="745"/>
      <c r="M169" s="131" t="s">
        <v>5526</v>
      </c>
    </row>
    <row r="170" spans="2:13" ht="10.5" customHeight="1">
      <c r="B170" s="80"/>
      <c r="C170" s="87"/>
      <c r="D170" s="87"/>
      <c r="E170" s="87"/>
      <c r="F170" s="87"/>
      <c r="G170" s="87"/>
      <c r="H170" s="87"/>
      <c r="I170" s="87"/>
      <c r="J170" s="87"/>
      <c r="K170" s="87"/>
      <c r="L170" s="87"/>
    </row>
    <row r="171" spans="2:13" ht="15" customHeight="1">
      <c r="B171" s="80"/>
      <c r="C171" s="1143" t="str">
        <f>CHOOSE(jezyk,n!A616,n!B616,n!C616,n!D614)</f>
        <v>Rok obrotowy 2024</v>
      </c>
      <c r="D171" s="1162"/>
      <c r="E171" s="1144"/>
      <c r="F171" s="87"/>
      <c r="G171" s="87"/>
      <c r="H171" s="87"/>
      <c r="I171" s="87"/>
      <c r="J171" s="87"/>
      <c r="K171" s="87"/>
      <c r="L171" s="87"/>
    </row>
    <row r="172" spans="2:13" ht="10.5" customHeight="1">
      <c r="B172" s="80"/>
      <c r="C172" s="87"/>
      <c r="D172" s="87"/>
      <c r="E172" s="87"/>
      <c r="F172" s="87"/>
      <c r="G172" s="87"/>
      <c r="H172" s="87"/>
      <c r="I172" s="87"/>
      <c r="J172" s="87"/>
      <c r="K172" s="87"/>
      <c r="L172" s="87"/>
    </row>
    <row r="173" spans="2:13" ht="15.75" customHeight="1">
      <c r="B173" s="80"/>
      <c r="C173" s="953" t="str">
        <f>CHOOSE(jezyk,n!A1234,n!B1234,n!C1234,n!D1232)</f>
        <v>Rodzaj zobowiązania</v>
      </c>
      <c r="D173" s="1163"/>
      <c r="E173" s="1163"/>
      <c r="F173" s="954"/>
      <c r="G173" s="839" t="str">
        <f>CHOOSE(jezyk,n!A1244,n!B1244,n!C1244,n!D1242)</f>
        <v>Koszty z tytułu odsetek w danym roku obrotowym</v>
      </c>
      <c r="H173" s="839"/>
      <c r="I173" s="839"/>
      <c r="J173" s="839"/>
      <c r="K173" s="839"/>
      <c r="L173" s="839"/>
    </row>
    <row r="174" spans="2:13" ht="15.75" customHeight="1">
      <c r="B174" s="80"/>
      <c r="C174" s="1164"/>
      <c r="D174" s="1165"/>
      <c r="E174" s="1165"/>
      <c r="F174" s="1107"/>
      <c r="G174" s="839" t="str">
        <f>CHOOSE(jezyk,n!A1245,n!B1245,n!C1245,n!D1243)</f>
        <v>Odsetki naliczone i zapłacone</v>
      </c>
      <c r="H174" s="839"/>
      <c r="I174" s="839" t="str">
        <f>CHOOSE(jezyk,n!A1246,n!B1246,n!C1246,n!D1244)</f>
        <v>Odsetki naliczone lecz nie zapłacone</v>
      </c>
      <c r="J174" s="839"/>
      <c r="K174" s="839"/>
      <c r="L174" s="839"/>
    </row>
    <row r="175" spans="2:13" ht="28.5" customHeight="1">
      <c r="B175" s="80"/>
      <c r="C175" s="1166"/>
      <c r="D175" s="1167"/>
      <c r="E175" s="1167"/>
      <c r="F175" s="1168"/>
      <c r="G175" s="839"/>
      <c r="H175" s="839"/>
      <c r="I175" s="402" t="str">
        <f>CHOOSE(jezyk,n!A1247,n!B1247,n!C1247,n!D1245)</f>
        <v>do 3 m-cy</v>
      </c>
      <c r="J175" s="839" t="str">
        <f>CHOOSE(jezyk,n!A1248,n!B1248,n!C1248,n!D1246)</f>
        <v>3 - 12 m-cy</v>
      </c>
      <c r="K175" s="839"/>
      <c r="L175" s="402" t="str">
        <f>CHOOSE(jezyk,n!A1249,n!B1249,n!C1249,n!D1247)</f>
        <v>powyżej 12 m-cy</v>
      </c>
    </row>
    <row r="176" spans="2:13" ht="26.25" customHeight="1">
      <c r="B176" s="80"/>
      <c r="C176" s="903" t="str">
        <f>CHOOSE(jezyk,n!A1215,n!B1215,n!C1215,n!D1213)</f>
        <v>Zobowiązania finansowe przeznaczone do obrotu</v>
      </c>
      <c r="D176" s="904"/>
      <c r="E176" s="904"/>
      <c r="F176" s="905"/>
      <c r="G176" s="966">
        <v>0</v>
      </c>
      <c r="H176" s="967"/>
      <c r="I176" s="414">
        <v>0</v>
      </c>
      <c r="J176" s="966">
        <v>0</v>
      </c>
      <c r="K176" s="967"/>
      <c r="L176" s="428">
        <v>0</v>
      </c>
    </row>
    <row r="177" spans="1:12" ht="28.5" customHeight="1">
      <c r="B177" s="80"/>
      <c r="C177" s="903" t="str">
        <f>CHOOSE(jezyk,n!A1250,n!B1250,n!C1250,n!D1248)</f>
        <v>Pozostałe zobowiązania krótkoterminowe, w tym:</v>
      </c>
      <c r="D177" s="904"/>
      <c r="E177" s="904"/>
      <c r="F177" s="905"/>
      <c r="G177" s="1148">
        <f>SUM(G178:H180)</f>
        <v>0</v>
      </c>
      <c r="H177" s="1148"/>
      <c r="I177" s="427">
        <f>SUM(I178:I180)</f>
        <v>0</v>
      </c>
      <c r="J177" s="1148">
        <f>SUM(J178:K180)</f>
        <v>0</v>
      </c>
      <c r="K177" s="1148"/>
      <c r="L177" s="427">
        <f>SUM(L178:L180)</f>
        <v>0</v>
      </c>
    </row>
    <row r="178" spans="1:12">
      <c r="B178" s="80"/>
      <c r="C178" s="903" t="str">
        <f>"  a) "&amp;CHOOSE(jezyk,n!A1251,n!B1251,n!C1251,n!D1249)</f>
        <v xml:space="preserve">  a) kredyty i pożyczki</v>
      </c>
      <c r="D178" s="904"/>
      <c r="E178" s="904"/>
      <c r="F178" s="905"/>
      <c r="G178" s="966"/>
      <c r="H178" s="967"/>
      <c r="I178" s="414"/>
      <c r="J178" s="966"/>
      <c r="K178" s="967"/>
      <c r="L178" s="428"/>
    </row>
    <row r="179" spans="1:12">
      <c r="B179" s="80"/>
      <c r="C179" s="903" t="str">
        <f>"  b) "&amp;CHOOSE(jezyk,n!A1252,n!B1252,n!C1252,n!D1250)</f>
        <v xml:space="preserve">  b) dłużne papiery wartościowe</v>
      </c>
      <c r="D179" s="904"/>
      <c r="E179" s="904"/>
      <c r="F179" s="905"/>
      <c r="G179" s="966">
        <v>0</v>
      </c>
      <c r="H179" s="967"/>
      <c r="I179" s="414">
        <v>0</v>
      </c>
      <c r="J179" s="966">
        <v>0</v>
      </c>
      <c r="K179" s="967"/>
      <c r="L179" s="428">
        <v>0</v>
      </c>
    </row>
    <row r="180" spans="1:12" ht="12.75" customHeight="1">
      <c r="A180" s="72"/>
      <c r="B180" s="80"/>
      <c r="C180" s="903" t="str">
        <f>"  c) "&amp; CHOOSE(jezyk,n!A1253,n!B1253,n!C1253,n!D1251)</f>
        <v xml:space="preserve">  c) zobowiązania finansowe inne</v>
      </c>
      <c r="D180" s="904"/>
      <c r="E180" s="904"/>
      <c r="F180" s="905"/>
      <c r="G180" s="966">
        <v>0</v>
      </c>
      <c r="H180" s="967"/>
      <c r="I180" s="414">
        <v>0</v>
      </c>
      <c r="J180" s="966">
        <v>0</v>
      </c>
      <c r="K180" s="967"/>
      <c r="L180" s="428">
        <v>0</v>
      </c>
    </row>
    <row r="181" spans="1:12" ht="27" customHeight="1">
      <c r="B181" s="80"/>
      <c r="C181" s="903" t="str">
        <f>CHOOSE(jezyk,n!A1254,n!B1254,n!C1254,n!D1252)</f>
        <v>Długoterminowe zobowiązania finansowe</v>
      </c>
      <c r="D181" s="904"/>
      <c r="E181" s="904"/>
      <c r="F181" s="905"/>
      <c r="G181" s="1148">
        <f>SUM(G182:H184)</f>
        <v>34218.410000000003</v>
      </c>
      <c r="H181" s="1148"/>
      <c r="I181" s="427">
        <f>SUM(I182:I184)</f>
        <v>3217.62</v>
      </c>
      <c r="J181" s="1148">
        <f>SUM(J182:K184)</f>
        <v>0</v>
      </c>
      <c r="K181" s="1148"/>
      <c r="L181" s="427">
        <f>SUM(L182:L184)</f>
        <v>0</v>
      </c>
    </row>
    <row r="182" spans="1:12">
      <c r="B182" s="80"/>
      <c r="C182" s="903" t="str">
        <f>C178</f>
        <v xml:space="preserve">  a) kredyty i pożyczki</v>
      </c>
      <c r="D182" s="904"/>
      <c r="E182" s="904"/>
      <c r="F182" s="905"/>
      <c r="G182" s="966">
        <v>34218.410000000003</v>
      </c>
      <c r="H182" s="967"/>
      <c r="I182" s="414">
        <v>3217.62</v>
      </c>
      <c r="J182" s="966"/>
      <c r="K182" s="967"/>
      <c r="L182" s="428"/>
    </row>
    <row r="183" spans="1:12">
      <c r="B183" s="80"/>
      <c r="C183" s="903" t="str">
        <f>C179</f>
        <v xml:space="preserve">  b) dłużne papiery wartościowe</v>
      </c>
      <c r="D183" s="904"/>
      <c r="E183" s="904"/>
      <c r="F183" s="905"/>
      <c r="G183" s="966">
        <v>0</v>
      </c>
      <c r="H183" s="967"/>
      <c r="I183" s="414">
        <v>0</v>
      </c>
      <c r="J183" s="966">
        <v>0</v>
      </c>
      <c r="K183" s="967"/>
      <c r="L183" s="428">
        <v>0</v>
      </c>
    </row>
    <row r="184" spans="1:12" ht="12.75" customHeight="1">
      <c r="A184" s="72"/>
      <c r="B184" s="80"/>
      <c r="C184" s="903" t="str">
        <f>C180</f>
        <v xml:space="preserve">  c) zobowiązania finansowe inne</v>
      </c>
      <c r="D184" s="904"/>
      <c r="E184" s="904"/>
      <c r="F184" s="905"/>
      <c r="G184" s="966">
        <v>0</v>
      </c>
      <c r="H184" s="967"/>
      <c r="I184" s="414">
        <v>0</v>
      </c>
      <c r="J184" s="966">
        <v>0</v>
      </c>
      <c r="K184" s="967"/>
      <c r="L184" s="428">
        <v>0</v>
      </c>
    </row>
    <row r="185" spans="1:12" ht="24" customHeight="1">
      <c r="B185" s="80"/>
      <c r="C185" s="1149"/>
      <c r="D185" s="1149"/>
      <c r="E185" s="1149"/>
      <c r="F185" s="1150"/>
      <c r="G185" s="1148">
        <f>G176+G177+G181</f>
        <v>34218.410000000003</v>
      </c>
      <c r="H185" s="1148"/>
      <c r="I185" s="427">
        <f>I176+I177+I181</f>
        <v>3217.62</v>
      </c>
      <c r="J185" s="1148">
        <f>J177+J176+J181</f>
        <v>0</v>
      </c>
      <c r="K185" s="1148"/>
      <c r="L185" s="427">
        <f>L176+L177+L181</f>
        <v>0</v>
      </c>
    </row>
    <row r="186" spans="1:12">
      <c r="B186" s="80"/>
      <c r="C186" s="87"/>
      <c r="D186" s="87"/>
      <c r="E186" s="87"/>
      <c r="F186" s="87"/>
      <c r="G186" s="87"/>
      <c r="H186" s="87"/>
      <c r="I186" s="87"/>
      <c r="J186" s="87"/>
      <c r="K186" s="87"/>
      <c r="L186" s="87"/>
    </row>
    <row r="187" spans="1:12" ht="15" hidden="1" customHeight="1">
      <c r="B187" s="80"/>
      <c r="C187" s="1143" t="str">
        <f>CHOOSE(jezyk,n!A617,n!B617,n!C617,n!D615)</f>
        <v>Rok obrotowy 2023</v>
      </c>
      <c r="D187" s="1162"/>
      <c r="E187" s="1144"/>
      <c r="F187" s="87"/>
      <c r="G187" s="87"/>
      <c r="H187" s="87"/>
      <c r="I187" s="87"/>
      <c r="J187" s="87"/>
      <c r="K187" s="87"/>
      <c r="L187" s="87"/>
    </row>
    <row r="188" spans="1:12" hidden="1">
      <c r="B188" s="80"/>
      <c r="C188" s="87"/>
      <c r="D188" s="87"/>
      <c r="E188" s="87"/>
      <c r="F188" s="87"/>
      <c r="G188" s="87"/>
      <c r="H188" s="87"/>
      <c r="I188" s="87"/>
      <c r="J188" s="87"/>
      <c r="K188" s="87"/>
      <c r="L188" s="87"/>
    </row>
    <row r="189" spans="1:12" ht="17.25" hidden="1" customHeight="1">
      <c r="B189" s="80"/>
      <c r="C189" s="953" t="str">
        <f>C173</f>
        <v>Rodzaj zobowiązania</v>
      </c>
      <c r="D189" s="1163"/>
      <c r="E189" s="1163"/>
      <c r="F189" s="954"/>
      <c r="G189" s="839" t="str">
        <f>G173</f>
        <v>Koszty z tytułu odsetek w danym roku obrotowym</v>
      </c>
      <c r="H189" s="839"/>
      <c r="I189" s="839"/>
      <c r="J189" s="839"/>
      <c r="K189" s="839"/>
      <c r="L189" s="839"/>
    </row>
    <row r="190" spans="1:12" ht="16.5" hidden="1" customHeight="1">
      <c r="B190" s="80"/>
      <c r="C190" s="1164"/>
      <c r="D190" s="1165"/>
      <c r="E190" s="1165"/>
      <c r="F190" s="1107"/>
      <c r="G190" s="839" t="str">
        <f>G174</f>
        <v>Odsetki naliczone i zapłacone</v>
      </c>
      <c r="H190" s="839"/>
      <c r="I190" s="839" t="str">
        <f>I174</f>
        <v>Odsetki naliczone lecz nie zapłacone</v>
      </c>
      <c r="J190" s="839"/>
      <c r="K190" s="839"/>
      <c r="L190" s="839"/>
    </row>
    <row r="191" spans="1:12" ht="24.75" hidden="1" customHeight="1">
      <c r="B191" s="80"/>
      <c r="C191" s="1166"/>
      <c r="D191" s="1167"/>
      <c r="E191" s="1167"/>
      <c r="F191" s="1168"/>
      <c r="G191" s="839"/>
      <c r="H191" s="839"/>
      <c r="I191" s="402" t="str">
        <f>I175</f>
        <v>do 3 m-cy</v>
      </c>
      <c r="J191" s="839" t="str">
        <f>J175</f>
        <v>3 - 12 m-cy</v>
      </c>
      <c r="K191" s="839"/>
      <c r="L191" s="402" t="str">
        <f>L175</f>
        <v>powyżej 12 m-cy</v>
      </c>
    </row>
    <row r="192" spans="1:12" ht="25.5" hidden="1" customHeight="1">
      <c r="B192" s="80"/>
      <c r="C192" s="903" t="str">
        <f>C176</f>
        <v>Zobowiązania finansowe przeznaczone do obrotu</v>
      </c>
      <c r="D192" s="904"/>
      <c r="E192" s="904"/>
      <c r="F192" s="905"/>
      <c r="G192" s="966"/>
      <c r="H192" s="967"/>
      <c r="I192" s="414"/>
      <c r="J192" s="966"/>
      <c r="K192" s="967"/>
      <c r="L192" s="428"/>
    </row>
    <row r="193" spans="1:12" ht="25.5" hidden="1" customHeight="1">
      <c r="B193" s="80"/>
      <c r="C193" s="903" t="str">
        <f t="shared" ref="C193:C200" si="0">C177</f>
        <v>Pozostałe zobowiązania krótkoterminowe, w tym:</v>
      </c>
      <c r="D193" s="904"/>
      <c r="E193" s="904"/>
      <c r="F193" s="905"/>
      <c r="G193" s="1148">
        <f>SUM(G194:H196)</f>
        <v>0</v>
      </c>
      <c r="H193" s="1148"/>
      <c r="I193" s="427">
        <f>SUM(I194:I196)</f>
        <v>0</v>
      </c>
      <c r="J193" s="1148">
        <f>SUM(J194:K196)</f>
        <v>0</v>
      </c>
      <c r="K193" s="1148"/>
      <c r="L193" s="427">
        <f>SUM(L194:L196)</f>
        <v>0</v>
      </c>
    </row>
    <row r="194" spans="1:12" ht="15" hidden="1" customHeight="1">
      <c r="B194" s="80"/>
      <c r="C194" s="903" t="str">
        <f t="shared" si="0"/>
        <v xml:space="preserve">  a) kredyty i pożyczki</v>
      </c>
      <c r="D194" s="904"/>
      <c r="E194" s="904"/>
      <c r="F194" s="905"/>
      <c r="G194" s="966"/>
      <c r="H194" s="967"/>
      <c r="I194" s="414"/>
      <c r="J194" s="966"/>
      <c r="K194" s="967"/>
      <c r="L194" s="428"/>
    </row>
    <row r="195" spans="1:12" ht="15" hidden="1" customHeight="1">
      <c r="B195" s="80"/>
      <c r="C195" s="903" t="str">
        <f t="shared" si="0"/>
        <v xml:space="preserve">  b) dłużne papiery wartościowe</v>
      </c>
      <c r="D195" s="904"/>
      <c r="E195" s="904"/>
      <c r="F195" s="905"/>
      <c r="G195" s="966"/>
      <c r="H195" s="967"/>
      <c r="I195" s="414"/>
      <c r="J195" s="966"/>
      <c r="K195" s="967"/>
      <c r="L195" s="428"/>
    </row>
    <row r="196" spans="1:12" ht="15" hidden="1" customHeight="1">
      <c r="A196" s="72"/>
      <c r="B196" s="80"/>
      <c r="C196" s="903" t="str">
        <f t="shared" si="0"/>
        <v xml:space="preserve">  c) zobowiązania finansowe inne</v>
      </c>
      <c r="D196" s="904"/>
      <c r="E196" s="904"/>
      <c r="F196" s="905"/>
      <c r="G196" s="966"/>
      <c r="H196" s="967"/>
      <c r="I196" s="414"/>
      <c r="J196" s="966"/>
      <c r="K196" s="967"/>
      <c r="L196" s="428"/>
    </row>
    <row r="197" spans="1:12" ht="25.5" hidden="1" customHeight="1">
      <c r="B197" s="80"/>
      <c r="C197" s="903" t="str">
        <f t="shared" si="0"/>
        <v>Długoterminowe zobowiązania finansowe</v>
      </c>
      <c r="D197" s="904"/>
      <c r="E197" s="904"/>
      <c r="F197" s="905"/>
      <c r="G197" s="1148">
        <f>SUM(G198:H200)</f>
        <v>0</v>
      </c>
      <c r="H197" s="1148"/>
      <c r="I197" s="427">
        <f>SUM(I198:I200)</f>
        <v>0</v>
      </c>
      <c r="J197" s="1148">
        <f>SUM(J198:K200)</f>
        <v>0</v>
      </c>
      <c r="K197" s="1148"/>
      <c r="L197" s="427">
        <f>SUM(L198:L200)</f>
        <v>0</v>
      </c>
    </row>
    <row r="198" spans="1:12" ht="15" hidden="1" customHeight="1">
      <c r="B198" s="80"/>
      <c r="C198" s="903" t="str">
        <f t="shared" si="0"/>
        <v xml:space="preserve">  a) kredyty i pożyczki</v>
      </c>
      <c r="D198" s="904"/>
      <c r="E198" s="904"/>
      <c r="F198" s="905"/>
      <c r="G198" s="966"/>
      <c r="H198" s="967"/>
      <c r="I198" s="414"/>
      <c r="J198" s="966"/>
      <c r="K198" s="967"/>
      <c r="L198" s="428"/>
    </row>
    <row r="199" spans="1:12" ht="15" hidden="1" customHeight="1">
      <c r="B199" s="80"/>
      <c r="C199" s="903" t="str">
        <f t="shared" si="0"/>
        <v xml:space="preserve">  b) dłużne papiery wartościowe</v>
      </c>
      <c r="D199" s="904"/>
      <c r="E199" s="904"/>
      <c r="F199" s="905"/>
      <c r="G199" s="966"/>
      <c r="H199" s="967"/>
      <c r="I199" s="414"/>
      <c r="J199" s="966"/>
      <c r="K199" s="967"/>
      <c r="L199" s="428"/>
    </row>
    <row r="200" spans="1:12" ht="15" hidden="1" customHeight="1">
      <c r="A200" s="72"/>
      <c r="B200" s="80"/>
      <c r="C200" s="903" t="str">
        <f t="shared" si="0"/>
        <v xml:space="preserve">  c) zobowiązania finansowe inne</v>
      </c>
      <c r="D200" s="904"/>
      <c r="E200" s="904"/>
      <c r="F200" s="905"/>
      <c r="G200" s="966"/>
      <c r="H200" s="967"/>
      <c r="I200" s="414"/>
      <c r="J200" s="966"/>
      <c r="K200" s="967"/>
      <c r="L200" s="428"/>
    </row>
    <row r="201" spans="1:12" ht="15" hidden="1" customHeight="1">
      <c r="B201" s="80"/>
      <c r="C201" s="1149"/>
      <c r="D201" s="1149"/>
      <c r="E201" s="1149"/>
      <c r="F201" s="1150"/>
      <c r="G201" s="1148">
        <f>G192+G193+G197</f>
        <v>0</v>
      </c>
      <c r="H201" s="1148"/>
      <c r="I201" s="427">
        <f>I192+I193+I197</f>
        <v>0</v>
      </c>
      <c r="J201" s="1148">
        <f>J193+J192+J197</f>
        <v>0</v>
      </c>
      <c r="K201" s="1148"/>
      <c r="L201" s="427">
        <f>L192+L193+L197</f>
        <v>0</v>
      </c>
    </row>
    <row r="202" spans="1:12">
      <c r="B202" s="80"/>
      <c r="C202" s="87"/>
      <c r="D202" s="87"/>
      <c r="E202" s="87"/>
      <c r="F202" s="87"/>
      <c r="G202" s="87"/>
      <c r="H202" s="87"/>
      <c r="I202" s="87"/>
      <c r="J202" s="87"/>
      <c r="K202" s="87"/>
      <c r="L202" s="87"/>
    </row>
    <row r="203" spans="1:12" ht="31.5" customHeight="1">
      <c r="B203" s="263" t="s">
        <v>5524</v>
      </c>
      <c r="C203" s="746" t="str">
        <f>CHOOSE(jezyk,n!A1219,n!B1219,n!C1219,n!D1217)</f>
        <v>Cele i zasady zarządzania ryzykiem finansowym, w tym dotyczące zabezpieczenia podstawowych rodzajów planowanych transakcji oraz uprawdopodobnionych przyszłych zobowiązań</v>
      </c>
      <c r="D203" s="746"/>
      <c r="E203" s="746"/>
      <c r="F203" s="746"/>
      <c r="G203" s="746"/>
      <c r="H203" s="746"/>
      <c r="I203" s="746"/>
      <c r="J203" s="746"/>
      <c r="K203" s="746"/>
      <c r="L203" s="746"/>
    </row>
    <row r="204" spans="1:12" ht="6.75" customHeight="1">
      <c r="B204" s="80"/>
      <c r="C204" s="87"/>
      <c r="D204" s="87"/>
      <c r="E204" s="87"/>
      <c r="F204" s="87"/>
      <c r="G204" s="87"/>
      <c r="H204" s="87"/>
      <c r="I204" s="87"/>
      <c r="J204" s="87"/>
      <c r="K204" s="87"/>
      <c r="L204" s="87"/>
    </row>
    <row r="205" spans="1:12">
      <c r="A205" s="72"/>
      <c r="B205" s="263"/>
      <c r="C205" s="741" t="str">
        <f>IF(GA!F67&lt;&gt;"nie",IF(GA!H16=2,CHOOSE(jezyk,n!A1224,n!B1224,n!C1224,n!D1220),CHOOSE(jezyk,n!A1222,n!B1222,n!C1222,n!D1219)),IF(GA!H16=2,CHOOSE(jezyk,n!A1225,n!B1225,n!C1225,n!D1225),CHOOSE(jezyk,n!A1223,n!B1223,n!C1223,n!D1223)))</f>
        <v xml:space="preserve">Zarząd jednostki macierzystej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v>
      </c>
      <c r="D205" s="741"/>
      <c r="E205" s="741"/>
      <c r="F205" s="741"/>
      <c r="G205" s="741"/>
      <c r="H205" s="741"/>
      <c r="I205" s="741"/>
      <c r="J205" s="741"/>
      <c r="K205" s="741"/>
      <c r="L205" s="741"/>
    </row>
    <row r="206" spans="1:12">
      <c r="B206" s="263"/>
      <c r="C206" s="395"/>
      <c r="D206" s="395"/>
      <c r="E206" s="395"/>
      <c r="F206" s="395"/>
      <c r="G206" s="395"/>
      <c r="H206" s="395"/>
      <c r="I206" s="395"/>
      <c r="J206" s="395"/>
      <c r="K206" s="395"/>
      <c r="L206" s="395"/>
    </row>
    <row r="207" spans="1:12" ht="26.25" customHeight="1">
      <c r="B207" s="263"/>
      <c r="C207" s="741" t="str">
        <f>CHOOSE(jezyk,n!A1255,n!B1255,n!C1255,n!D1253)</f>
        <v>Zarządzanie ryzykiem związanym z instrumentami finansowymi polega przede wszystkim na planowaniu przepływów pieniężnych oraz monitorowaniu zaangażowania własnych środków finansowych.</v>
      </c>
      <c r="D207" s="741"/>
      <c r="E207" s="741"/>
      <c r="F207" s="741"/>
      <c r="G207" s="741"/>
      <c r="H207" s="741"/>
      <c r="I207" s="741"/>
      <c r="J207" s="741"/>
      <c r="K207" s="741"/>
      <c r="L207" s="741"/>
    </row>
    <row r="208" spans="1:12">
      <c r="B208" s="263"/>
      <c r="C208" s="741" t="str">
        <f>IF(GA!F67="nie",CHOOSE(jezyk,n!A1220,n!B1220,n!C1220,n!D1218),CHOOSE(jezyk,n!A1221,n!B1221,n!C1221,n!D1221))</f>
        <v>Spółka nie stosuje rachunkowości zabezpieczeń.</v>
      </c>
      <c r="D208" s="741"/>
      <c r="E208" s="741"/>
      <c r="F208" s="741"/>
      <c r="G208" s="741"/>
      <c r="H208" s="741"/>
      <c r="I208" s="741"/>
      <c r="J208" s="741"/>
      <c r="K208" s="741"/>
      <c r="L208" s="741"/>
    </row>
    <row r="209" spans="1:13">
      <c r="B209" s="263"/>
      <c r="C209" s="746"/>
      <c r="D209" s="746"/>
      <c r="E209" s="746"/>
      <c r="F209" s="746"/>
      <c r="G209" s="746"/>
      <c r="H209" s="746"/>
      <c r="I209" s="746"/>
      <c r="J209" s="746"/>
      <c r="K209" s="746"/>
      <c r="L209" s="746"/>
    </row>
    <row r="210" spans="1:13" ht="13.5" customHeight="1">
      <c r="B210" s="263"/>
      <c r="C210" s="741" t="str">
        <f>IF(GA!F67="nie",CHOOSE(jezyk,n!A1226,n!B1226,n!C1226,n!D1222),CHOOSE(jezyk,n!A1227,n!B1227,n!C1227,n!D1227))</f>
        <v>Działalność Spółki narażona jest na następujące rodzaje ryzyka wynikające z posiadania instrumentów finansowych:</v>
      </c>
      <c r="D210" s="741"/>
      <c r="E210" s="741"/>
      <c r="F210" s="741"/>
      <c r="G210" s="741"/>
      <c r="H210" s="741"/>
      <c r="I210" s="741"/>
      <c r="J210" s="741"/>
      <c r="K210" s="741"/>
      <c r="L210" s="741"/>
    </row>
    <row r="211" spans="1:13">
      <c r="B211" s="263"/>
      <c r="C211" s="741" t="str">
        <f>CHOOSE(jezyk,n!A1228,n!B1228,n!C1228,n!D1224)</f>
        <v>- ryzyko walutowe</v>
      </c>
      <c r="D211" s="741"/>
      <c r="E211" s="741"/>
      <c r="F211" s="741"/>
      <c r="G211" s="741"/>
      <c r="H211" s="741"/>
      <c r="I211" s="741"/>
      <c r="J211" s="741"/>
      <c r="K211" s="741"/>
      <c r="L211" s="741"/>
      <c r="M211" s="214" t="s">
        <v>5987</v>
      </c>
    </row>
    <row r="212" spans="1:13">
      <c r="B212" s="263"/>
      <c r="C212" s="741" t="str">
        <f>CHOOSE(jezyk,n!A1229,n!B1229,n!C1229,n!D1226)</f>
        <v>- ryzyko stopy procentowej</v>
      </c>
      <c r="D212" s="741"/>
      <c r="E212" s="741"/>
      <c r="F212" s="741"/>
      <c r="G212" s="741"/>
      <c r="H212" s="741"/>
      <c r="I212" s="741"/>
      <c r="J212" s="741"/>
      <c r="K212" s="741"/>
      <c r="L212" s="741"/>
    </row>
    <row r="213" spans="1:13" hidden="1">
      <c r="B213" s="263"/>
      <c r="C213" s="741" t="str">
        <f>CHOOSE(jezyk,n!A1230,n!B1230,n!C1230,n!D1228)</f>
        <v>- ryzyko kredytowe</v>
      </c>
      <c r="D213" s="741"/>
      <c r="E213" s="741"/>
      <c r="F213" s="741"/>
      <c r="G213" s="741"/>
      <c r="H213" s="741"/>
      <c r="I213" s="741"/>
      <c r="J213" s="741"/>
      <c r="K213" s="741"/>
      <c r="L213" s="741"/>
    </row>
    <row r="214" spans="1:13">
      <c r="B214" s="263"/>
      <c r="C214" s="741" t="str">
        <f>CHOOSE(jezyk,n!A1231,n!B1231,n!C1231,n!D1229)</f>
        <v>- ryzyko płynności</v>
      </c>
      <c r="D214" s="741"/>
      <c r="E214" s="741"/>
      <c r="F214" s="741"/>
      <c r="G214" s="741"/>
      <c r="H214" s="741"/>
      <c r="I214" s="741"/>
      <c r="J214" s="741"/>
      <c r="K214" s="741"/>
      <c r="L214" s="741"/>
    </row>
    <row r="215" spans="1:13">
      <c r="B215" s="263"/>
      <c r="C215" s="395"/>
      <c r="D215" s="395"/>
      <c r="E215" s="395"/>
      <c r="F215" s="395"/>
      <c r="G215" s="395"/>
      <c r="H215" s="395"/>
      <c r="I215" s="395"/>
      <c r="J215" s="395"/>
      <c r="K215" s="395"/>
      <c r="L215" s="395"/>
    </row>
    <row r="216" spans="1:13">
      <c r="B216" s="263"/>
      <c r="C216" s="744" t="str">
        <f>CHOOSE(jezyk,n!A1256,n!B1256,n!C1256,n!D1254)</f>
        <v>Ryzyko walutowe</v>
      </c>
      <c r="D216" s="744"/>
      <c r="E216" s="744"/>
      <c r="F216" s="744"/>
      <c r="G216" s="744"/>
      <c r="H216" s="744"/>
      <c r="I216" s="744"/>
      <c r="J216" s="744"/>
      <c r="K216" s="744"/>
      <c r="L216" s="744"/>
    </row>
    <row r="217" spans="1:13">
      <c r="B217" s="263"/>
      <c r="C217" s="395"/>
      <c r="D217" s="395"/>
      <c r="E217" s="395"/>
      <c r="F217" s="395"/>
      <c r="G217" s="395"/>
      <c r="H217" s="395"/>
      <c r="I217" s="395"/>
      <c r="J217" s="395"/>
      <c r="K217" s="395"/>
      <c r="L217" s="395"/>
    </row>
    <row r="218" spans="1:13" hidden="1">
      <c r="A218" s="72"/>
      <c r="B218" s="263"/>
      <c r="C218" s="1172" t="s">
        <v>5550</v>
      </c>
      <c r="D218" s="1172"/>
      <c r="E218" s="1172"/>
      <c r="F218" s="1172"/>
      <c r="G218" s="1172"/>
      <c r="H218" s="1172"/>
      <c r="I218" s="1172"/>
      <c r="J218" s="1172"/>
      <c r="K218" s="1172"/>
      <c r="L218" s="1172"/>
    </row>
    <row r="219" spans="1:13" hidden="1">
      <c r="B219" s="263"/>
      <c r="C219" s="425"/>
      <c r="D219" s="425"/>
      <c r="E219" s="425"/>
      <c r="F219" s="425"/>
      <c r="G219" s="425"/>
      <c r="H219" s="425"/>
      <c r="I219" s="425"/>
      <c r="J219" s="425"/>
      <c r="K219" s="425"/>
      <c r="L219" s="425"/>
    </row>
    <row r="220" spans="1:13">
      <c r="B220" s="263"/>
      <c r="C220" s="741" t="str">
        <f>IF(GA!F67="nie",CHOOSE(jezyk,n!A1257,n!B1257,n!C1257,n!D1255),CHOOSE(jezyk,n!A1258,n!B1258,n!C1258,n!D1258))</f>
        <v>Spółka jest narażona na ryzyko walutowe w związku z:</v>
      </c>
      <c r="D220" s="741"/>
      <c r="E220" s="741"/>
      <c r="F220" s="741"/>
      <c r="G220" s="741"/>
      <c r="H220" s="741"/>
      <c r="I220" s="741"/>
      <c r="J220" s="741"/>
      <c r="K220" s="741"/>
      <c r="L220" s="741"/>
      <c r="M220" s="214" t="s">
        <v>5987</v>
      </c>
    </row>
    <row r="221" spans="1:13">
      <c r="B221" s="263"/>
      <c r="C221" s="741" t="str">
        <f>CHOOSE(jezyk,n!A1259,n!B1259,n!C1259,n!D1256)</f>
        <v xml:space="preserve">- realizowaniem przychodów ze sprzedaży </v>
      </c>
      <c r="D221" s="741"/>
      <c r="E221" s="741"/>
      <c r="F221" s="741"/>
      <c r="G221" s="741"/>
      <c r="H221" s="741"/>
      <c r="I221" s="741"/>
      <c r="J221" s="741"/>
      <c r="K221" s="741"/>
      <c r="L221" s="741"/>
    </row>
    <row r="222" spans="1:13">
      <c r="B222" s="263"/>
      <c r="C222" s="741" t="str">
        <f>CHOOSE(jezyk,n!A1260,n!B1260,n!C1260,n!D1257)</f>
        <v xml:space="preserve">- dokonywaniem zakupów operacyjnych </v>
      </c>
      <c r="D222" s="741"/>
      <c r="E222" s="741"/>
      <c r="F222" s="741"/>
      <c r="G222" s="741"/>
      <c r="H222" s="741"/>
      <c r="I222" s="741"/>
      <c r="J222" s="741"/>
      <c r="K222" s="741"/>
      <c r="L222" s="741"/>
    </row>
    <row r="223" spans="1:13">
      <c r="B223" s="263"/>
      <c r="C223" s="741" t="str">
        <f>CHOOSE(jezyk,n!A1261,n!B1261,n!C1261,n!D1259)</f>
        <v xml:space="preserve">- dokonywaniem istotnych nakładów inwestycyjnych </v>
      </c>
      <c r="D223" s="741"/>
      <c r="E223" s="741"/>
      <c r="F223" s="741"/>
      <c r="G223" s="741"/>
      <c r="H223" s="741"/>
      <c r="I223" s="741"/>
      <c r="J223" s="741"/>
      <c r="K223" s="741"/>
      <c r="L223" s="741"/>
    </row>
    <row r="224" spans="1:13">
      <c r="B224" s="263"/>
      <c r="C224" s="741" t="str">
        <f>CHOOSE(jezyk,n!A1262,n!B1262,n!C1262,n!D1260)</f>
        <v xml:space="preserve">- finansowaniem działalności kredytami </v>
      </c>
      <c r="D224" s="741"/>
      <c r="E224" s="741"/>
      <c r="F224" s="741"/>
      <c r="G224" s="741"/>
      <c r="H224" s="741"/>
      <c r="I224" s="741"/>
      <c r="J224" s="741"/>
      <c r="K224" s="741"/>
      <c r="L224" s="741"/>
    </row>
    <row r="225" spans="2:27">
      <c r="B225" s="263"/>
      <c r="C225" s="741" t="str">
        <f>CHOOSE(jezyk,n!A1263,n!B1263,n!C1263,n!D1261)</f>
        <v>w walucie obcej.</v>
      </c>
      <c r="D225" s="741"/>
      <c r="E225" s="741"/>
      <c r="F225" s="741"/>
      <c r="G225" s="741"/>
      <c r="H225" s="741"/>
      <c r="I225" s="741"/>
      <c r="J225" s="741"/>
      <c r="K225" s="741"/>
      <c r="L225" s="741"/>
    </row>
    <row r="226" spans="2:27">
      <c r="B226" s="263"/>
    </row>
    <row r="227" spans="2:27">
      <c r="B227" s="263"/>
      <c r="C227" s="741" t="str">
        <f>IF(GA!F67="nie",CHOOSE(jezyk,n!A1264,n!B1264,n!C1264,n!D1262),CHOOSE(jezyk,n!A1265,n!B1265,n!C1265,n!D1265))</f>
        <v xml:space="preserve">Spółka minimalizuje ryzyko walutowe poprzez: </v>
      </c>
      <c r="D227" s="741"/>
      <c r="E227" s="741"/>
      <c r="F227" s="741"/>
      <c r="G227" s="741"/>
      <c r="H227" s="741"/>
      <c r="I227" s="741"/>
      <c r="J227" s="741"/>
      <c r="K227" s="741"/>
      <c r="L227" s="741"/>
    </row>
    <row r="228" spans="2:27">
      <c r="B228" s="263"/>
      <c r="C228" s="741" t="str">
        <f>CHOOSE(jezyk,n!A1266,n!B1266,n!C1266,n!D1263)</f>
        <v>- odpowiednie ukształtowanie struktury aktywów i pasywów wyrażonych w walutach obcych,</v>
      </c>
      <c r="D228" s="741"/>
      <c r="E228" s="741"/>
      <c r="F228" s="741"/>
      <c r="G228" s="741"/>
      <c r="H228" s="741"/>
      <c r="I228" s="741"/>
      <c r="J228" s="741"/>
      <c r="K228" s="741"/>
      <c r="L228" s="741"/>
      <c r="M228" s="214" t="s">
        <v>5987</v>
      </c>
    </row>
    <row r="229" spans="2:27">
      <c r="B229" s="263"/>
      <c r="C229" s="741" t="str">
        <f>CHOOSE(jezyk,n!A1267,n!B1267,n!C1267,n!D1264)</f>
        <v>- zawieranie kontraktów terminowych forward na zakup/sprzedaż waluty.</v>
      </c>
      <c r="D229" s="741"/>
      <c r="E229" s="741"/>
      <c r="F229" s="741"/>
      <c r="G229" s="741"/>
      <c r="H229" s="741"/>
      <c r="I229" s="741"/>
      <c r="J229" s="741"/>
      <c r="K229" s="741"/>
      <c r="L229" s="741"/>
    </row>
    <row r="230" spans="2:27">
      <c r="B230" s="263"/>
      <c r="R230" s="741"/>
      <c r="S230" s="741"/>
      <c r="T230" s="741"/>
      <c r="U230" s="741"/>
      <c r="V230" s="741"/>
      <c r="W230" s="741"/>
      <c r="X230" s="741"/>
      <c r="Y230" s="741"/>
      <c r="Z230" s="741"/>
      <c r="AA230" s="741"/>
    </row>
    <row r="231" spans="2:27">
      <c r="B231" s="263"/>
      <c r="C231" s="741" t="str">
        <f>CHOOSE(jezyk,n!A1268,n!B1268,n!C1268,n!D1266)</f>
        <v>Analiza wrażliwości istotnych pozycji wyrażonych w walutach obcych na zmiany kursów walut</v>
      </c>
      <c r="D231" s="741"/>
      <c r="E231" s="741"/>
      <c r="F231" s="741"/>
      <c r="G231" s="741"/>
      <c r="H231" s="741"/>
      <c r="I231" s="741"/>
      <c r="J231" s="741"/>
      <c r="K231" s="741"/>
      <c r="L231" s="741"/>
      <c r="R231" s="741"/>
      <c r="S231" s="741"/>
      <c r="T231" s="741"/>
      <c r="U231" s="741"/>
      <c r="V231" s="741"/>
      <c r="W231" s="741"/>
      <c r="X231" s="741"/>
      <c r="Y231" s="741"/>
      <c r="Z231" s="741"/>
      <c r="AA231" s="741"/>
    </row>
    <row r="232" spans="2:27">
      <c r="B232" s="263"/>
      <c r="R232" s="741"/>
      <c r="S232" s="741"/>
      <c r="T232" s="741"/>
      <c r="U232" s="741"/>
      <c r="V232" s="741"/>
      <c r="W232" s="741"/>
      <c r="X232" s="741"/>
      <c r="Y232" s="741"/>
      <c r="Z232" s="741"/>
      <c r="AA232" s="741"/>
    </row>
    <row r="233" spans="2:27">
      <c r="B233" s="263"/>
      <c r="C233" s="746" t="str">
        <f>CHOOSE(jezyk,n!A1269,n!B1269,n!C1269,n!D1267)</f>
        <v>Kurs bilansowy:</v>
      </c>
      <c r="D233" s="746"/>
      <c r="E233" s="746"/>
      <c r="F233" s="746"/>
      <c r="G233" s="746"/>
      <c r="H233" s="746"/>
      <c r="I233" s="746"/>
      <c r="J233" s="746"/>
      <c r="K233" s="746"/>
      <c r="L233" s="746"/>
      <c r="R233" s="394"/>
      <c r="S233" s="394"/>
      <c r="T233" s="394"/>
      <c r="U233" s="394"/>
      <c r="V233" s="394"/>
      <c r="W233" s="394"/>
      <c r="X233" s="394"/>
      <c r="Y233" s="394"/>
      <c r="Z233" s="394"/>
      <c r="AA233" s="394"/>
    </row>
    <row r="234" spans="2:27">
      <c r="B234" s="263"/>
      <c r="C234" s="395" t="s">
        <v>6466</v>
      </c>
      <c r="D234" s="1183">
        <f>GA!M52</f>
        <v>4.2729999999999997</v>
      </c>
      <c r="E234" s="1183"/>
      <c r="F234" s="395"/>
      <c r="G234" s="395"/>
      <c r="H234" s="395"/>
      <c r="I234" s="395"/>
      <c r="J234" s="395"/>
      <c r="K234" s="395"/>
      <c r="L234" s="395"/>
      <c r="M234" s="214" t="s">
        <v>6011</v>
      </c>
      <c r="R234" s="394"/>
      <c r="S234" s="394"/>
      <c r="T234" s="394"/>
      <c r="U234" s="394"/>
      <c r="V234" s="394"/>
      <c r="W234" s="394"/>
      <c r="X234" s="394"/>
      <c r="Y234" s="394"/>
      <c r="Z234" s="394"/>
      <c r="AA234" s="394"/>
    </row>
    <row r="235" spans="2:27">
      <c r="B235" s="263"/>
      <c r="C235" s="395" t="s">
        <v>6467</v>
      </c>
      <c r="D235" s="1183">
        <f>GA!M53</f>
        <v>4.1012000000000004</v>
      </c>
      <c r="E235" s="1183"/>
      <c r="F235" s="395"/>
      <c r="G235" s="395"/>
      <c r="H235" s="395"/>
      <c r="I235" s="395"/>
      <c r="J235" s="395"/>
      <c r="K235" s="395"/>
      <c r="L235" s="395"/>
      <c r="R235" s="394"/>
      <c r="S235" s="394"/>
      <c r="T235" s="394"/>
      <c r="U235" s="394"/>
      <c r="V235" s="394"/>
      <c r="W235" s="394"/>
      <c r="X235" s="394"/>
      <c r="Y235" s="394"/>
      <c r="Z235" s="394"/>
      <c r="AA235" s="394"/>
    </row>
    <row r="236" spans="2:27" hidden="1">
      <c r="B236" s="263"/>
      <c r="C236" s="395" t="s">
        <v>6468</v>
      </c>
      <c r="D236" s="1183">
        <f>GA!M54</f>
        <v>5.1487999999999996</v>
      </c>
      <c r="E236" s="1183"/>
      <c r="F236" s="395"/>
      <c r="G236" s="395"/>
      <c r="H236" s="395"/>
      <c r="I236" s="395"/>
      <c r="J236" s="395"/>
      <c r="K236" s="395"/>
      <c r="L236" s="395"/>
      <c r="R236" s="394"/>
      <c r="S236" s="394"/>
      <c r="T236" s="394"/>
      <c r="U236" s="394"/>
      <c r="V236" s="394"/>
      <c r="W236" s="394"/>
      <c r="X236" s="394"/>
      <c r="Y236" s="394"/>
      <c r="Z236" s="394"/>
      <c r="AA236" s="394"/>
    </row>
    <row r="237" spans="2:27">
      <c r="B237" s="263"/>
      <c r="C237" s="395"/>
      <c r="D237" s="395"/>
      <c r="E237" s="395"/>
      <c r="F237" s="395"/>
      <c r="G237" s="395"/>
      <c r="H237" s="395"/>
      <c r="I237" s="395"/>
      <c r="J237" s="395"/>
      <c r="K237" s="395"/>
      <c r="L237" s="395"/>
      <c r="R237" s="394"/>
      <c r="S237" s="394"/>
      <c r="T237" s="394"/>
      <c r="U237" s="394"/>
      <c r="V237" s="394"/>
      <c r="W237" s="394"/>
      <c r="X237" s="394"/>
      <c r="Y237" s="394"/>
      <c r="Z237" s="394"/>
      <c r="AA237" s="394"/>
    </row>
    <row r="238" spans="2:27" ht="27.75" customHeight="1">
      <c r="B238" s="263"/>
      <c r="C238" s="839" t="str">
        <f>CHOOSE(jezyk,n!A1271,n!B1271,n!C1271,n!D1269)</f>
        <v>Aktywa i zobowiązania finansowe</v>
      </c>
      <c r="D238" s="839"/>
      <c r="E238" s="839" t="str">
        <f>CHOOSE(jezyk,n!A1272,n!B1272,n!C1272,n!D1270)</f>
        <v>Wartość narażona na ryzyko</v>
      </c>
      <c r="F238" s="839"/>
      <c r="G238" s="839"/>
      <c r="H238" s="839" t="str">
        <f>CHOOSE(jezyk,n!A1273,n!B1273,n!C1273,n!D1271)</f>
        <v>Wartość bilansowa na 31.12.2024</v>
      </c>
      <c r="I238" s="839"/>
      <c r="J238" s="839" t="str">
        <f>CHOOSE(jezyk,n!A1274,n!B1274,n!C1274,n!D1272)</f>
        <v>Wpływ zmiany na wynik finansowy</v>
      </c>
      <c r="K238" s="839"/>
      <c r="L238" s="839"/>
      <c r="R238" s="741"/>
      <c r="S238" s="741"/>
      <c r="T238" s="741"/>
      <c r="U238" s="741"/>
      <c r="V238" s="741"/>
      <c r="W238" s="741"/>
      <c r="X238" s="741"/>
      <c r="Y238" s="741"/>
      <c r="Z238" s="741"/>
      <c r="AA238" s="741"/>
    </row>
    <row r="239" spans="2:27" ht="21" customHeight="1">
      <c r="B239" s="263"/>
      <c r="C239" s="839"/>
      <c r="D239" s="839"/>
      <c r="E239" s="1181" t="s">
        <v>6000</v>
      </c>
      <c r="F239" s="1181"/>
      <c r="G239" s="1181"/>
      <c r="H239" s="839" t="s">
        <v>35</v>
      </c>
      <c r="I239" s="839"/>
      <c r="J239" s="1182" t="str">
        <f>"- "&amp;TEXT(M239,"0%")</f>
        <v>- 5%</v>
      </c>
      <c r="K239" s="1181"/>
      <c r="L239" s="426" t="str">
        <f>"+ "&amp;TEXT(M239,"0%")</f>
        <v>+ 5%</v>
      </c>
      <c r="M239" s="271">
        <v>0.05</v>
      </c>
      <c r="N239" s="131" t="s">
        <v>6012</v>
      </c>
      <c r="R239" s="741"/>
      <c r="S239" s="741"/>
      <c r="T239" s="741"/>
      <c r="U239" s="741"/>
      <c r="V239" s="741"/>
      <c r="W239" s="741"/>
      <c r="X239" s="741"/>
      <c r="Y239" s="741"/>
      <c r="Z239" s="741"/>
      <c r="AA239" s="741"/>
    </row>
    <row r="240" spans="2:27" ht="28.5" customHeight="1">
      <c r="B240" s="263"/>
      <c r="C240" s="1136" t="str">
        <f>CHOOSE(jezyk,n!A1275,n!B1275,n!C1275,n!D1273)</f>
        <v>Należności od odbiorców</v>
      </c>
      <c r="D240" s="1136"/>
      <c r="E240" s="1181"/>
      <c r="F240" s="1181"/>
      <c r="G240" s="1181"/>
      <c r="H240" s="1181"/>
      <c r="I240" s="1181"/>
      <c r="J240" s="1182"/>
      <c r="K240" s="1181"/>
      <c r="L240" s="426"/>
      <c r="M240" s="214" t="s">
        <v>6002</v>
      </c>
      <c r="R240" s="741"/>
      <c r="S240" s="741"/>
      <c r="T240" s="741"/>
      <c r="U240" s="741"/>
      <c r="V240" s="741"/>
      <c r="W240" s="741"/>
      <c r="X240" s="741"/>
      <c r="Y240" s="741"/>
      <c r="Z240" s="741"/>
      <c r="AA240" s="741"/>
    </row>
    <row r="241" spans="1:27" ht="20.25" customHeight="1">
      <c r="B241" s="263"/>
      <c r="C241" s="1136" t="str">
        <f>CHOOSE(jezyk,n!A1276,n!B1276,n!C1276,n!D1274)</f>
        <v>Środki pieniężne</v>
      </c>
      <c r="D241" s="1136"/>
      <c r="E241" s="1181"/>
      <c r="F241" s="1181"/>
      <c r="G241" s="1181"/>
      <c r="H241" s="1181"/>
      <c r="I241" s="1181"/>
      <c r="J241" s="1182"/>
      <c r="K241" s="1181"/>
      <c r="L241" s="426"/>
      <c r="R241" s="741"/>
      <c r="S241" s="741"/>
      <c r="T241" s="741"/>
      <c r="U241" s="741"/>
      <c r="V241" s="741"/>
      <c r="W241" s="741"/>
      <c r="X241" s="741"/>
      <c r="Y241" s="741"/>
      <c r="Z241" s="741"/>
      <c r="AA241" s="741"/>
    </row>
    <row r="242" spans="1:27" ht="27" customHeight="1">
      <c r="B242" s="263"/>
      <c r="C242" s="1136" t="str">
        <f>CHOOSE(jezyk,n!A1277,n!B1277,n!C1277,n!D1275)</f>
        <v xml:space="preserve">Pożyczki udzielone  </v>
      </c>
      <c r="D242" s="1136"/>
      <c r="E242" s="1181"/>
      <c r="F242" s="1181"/>
      <c r="G242" s="1181"/>
      <c r="H242" s="1181"/>
      <c r="I242" s="1181"/>
      <c r="J242" s="1182"/>
      <c r="K242" s="1181"/>
      <c r="L242" s="426"/>
      <c r="R242" s="741"/>
      <c r="S242" s="741"/>
      <c r="T242" s="741"/>
      <c r="U242" s="741"/>
      <c r="V242" s="741"/>
      <c r="W242" s="741"/>
      <c r="X242" s="741"/>
      <c r="Y242" s="741"/>
      <c r="Z242" s="741"/>
      <c r="AA242" s="741"/>
    </row>
    <row r="243" spans="1:27" ht="27.6" customHeight="1">
      <c r="A243" s="72"/>
      <c r="B243" s="263"/>
      <c r="C243" s="1136" t="str">
        <f>CHOOSE(jezyk,n!A1278,n!B1278,n!C1278,n!D1276)</f>
        <v>Zobowiązania wobec dostawców</v>
      </c>
      <c r="D243" s="1136"/>
      <c r="E243" s="1181"/>
      <c r="F243" s="1181"/>
      <c r="G243" s="1181"/>
      <c r="H243" s="1181"/>
      <c r="I243" s="1181"/>
      <c r="J243" s="1182"/>
      <c r="K243" s="1181"/>
      <c r="L243" s="426"/>
      <c r="R243" s="741"/>
      <c r="S243" s="741"/>
      <c r="T243" s="741"/>
      <c r="U243" s="741"/>
      <c r="V243" s="741"/>
      <c r="W243" s="741"/>
      <c r="X243" s="741"/>
      <c r="Y243" s="741"/>
      <c r="Z243" s="741"/>
      <c r="AA243" s="741"/>
    </row>
    <row r="244" spans="1:27" ht="28.5" customHeight="1">
      <c r="B244" s="263"/>
      <c r="C244" s="1136" t="str">
        <f>CHOOSE(jezyk,n!A1279,n!B1279,n!C1279,n!D1277)</f>
        <v>Zobowiązania leasingowe</v>
      </c>
      <c r="D244" s="1136"/>
      <c r="E244" s="1181"/>
      <c r="F244" s="1181"/>
      <c r="G244" s="1181"/>
      <c r="H244" s="1181"/>
      <c r="I244" s="1181"/>
      <c r="J244" s="1182"/>
      <c r="K244" s="1181"/>
      <c r="L244" s="426"/>
      <c r="R244" s="394"/>
      <c r="S244" s="394"/>
      <c r="T244" s="394"/>
      <c r="U244" s="394"/>
      <c r="V244" s="394"/>
      <c r="W244" s="394"/>
      <c r="X244" s="394"/>
      <c r="Y244" s="394"/>
      <c r="Z244" s="394"/>
      <c r="AA244" s="394"/>
    </row>
    <row r="245" spans="1:27" ht="42" customHeight="1">
      <c r="B245" s="263"/>
      <c r="C245" s="1136" t="str">
        <f>CHOOSE(jezyk,n!A1280,n!B1280,n!C1280,n!D1278)</f>
        <v>Zobowiązania z tytułu pożyczek grupowych</v>
      </c>
      <c r="D245" s="1136"/>
      <c r="E245" s="1220">
        <v>150000</v>
      </c>
      <c r="F245" s="1220"/>
      <c r="G245" s="1220"/>
      <c r="H245" s="1220">
        <v>637573</v>
      </c>
      <c r="I245" s="1220"/>
      <c r="J245" s="1182"/>
      <c r="K245" s="1181"/>
      <c r="L245" s="426"/>
      <c r="R245" s="394"/>
      <c r="S245" s="394"/>
      <c r="T245" s="394"/>
      <c r="U245" s="394"/>
      <c r="V245" s="394"/>
      <c r="W245" s="394"/>
      <c r="X245" s="394"/>
      <c r="Y245" s="394"/>
      <c r="Z245" s="394"/>
      <c r="AA245" s="394"/>
    </row>
    <row r="246" spans="1:27" ht="40.5" customHeight="1">
      <c r="B246" s="263"/>
      <c r="C246" s="1136" t="str">
        <f>CHOOSE(jezyk,n!A1281,n!B1281,n!C1281,n!D1279)</f>
        <v>Zobowiązania z tytułu kredytów bankowych</v>
      </c>
      <c r="D246" s="1136"/>
      <c r="E246" s="1181"/>
      <c r="F246" s="1181"/>
      <c r="G246" s="1181"/>
      <c r="H246" s="1181"/>
      <c r="I246" s="1181"/>
      <c r="J246" s="1182"/>
      <c r="K246" s="1181"/>
      <c r="L246" s="426"/>
      <c r="R246" s="394"/>
      <c r="S246" s="394"/>
      <c r="T246" s="394"/>
      <c r="U246" s="394"/>
      <c r="V246" s="394"/>
      <c r="W246" s="394"/>
      <c r="X246" s="394"/>
      <c r="Y246" s="394"/>
      <c r="Z246" s="394"/>
      <c r="AA246" s="394"/>
    </row>
    <row r="247" spans="1:27">
      <c r="B247" s="263"/>
      <c r="C247" s="1180"/>
      <c r="D247" s="1180"/>
      <c r="E247" s="395"/>
      <c r="F247" s="395"/>
      <c r="G247" s="395"/>
      <c r="H247" s="395"/>
      <c r="I247" s="395"/>
      <c r="J247" s="395"/>
      <c r="K247" s="395"/>
      <c r="L247" s="395"/>
      <c r="R247" s="394"/>
      <c r="S247" s="394"/>
      <c r="T247" s="394"/>
      <c r="U247" s="394"/>
      <c r="V247" s="394"/>
      <c r="W247" s="394"/>
      <c r="X247" s="394"/>
      <c r="Y247" s="394"/>
      <c r="Z247" s="394"/>
      <c r="AA247" s="394"/>
    </row>
    <row r="248" spans="1:27">
      <c r="C248" s="744" t="str">
        <f>CHOOSE(jezyk,n!A1282,n!B1282,n!C1282,n!D1280)</f>
        <v>Ryzyko stopy procentowej</v>
      </c>
      <c r="D248" s="744"/>
      <c r="E248" s="744"/>
      <c r="F248" s="744"/>
      <c r="G248" s="744"/>
      <c r="H248" s="744"/>
      <c r="I248" s="744"/>
      <c r="J248" s="744"/>
      <c r="K248" s="744"/>
      <c r="L248" s="744"/>
    </row>
    <row r="249" spans="1:27">
      <c r="B249" s="263"/>
    </row>
    <row r="250" spans="1:27" ht="12.75" hidden="1" customHeight="1">
      <c r="A250" s="72"/>
      <c r="B250" s="263"/>
      <c r="C250" s="1172" t="s">
        <v>5550</v>
      </c>
      <c r="D250" s="1172"/>
      <c r="E250" s="1172"/>
      <c r="F250" s="1172"/>
      <c r="G250" s="1172"/>
      <c r="H250" s="1172"/>
      <c r="I250" s="1172"/>
      <c r="J250" s="1172"/>
      <c r="K250" s="1172"/>
      <c r="L250" s="1172"/>
    </row>
    <row r="251" spans="1:27" hidden="1">
      <c r="B251" s="263"/>
      <c r="C251" s="1184"/>
      <c r="D251" s="1184"/>
      <c r="E251" s="1184"/>
      <c r="F251" s="1184"/>
      <c r="G251" s="1184"/>
      <c r="H251" s="1184"/>
      <c r="I251" s="1184"/>
      <c r="J251" s="1184"/>
      <c r="K251" s="1184"/>
      <c r="L251" s="1184"/>
    </row>
    <row r="252" spans="1:27">
      <c r="B252" s="263"/>
      <c r="C252" s="741" t="str">
        <f>IF(GA!F67="nie",CHOOSE(jezyk,n!A1283,n!B1283,n!C1283,n!D1281),CHOOSE(jezyk,n!A1284,n!B1284,n!C1284,n!D1284))</f>
        <v>Na ryzyko stóp procentowych Spółka narażona jest w związku z:</v>
      </c>
      <c r="D252" s="741"/>
      <c r="E252" s="741"/>
      <c r="F252" s="741"/>
      <c r="G252" s="741"/>
      <c r="H252" s="741"/>
      <c r="I252" s="741"/>
      <c r="J252" s="741"/>
      <c r="K252" s="741"/>
      <c r="L252" s="741"/>
    </row>
    <row r="253" spans="1:27">
      <c r="B253" s="263"/>
      <c r="C253" s="741" t="str">
        <f>CHOOSE(jezyk,n!A1285,n!B1285,n!C1285,n!D1282)</f>
        <v>- udzielonymi pożyczkami</v>
      </c>
      <c r="D253" s="741"/>
      <c r="E253" s="741"/>
      <c r="F253" s="741"/>
      <c r="G253" s="741"/>
      <c r="H253" s="741"/>
      <c r="I253" s="741"/>
      <c r="J253" s="741"/>
      <c r="K253" s="741"/>
      <c r="L253" s="741"/>
      <c r="M253" s="214" t="s">
        <v>6011</v>
      </c>
    </row>
    <row r="254" spans="1:27">
      <c r="B254" s="263"/>
      <c r="C254" s="741" t="str">
        <f>CHOOSE(jezyk,n!A1286,n!B1286,n!C1286,n!D1283)</f>
        <v>- lokowaniem wolnych środków pieniężnych na lokatach o zmiennym oprocentowaniu</v>
      </c>
      <c r="D254" s="741"/>
      <c r="E254" s="741"/>
      <c r="F254" s="741"/>
      <c r="G254" s="741"/>
      <c r="H254" s="741"/>
      <c r="I254" s="741"/>
      <c r="J254" s="741"/>
      <c r="K254" s="741"/>
      <c r="L254" s="741"/>
    </row>
    <row r="255" spans="1:27">
      <c r="B255" s="263"/>
      <c r="C255" s="741" t="str">
        <f>CHOOSE(jezyk,n!A1287,n!B1287,n!C1287,n!D1285)</f>
        <v xml:space="preserve">- uczestnictwem w systemie cash pool </v>
      </c>
      <c r="D255" s="741"/>
      <c r="E255" s="741"/>
      <c r="F255" s="741"/>
      <c r="G255" s="741"/>
      <c r="H255" s="741"/>
      <c r="I255" s="741"/>
      <c r="J255" s="741"/>
      <c r="K255" s="741"/>
      <c r="L255" s="741"/>
    </row>
    <row r="256" spans="1:27">
      <c r="B256" s="263"/>
      <c r="C256" s="741" t="str">
        <f>CHOOSE(jezyk,n!A1288,n!B1288,n!C1288,n!D1286)</f>
        <v>- korzystaniem z zewnętrznych źródeł finansowania o zmiennym oprocentowaniu.</v>
      </c>
      <c r="D256" s="741"/>
      <c r="E256" s="741"/>
      <c r="F256" s="741"/>
      <c r="G256" s="741"/>
      <c r="H256" s="741"/>
      <c r="I256" s="741"/>
      <c r="J256" s="741"/>
      <c r="K256" s="741"/>
      <c r="L256" s="741"/>
    </row>
    <row r="257" spans="1:13">
      <c r="B257" s="263"/>
    </row>
    <row r="258" spans="1:13" ht="39" customHeight="1">
      <c r="B258" s="263"/>
      <c r="C258" s="741" t="str">
        <f>IF(GA!F67="nie",CHOOSE(jezyk,n!A1289,n!B1289,n!C1289,n!D1287),CHOOSE(jezyk,n!A1290,n!B1290,n!C1290,n!D1290))</f>
        <v xml:space="preserve">Pozycje oprocentowane według zmiennej stopy narażają Spółkę na ryzyko zmiany przepływów pieniężnych w wyniku zmiany stóp procentowych i w związku z tym wpływają na wysokość kosztów lub przychodów odsetkowych ujmowanych w wyniku finansowym. </v>
      </c>
      <c r="D258" s="741"/>
      <c r="E258" s="741"/>
      <c r="F258" s="741"/>
      <c r="G258" s="741"/>
      <c r="H258" s="741"/>
      <c r="I258" s="741"/>
      <c r="J258" s="741"/>
      <c r="K258" s="741"/>
      <c r="L258" s="741"/>
    </row>
    <row r="259" spans="1:13">
      <c r="B259" s="263"/>
      <c r="C259" s="395"/>
      <c r="D259" s="395"/>
      <c r="E259" s="395"/>
      <c r="F259" s="395"/>
      <c r="G259" s="395"/>
      <c r="H259" s="395"/>
      <c r="I259" s="395"/>
      <c r="J259" s="395"/>
      <c r="K259" s="395"/>
      <c r="L259" s="395"/>
    </row>
    <row r="260" spans="1:13" ht="27" customHeight="1">
      <c r="B260" s="263"/>
      <c r="C260" s="741" t="str">
        <f>IF(GA!F67="nie",CHOOSE(jezyk,n!A1291,n!B1291,n!C1291,n!D1288),CHOOSE(jezyk,n!A1292,n!B1292,n!C1292,n!D1292))</f>
        <v>Spółka minimalizuje ryzyko stopy procentowej poprzez odpowiednie ukształtowanie struktury aktywów i pasywów o zmiennej i stałej stopie procentowej.</v>
      </c>
      <c r="D260" s="741"/>
      <c r="E260" s="741"/>
      <c r="F260" s="741"/>
      <c r="G260" s="741"/>
      <c r="H260" s="741"/>
      <c r="I260" s="741"/>
      <c r="J260" s="741"/>
      <c r="K260" s="741"/>
      <c r="L260" s="741"/>
    </row>
    <row r="261" spans="1:13">
      <c r="B261" s="263"/>
      <c r="C261" s="395"/>
      <c r="D261" s="395"/>
      <c r="E261" s="395"/>
      <c r="F261" s="395"/>
      <c r="G261" s="395"/>
      <c r="H261" s="395"/>
      <c r="I261" s="395"/>
      <c r="J261" s="395"/>
      <c r="K261" s="395"/>
      <c r="L261" s="395"/>
    </row>
    <row r="262" spans="1:13" ht="27" customHeight="1">
      <c r="B262" s="263"/>
      <c r="C262" s="741" t="str">
        <f>IF(GA!H16=2,CHOOSE(jezyk,n!A1294,n!B1294,n!C1294,n!D1291),CHOOSE(jezyk,n!A1293,n!B1293,n!C1293,n!D1289))</f>
        <v>W ocenie Zarządu poziom i wahania stóp procentowych nie powodował konieczności stosowania instrumentów zabezpieczających ryzyka stopy procentowej.</v>
      </c>
      <c r="D262" s="741"/>
      <c r="E262" s="741"/>
      <c r="F262" s="741"/>
      <c r="G262" s="741"/>
      <c r="H262" s="741"/>
      <c r="I262" s="741"/>
      <c r="J262" s="741"/>
      <c r="K262" s="741"/>
      <c r="L262" s="741"/>
    </row>
    <row r="263" spans="1:13">
      <c r="B263" s="263"/>
      <c r="C263" s="395"/>
      <c r="D263" s="395"/>
      <c r="E263" s="395"/>
      <c r="F263" s="395"/>
      <c r="G263" s="395"/>
      <c r="H263" s="395"/>
      <c r="I263" s="395"/>
      <c r="J263" s="395"/>
      <c r="K263" s="395"/>
      <c r="L263" s="395"/>
    </row>
    <row r="264" spans="1:13">
      <c r="C264" s="744" t="str">
        <f>CHOOSE(jezyk,n!A1295,n!B1295,n!C1295,n!D1293)</f>
        <v>Ryzyko kredytowe</v>
      </c>
      <c r="D264" s="744"/>
      <c r="E264" s="744"/>
      <c r="F264" s="744"/>
      <c r="G264" s="744"/>
      <c r="H264" s="744"/>
      <c r="I264" s="744"/>
      <c r="J264" s="744"/>
      <c r="K264" s="744"/>
      <c r="L264" s="744"/>
    </row>
    <row r="265" spans="1:13">
      <c r="B265" s="263"/>
    </row>
    <row r="266" spans="1:13" ht="12.75" hidden="1" customHeight="1">
      <c r="A266" s="72"/>
      <c r="B266" s="263"/>
      <c r="C266" s="1172" t="s">
        <v>5550</v>
      </c>
      <c r="D266" s="1172"/>
      <c r="E266" s="1172"/>
      <c r="F266" s="1172"/>
      <c r="G266" s="1172"/>
      <c r="H266" s="1172"/>
      <c r="I266" s="1172"/>
      <c r="J266" s="1172"/>
      <c r="K266" s="1172"/>
      <c r="L266" s="1172"/>
    </row>
    <row r="267" spans="1:13" hidden="1">
      <c r="B267" s="263"/>
      <c r="C267" s="395"/>
      <c r="D267" s="395"/>
      <c r="E267" s="395"/>
      <c r="F267" s="395"/>
      <c r="G267" s="395"/>
      <c r="H267" s="395"/>
      <c r="I267" s="395"/>
      <c r="J267" s="395"/>
      <c r="K267" s="395"/>
      <c r="L267" s="395"/>
    </row>
    <row r="268" spans="1:13" ht="25.35" customHeight="1">
      <c r="B268" s="263"/>
      <c r="C268" s="741" t="str">
        <f>IF(GA!F67="tak",CHOOSE(jezyk,n!A1297,n!B1297,n!C1297,n!D1297),IF(GA!H16=2,CHOOSE(jezyk,n!A1298,n!B1298,n!C1298,n!D1295),CHOOSE(jezyk,n!A1296,n!B1296,n!C1296,n!D1294)))</f>
        <v>Spółka narażona jest na ryzyko kredytowe w związku z ewentualną niewypłacalnością swoich dłużników. Zarząd ogranicza to ryzyko poprzez:</v>
      </c>
      <c r="D268" s="741"/>
      <c r="E268" s="741"/>
      <c r="F268" s="741"/>
      <c r="G268" s="741"/>
      <c r="H268" s="741"/>
      <c r="I268" s="741"/>
      <c r="J268" s="741"/>
      <c r="K268" s="741"/>
      <c r="L268" s="741"/>
    </row>
    <row r="269" spans="1:13">
      <c r="B269" s="263"/>
      <c r="C269" s="741" t="str">
        <f>CHOOSE(jezyk,n!A1300,n!B1300,n!C1300,n!D1296)</f>
        <v>- utrzymywanie odpowiedniej struktury portfela wierzytelności</v>
      </c>
      <c r="D269" s="741"/>
      <c r="E269" s="741"/>
      <c r="F269" s="741"/>
      <c r="G269" s="741"/>
      <c r="H269" s="741"/>
      <c r="I269" s="741"/>
      <c r="J269" s="741"/>
      <c r="K269" s="741"/>
      <c r="L269" s="741"/>
      <c r="M269" s="214" t="s">
        <v>6011</v>
      </c>
    </row>
    <row r="270" spans="1:13">
      <c r="B270" s="263"/>
      <c r="C270" s="741" t="str">
        <f>CHOOSE(jezyk,n!A1301,n!B1301,n!C1301,n!D1298)</f>
        <v>- monitorowanie kondycji finansowej kontrahentów</v>
      </c>
      <c r="D270" s="741"/>
      <c r="E270" s="741"/>
      <c r="F270" s="741"/>
      <c r="G270" s="741"/>
      <c r="H270" s="741"/>
      <c r="I270" s="741"/>
      <c r="J270" s="741"/>
      <c r="K270" s="741"/>
      <c r="L270" s="741"/>
    </row>
    <row r="271" spans="1:13">
      <c r="B271" s="263"/>
      <c r="C271" s="741" t="str">
        <f>CHOOSE(jezyk,n!A1302,n!B1302,n!C1302,n!D1300)</f>
        <v>- zarządzanie limitami kredytowymi i terminami płatności</v>
      </c>
      <c r="D271" s="741"/>
      <c r="E271" s="741"/>
      <c r="F271" s="741"/>
      <c r="G271" s="741"/>
      <c r="H271" s="741"/>
      <c r="I271" s="741"/>
      <c r="J271" s="741"/>
      <c r="K271" s="741"/>
      <c r="L271" s="741"/>
    </row>
    <row r="272" spans="1:13" ht="15" hidden="1" customHeight="1">
      <c r="B272" s="263"/>
      <c r="C272" s="741" t="str">
        <f>CHOOSE(jezyk,n!A1303,n!B1303,n!C1303,n!D1301)</f>
        <v>- ubezpieczanie należności handlowych.</v>
      </c>
      <c r="D272" s="741"/>
      <c r="E272" s="741"/>
      <c r="F272" s="741"/>
      <c r="G272" s="741"/>
      <c r="H272" s="741"/>
      <c r="I272" s="741"/>
      <c r="J272" s="741"/>
      <c r="K272" s="741"/>
      <c r="L272" s="741"/>
    </row>
    <row r="273" spans="1:13">
      <c r="B273" s="263"/>
    </row>
    <row r="274" spans="1:13">
      <c r="B274" s="263"/>
      <c r="C274" s="744" t="str">
        <f>CHOOSE(jezyk,n!A1304,n!B1304,n!C1304,n!D1302)</f>
        <v>Ryzyko płynności</v>
      </c>
      <c r="D274" s="744"/>
      <c r="E274" s="744"/>
      <c r="F274" s="744"/>
      <c r="G274" s="744"/>
      <c r="H274" s="744"/>
      <c r="I274" s="744"/>
      <c r="J274" s="744"/>
      <c r="K274" s="744"/>
      <c r="L274" s="744"/>
    </row>
    <row r="275" spans="1:13">
      <c r="B275" s="263"/>
    </row>
    <row r="276" spans="1:13" ht="12.75" hidden="1" customHeight="1">
      <c r="A276" s="72"/>
      <c r="B276" s="263"/>
      <c r="C276" s="1172" t="s">
        <v>5550</v>
      </c>
      <c r="D276" s="1172"/>
      <c r="E276" s="1172"/>
      <c r="F276" s="1172"/>
      <c r="G276" s="1172"/>
      <c r="H276" s="1172"/>
      <c r="I276" s="1172"/>
      <c r="J276" s="1172"/>
      <c r="K276" s="1172"/>
      <c r="L276" s="1172"/>
    </row>
    <row r="277" spans="1:13" hidden="1">
      <c r="B277" s="263"/>
      <c r="C277" s="395"/>
      <c r="D277" s="395"/>
      <c r="E277" s="395"/>
      <c r="F277" s="395"/>
      <c r="G277" s="395"/>
      <c r="H277" s="395"/>
      <c r="I277" s="395"/>
      <c r="J277" s="395"/>
      <c r="K277" s="395"/>
      <c r="L277" s="395"/>
    </row>
    <row r="278" spans="1:13" ht="27" customHeight="1">
      <c r="A278" s="72"/>
      <c r="B278" s="263"/>
      <c r="C278" s="741" t="str">
        <f>CHOOSE(jezyk,n!A1305,n!B1305,n!C1305,n!D1303)</f>
        <v xml:space="preserve">Zarządzanie płynnością polega na planowaniu oraz monitorowaniu przepływów pieniężnych, w celu zapewniania Spółce możliwości regulowania wymagalnych zobowiązań, zarówno w normalnej jak i kryzysowej sytuacji. </v>
      </c>
      <c r="D278" s="741"/>
      <c r="E278" s="741"/>
      <c r="F278" s="741"/>
      <c r="G278" s="741"/>
      <c r="H278" s="741"/>
      <c r="I278" s="741"/>
      <c r="J278" s="741"/>
      <c r="K278" s="741"/>
      <c r="L278" s="741"/>
    </row>
    <row r="279" spans="1:13">
      <c r="B279" s="263"/>
      <c r="C279" s="395"/>
      <c r="D279" s="395"/>
      <c r="E279" s="395"/>
      <c r="F279" s="395"/>
      <c r="G279" s="395"/>
      <c r="H279" s="395"/>
      <c r="I279" s="395"/>
      <c r="J279" s="395"/>
      <c r="K279" s="395"/>
      <c r="L279" s="395"/>
    </row>
    <row r="280" spans="1:13">
      <c r="B280" s="263"/>
      <c r="C280" s="741" t="str">
        <f>IF(GA!H16=2,CHOOSE(jezyk,n!A1307,n!B1307,n!C1307,n!D1305),CHOOSE(jezyk,n!A1306,n!B1306,n!C1306,n!D1304))</f>
        <v>Zarząd korzysta z następujących instrumentów zarządzania płynnością:</v>
      </c>
      <c r="D280" s="741"/>
      <c r="E280" s="741"/>
      <c r="F280" s="741"/>
      <c r="G280" s="741"/>
      <c r="H280" s="741"/>
      <c r="I280" s="741"/>
      <c r="J280" s="741"/>
      <c r="K280" s="741"/>
      <c r="L280" s="741"/>
      <c r="M280" s="214" t="s">
        <v>6011</v>
      </c>
    </row>
    <row r="281" spans="1:13" ht="26.25" customHeight="1">
      <c r="A281" s="72"/>
      <c r="B281" s="263"/>
      <c r="C281" s="741" t="str">
        <f>CHOOSE(jezyk,n!A1308,n!B1308,n!C1308,n!D1306)</f>
        <v>- utrzymywanie płynnych środków pieniężnych w wysokości umożliwiającej regulowanie oczekiwanych wydatków operacyjnych</v>
      </c>
      <c r="D281" s="741"/>
      <c r="E281" s="741"/>
      <c r="F281" s="741"/>
      <c r="G281" s="741"/>
      <c r="H281" s="741"/>
      <c r="I281" s="741"/>
      <c r="J281" s="741"/>
      <c r="K281" s="741"/>
      <c r="L281" s="741"/>
      <c r="M281" s="214"/>
    </row>
    <row r="282" spans="1:13">
      <c r="B282" s="263"/>
      <c r="C282" s="741" t="str">
        <f>CHOOSE(jezyk,n!A1309,n!B1309,n!C1309,n!D1307)</f>
        <v>- utrzymywanie linii kredytowej w banku</v>
      </c>
      <c r="D282" s="741"/>
      <c r="E282" s="741"/>
      <c r="F282" s="741"/>
      <c r="G282" s="741"/>
      <c r="H282" s="741"/>
      <c r="I282" s="741"/>
      <c r="J282" s="741"/>
      <c r="K282" s="741"/>
      <c r="L282" s="741"/>
      <c r="M282" s="214"/>
    </row>
    <row r="283" spans="1:13">
      <c r="B283" s="263"/>
      <c r="C283" s="741" t="str">
        <f>CHOOSE(jezyk,n!A1310,n!B1310,n!C1310,n!D1308)</f>
        <v>- planowanie przepływów finansowych, ustalanie i aktualizacja budżetów wydatków inwestycyjnych</v>
      </c>
      <c r="D283" s="741"/>
      <c r="E283" s="741"/>
      <c r="F283" s="741"/>
      <c r="G283" s="741"/>
      <c r="H283" s="741"/>
      <c r="I283" s="741"/>
      <c r="J283" s="741"/>
      <c r="K283" s="741"/>
      <c r="L283" s="741"/>
      <c r="M283" s="214"/>
    </row>
    <row r="284" spans="1:13">
      <c r="C284" s="741" t="str">
        <f>CHOOSE(jezyk,n!A1311,n!B1311,n!C1311,n!D1309)</f>
        <v>- korzystanie z systemu „cash pool” w ramach Grupy Kapitałowej.</v>
      </c>
      <c r="D284" s="741"/>
      <c r="E284" s="741"/>
      <c r="F284" s="741"/>
      <c r="G284" s="741"/>
      <c r="H284" s="741"/>
      <c r="I284" s="741"/>
      <c r="J284" s="741"/>
      <c r="K284" s="741"/>
      <c r="L284" s="741"/>
    </row>
    <row r="285" spans="1:13" ht="5.25" hidden="1" customHeight="1">
      <c r="B285" s="769"/>
      <c r="C285" s="769"/>
      <c r="D285" s="769"/>
      <c r="E285" s="769"/>
      <c r="F285" s="769"/>
      <c r="G285" s="769"/>
      <c r="H285" s="769"/>
      <c r="I285" s="769"/>
      <c r="J285" s="769"/>
      <c r="K285" s="769"/>
      <c r="L285" s="769"/>
    </row>
    <row r="286" spans="1:13" ht="10.5" hidden="1" customHeight="1">
      <c r="B286" s="769"/>
      <c r="C286" s="769"/>
      <c r="D286" s="769"/>
      <c r="E286" s="769"/>
      <c r="F286" s="769"/>
      <c r="G286" s="769"/>
      <c r="H286" s="769"/>
      <c r="I286" s="769"/>
      <c r="J286" s="769"/>
      <c r="K286" s="769"/>
      <c r="L286" s="769"/>
    </row>
    <row r="287" spans="1:13" ht="28.5" customHeight="1">
      <c r="B287" s="800" t="str">
        <f>"11. "&amp;CHOOSE(jezyk,n!A613,n!B613,n!C613,n!D611)</f>
        <v>11. DODATKOWE INFORMACJE I OBJAŚNIENIA</v>
      </c>
      <c r="C287" s="1083"/>
      <c r="D287" s="1083"/>
      <c r="E287" s="1083"/>
      <c r="F287" s="1083"/>
      <c r="G287" s="1083"/>
      <c r="H287" s="1083"/>
      <c r="I287" s="1083"/>
      <c r="J287" s="1083"/>
      <c r="K287" s="1083"/>
      <c r="L287" s="1083"/>
    </row>
    <row r="289" spans="1:25" ht="9.75" customHeight="1"/>
    <row r="290" spans="1:25" ht="28.5" customHeight="1">
      <c r="B290" s="111" t="s">
        <v>2471</v>
      </c>
      <c r="C290" s="762" t="str">
        <f>CHOOSE(jezyk,n!A1159,n!B1159,n!C1159,n!D1156)</f>
        <v>Inne informacje niż wymienione w pozostałych notach, które mogłyby w istotny sposób wpłynąć na ocenę sytuacji majątkowej, finansowej oraz wynik finansowy jednostki</v>
      </c>
      <c r="D290" s="762"/>
      <c r="E290" s="762"/>
      <c r="F290" s="762"/>
      <c r="G290" s="762"/>
      <c r="H290" s="762"/>
      <c r="I290" s="762"/>
      <c r="J290" s="762"/>
      <c r="K290" s="762"/>
      <c r="L290" s="762"/>
    </row>
    <row r="292" spans="1:25">
      <c r="C292" s="745" t="str">
        <f>CHOOSE(jezyk,n!A1131,n!B1131,n!C1131,n!D1129)</f>
        <v>Nie dotyczy</v>
      </c>
      <c r="D292" s="745"/>
      <c r="E292" s="745"/>
      <c r="F292" s="745"/>
      <c r="G292" s="745"/>
      <c r="H292" s="745"/>
      <c r="I292" s="745"/>
      <c r="J292" s="745"/>
      <c r="K292" s="745"/>
      <c r="L292" s="745"/>
      <c r="M292" s="82" t="s">
        <v>6085</v>
      </c>
    </row>
    <row r="294" spans="1:25">
      <c r="B294" s="272" t="s">
        <v>6081</v>
      </c>
      <c r="C294" s="1169" t="str">
        <f>CHOOSE(jezyk,n!A1781,n!B1781,n!C1781)</f>
        <v>Wpływ konfliktu we wschodniej Europie na sytuację finansową Spółki</v>
      </c>
      <c r="D294" s="1169"/>
      <c r="E294" s="1169"/>
      <c r="F294" s="1169"/>
      <c r="G294" s="1169"/>
      <c r="H294" s="1169"/>
      <c r="I294" s="1169"/>
      <c r="J294" s="1169"/>
      <c r="K294" s="1169"/>
      <c r="L294" s="1169"/>
    </row>
    <row r="296" spans="1:25" ht="25.5" hidden="1" customHeight="1">
      <c r="A296" s="72"/>
      <c r="C296" s="746" t="str">
        <f>IF(GA!H16=2,CHOOSE(jezyk,n!A1313,n!B1313,n!C1313,n!D1311),CHOOSE(jezyk,n!A1312,n!B1312,n!C1312,n!D1310))</f>
        <v>Zarząd zidentyfikował następujące ryzyka i negatywne konsekwencje dla spółki  w związku z aktualną sytuacją gospodarczą wywołaną konfliktem na wschodzie Europy:</v>
      </c>
      <c r="D296" s="746"/>
      <c r="E296" s="746"/>
      <c r="F296" s="746"/>
      <c r="G296" s="746"/>
      <c r="H296" s="746"/>
      <c r="I296" s="746"/>
      <c r="J296" s="746"/>
      <c r="K296" s="746"/>
      <c r="L296" s="746"/>
    </row>
    <row r="297" spans="1:25" ht="12.75" hidden="1" customHeight="1">
      <c r="B297" s="88" t="s">
        <v>533</v>
      </c>
      <c r="C297" s="747" t="str">
        <f>CHOOSE(jezyk,n!A1314,n!B1314,n!C1314,n!D1312)</f>
        <v>spadek przychodów ze sprzedaży na poziomie:</v>
      </c>
      <c r="D297" s="747"/>
      <c r="E297" s="747"/>
      <c r="F297" s="747"/>
      <c r="G297" s="747"/>
      <c r="H297" s="747"/>
      <c r="I297" s="273"/>
      <c r="J297" s="103"/>
      <c r="K297" s="103"/>
      <c r="L297" s="103"/>
      <c r="M297" s="214" t="s">
        <v>6552</v>
      </c>
    </row>
    <row r="298" spans="1:25" ht="24.75" hidden="1" customHeight="1">
      <c r="A298" s="72"/>
      <c r="B298" s="88" t="s">
        <v>533</v>
      </c>
      <c r="C298" s="741" t="str">
        <f>CHOOSE(jezyk,n!A1315,n!B1315,n!C1315,n!D1313)</f>
        <v>ograniczenie rynku zbytu (wschodnia Europa) oraz zmiany nastroju i preferencji aktualnych kontrahentów i konsumentów</v>
      </c>
      <c r="D298" s="741"/>
      <c r="E298" s="741"/>
      <c r="F298" s="741"/>
      <c r="G298" s="741"/>
      <c r="H298" s="741"/>
      <c r="I298" s="741"/>
      <c r="J298" s="741"/>
      <c r="K298" s="741"/>
      <c r="L298" s="741"/>
    </row>
    <row r="299" spans="1:25" ht="26.25" hidden="1" customHeight="1">
      <c r="A299" s="72"/>
      <c r="B299" s="88" t="s">
        <v>533</v>
      </c>
      <c r="C299" s="741" t="str">
        <f>CHOOSE(jezyk,n!A1316,n!B1316,n!C1316,n!D1314)</f>
        <v>wzrost kosztów działalności operacyjnej wynikający bezpośrednio z istotnego wzrostu poziomu inflacji, w tym w szczególności cen energii</v>
      </c>
      <c r="D299" s="741"/>
      <c r="E299" s="741"/>
      <c r="F299" s="741"/>
      <c r="G299" s="741"/>
      <c r="H299" s="741"/>
      <c r="I299" s="741"/>
      <c r="J299" s="741"/>
      <c r="K299" s="741"/>
      <c r="L299" s="741"/>
    </row>
    <row r="300" spans="1:25" ht="26.25" hidden="1" customHeight="1">
      <c r="A300" s="72"/>
      <c r="B300" s="88" t="s">
        <v>533</v>
      </c>
      <c r="C300" s="741" t="str">
        <f>CHOOSE(jezyk,n!A1317,n!B1317,n!C1317,n!D1315)</f>
        <v>osłabienie polskiej waluty oraz wahania kursów walut spowodowały wzrost innych kosztów finansowych (zrealizowanych ujemnych różnic kursowych oraz różnic kursowych z wyceny bilansowej)</v>
      </c>
      <c r="D300" s="741"/>
      <c r="E300" s="741"/>
      <c r="F300" s="741"/>
      <c r="G300" s="741"/>
      <c r="H300" s="741"/>
      <c r="I300" s="741"/>
      <c r="J300" s="741"/>
      <c r="K300" s="741"/>
      <c r="L300" s="741"/>
      <c r="P300" s="746"/>
      <c r="Q300" s="746"/>
      <c r="R300" s="746"/>
      <c r="S300" s="746"/>
      <c r="T300" s="746"/>
      <c r="U300" s="746"/>
      <c r="V300" s="746"/>
      <c r="W300" s="746"/>
      <c r="X300" s="746"/>
      <c r="Y300" s="746"/>
    </row>
    <row r="301" spans="1:25" ht="26.25" hidden="1" customHeight="1">
      <c r="A301" s="72"/>
      <c r="B301" s="88" t="s">
        <v>533</v>
      </c>
      <c r="C301" s="741" t="str">
        <f>CHOOSE(jezyk,n!A1318,n!B1318,n!C1318,n!D1316)</f>
        <v>wzrost stóp procentowych miał bezpośredni wpływ na wzrost kosztów finansowania działalności spółki (naliczonych i zapłaconych odsetek od zaciągniętych kredytów)</v>
      </c>
      <c r="D301" s="741"/>
      <c r="E301" s="741"/>
      <c r="F301" s="741"/>
      <c r="G301" s="741"/>
      <c r="H301" s="741"/>
      <c r="I301" s="741"/>
      <c r="J301" s="741"/>
      <c r="K301" s="741"/>
      <c r="L301" s="741"/>
      <c r="P301" s="99"/>
      <c r="Q301" s="99"/>
      <c r="R301" s="99"/>
      <c r="S301" s="99"/>
      <c r="T301" s="99"/>
      <c r="U301" s="99"/>
      <c r="V301" s="99"/>
      <c r="W301" s="99"/>
      <c r="X301" s="99"/>
      <c r="Y301" s="99"/>
    </row>
    <row r="302" spans="1:25" hidden="1">
      <c r="A302" s="72"/>
      <c r="B302" s="88" t="s">
        <v>533</v>
      </c>
      <c r="C302" s="741" t="str">
        <f>CHOOSE(jezyk,n!A1319,n!B1319,n!C1319,n!D1317)</f>
        <v>utrudnienia w dostawach surowców powodujące czasowe opóźnienia w realizacji zamówień</v>
      </c>
      <c r="D302" s="741"/>
      <c r="E302" s="741"/>
      <c r="F302" s="741"/>
      <c r="G302" s="741"/>
      <c r="H302" s="741"/>
      <c r="I302" s="741"/>
      <c r="J302" s="741"/>
      <c r="K302" s="741"/>
      <c r="L302" s="741"/>
      <c r="P302" s="99"/>
      <c r="Q302" s="99"/>
      <c r="R302" s="99"/>
      <c r="S302" s="99"/>
      <c r="T302" s="99"/>
      <c r="U302" s="99"/>
      <c r="V302" s="99"/>
      <c r="W302" s="99"/>
      <c r="X302" s="99"/>
      <c r="Y302" s="99"/>
    </row>
    <row r="303" spans="1:25" s="151" customFormat="1" ht="16.5" customHeight="1">
      <c r="C303" s="741" t="s">
        <v>6940</v>
      </c>
      <c r="D303" s="741"/>
      <c r="E303" s="741"/>
      <c r="F303" s="741"/>
      <c r="G303" s="741"/>
      <c r="H303" s="741"/>
      <c r="I303" s="741"/>
      <c r="J303" s="741"/>
      <c r="K303" s="741"/>
      <c r="L303" s="741"/>
      <c r="M303" s="636" t="s">
        <v>6550</v>
      </c>
      <c r="P303" s="99"/>
    </row>
    <row r="304" spans="1:25" s="151" customFormat="1">
      <c r="C304" s="743"/>
      <c r="D304" s="743"/>
      <c r="E304" s="743"/>
      <c r="F304" s="743"/>
      <c r="G304" s="743"/>
      <c r="H304" s="743"/>
      <c r="I304" s="743"/>
      <c r="J304" s="743"/>
      <c r="K304" s="743"/>
      <c r="L304" s="743"/>
      <c r="P304" s="99"/>
    </row>
    <row r="305" spans="1:16" s="151" customFormat="1" ht="24" hidden="1" customHeight="1">
      <c r="A305" s="72"/>
      <c r="C305" s="746" t="str">
        <f>CHOOSE(jezyk,n!A1322,n!B1322,n!C1322,n!D1315)</f>
        <v>Podjęte działania w celu ograniczenia skutków kryzysu we wschodniej Europie i ich wpływ na dane finansowe za bieżący rok obrotowy:</v>
      </c>
      <c r="D305" s="746"/>
      <c r="E305" s="746"/>
      <c r="F305" s="746"/>
      <c r="G305" s="746"/>
      <c r="H305" s="746"/>
      <c r="I305" s="746"/>
      <c r="J305" s="746"/>
      <c r="K305" s="746"/>
      <c r="L305" s="746"/>
      <c r="M305" s="636" t="s">
        <v>6550</v>
      </c>
    </row>
    <row r="306" spans="1:16" s="151" customFormat="1" hidden="1">
      <c r="A306" s="72"/>
      <c r="C306" s="1179" t="s">
        <v>6553</v>
      </c>
      <c r="D306" s="1179"/>
      <c r="E306" s="1179"/>
      <c r="F306" s="1179"/>
      <c r="G306" s="1179"/>
      <c r="H306" s="1179"/>
      <c r="I306" s="1179"/>
      <c r="J306" s="1179"/>
      <c r="K306" s="1179"/>
      <c r="L306" s="1179"/>
    </row>
    <row r="307" spans="1:16" s="151" customFormat="1" ht="20.100000000000001" hidden="1" customHeight="1">
      <c r="A307" s="72"/>
      <c r="C307" s="741"/>
      <c r="D307" s="741"/>
      <c r="E307" s="741"/>
      <c r="F307" s="741"/>
      <c r="G307" s="741"/>
      <c r="H307" s="741"/>
      <c r="I307" s="741"/>
      <c r="J307" s="741"/>
      <c r="K307" s="741"/>
      <c r="L307" s="741"/>
    </row>
    <row r="308" spans="1:16" hidden="1"/>
    <row r="309" spans="1:16" s="72" customFormat="1" ht="26.25" customHeight="1">
      <c r="B309" s="80" t="s">
        <v>6082</v>
      </c>
      <c r="C309" s="762" t="str">
        <f>CHOOSE(jezyk,n!A1161,n!B1161,n!C1161,n!D1158)</f>
        <v>Informacje uzupełniające dotyczące przyszłych opłat leasingowych oraz opłat z tytułu najmu lub dzierżawy, według stanu na 31.12.2024, wynikające z zawartych umów ważnych na dzień bilansowy</v>
      </c>
      <c r="D309" s="762"/>
      <c r="E309" s="762"/>
      <c r="F309" s="762"/>
      <c r="G309" s="762"/>
      <c r="H309" s="762"/>
      <c r="I309" s="762"/>
      <c r="J309" s="762"/>
      <c r="K309" s="762"/>
      <c r="L309" s="762"/>
      <c r="M309" s="82" t="s">
        <v>6032</v>
      </c>
    </row>
    <row r="311" spans="1:16" ht="42" customHeight="1">
      <c r="A311" s="72"/>
      <c r="C311" s="1141" t="str">
        <f>IF(GA!F67="nie",CHOOSE(jezyk,n!A1162,n!B1162,n!C1162,n!D1159),CHOOSE(jezyk,n!A1163,n!B1163,n!C1163,n!D1163))</f>
        <v>Spółka użytkuje majątek trwały na podstawie umów najmu oraz umów leasingu operacyjnego. Łączna kwota przyszłych zobowiązań wynikających z zawartych umów najmu i leasingu, nieujętych w księgach, prezentuje poniższa tabela.</v>
      </c>
      <c r="D311" s="1141"/>
      <c r="E311" s="1141"/>
      <c r="F311" s="1141"/>
      <c r="G311" s="1141"/>
      <c r="H311" s="1141"/>
      <c r="I311" s="1141"/>
      <c r="J311" s="1141"/>
      <c r="K311" s="1141"/>
      <c r="L311" s="1141"/>
    </row>
    <row r="312" spans="1:16" ht="11.25" customHeight="1">
      <c r="D312" s="99"/>
      <c r="E312" s="99"/>
      <c r="F312" s="99"/>
      <c r="G312" s="99"/>
      <c r="H312" s="99"/>
      <c r="I312" s="99"/>
      <c r="J312" s="99"/>
      <c r="K312" s="99"/>
      <c r="L312" s="99"/>
    </row>
    <row r="313" spans="1:16" ht="21" customHeight="1">
      <c r="C313" s="953" t="str">
        <f>CHOOSE(jezyk,n!A1164,n!B1164,n!C1164,n!D1161)</f>
        <v>Rodzaj zobowiązania</v>
      </c>
      <c r="D313" s="1163"/>
      <c r="E313" s="1163"/>
      <c r="F313" s="954"/>
      <c r="G313" s="932" t="str">
        <f>CHOOSE(jezyk,n!A1165,n!B1165,n!C1165,n!D1162)</f>
        <v>Łączna kwota przyszłych zobowiązań z tytułu opłat dotyczących umowy</v>
      </c>
      <c r="H313" s="1080"/>
      <c r="I313" s="1080"/>
      <c r="J313" s="1080"/>
      <c r="K313" s="1080"/>
      <c r="L313" s="933"/>
    </row>
    <row r="314" spans="1:16" ht="55.9" customHeight="1">
      <c r="C314" s="1166"/>
      <c r="D314" s="1167"/>
      <c r="E314" s="1167"/>
      <c r="F314" s="1168"/>
      <c r="G314" s="841" t="str">
        <f>CHOOSE(jezyk,n!A786,n!B786,n!C786,n!D784)</f>
        <v>do 1 roku 
(do spłaty w kolejnym roku obrotowym)</v>
      </c>
      <c r="H314" s="843"/>
      <c r="I314" s="402" t="str">
        <f>CHOOSE(jezyk,n!A1171,n!B1171,n!C1171,n!D1169)</f>
        <v>od 1 do 5 lat(do spłaty w latach 2026 - 2029)</v>
      </c>
      <c r="J314" s="841" t="str">
        <f>CHOOSE(jezyk,n!A791,n!B791,n!C791,n!D787)</f>
        <v>powyżej 5 lat(do spłaty po 2029 roku)</v>
      </c>
      <c r="K314" s="843"/>
      <c r="L314" s="407" t="str">
        <f>CHOOSE(jezyk,n!A1608,n!B1608,n!C1608,n!D1604)</f>
        <v>Ogółem</v>
      </c>
    </row>
    <row r="315" spans="1:16" s="151" customFormat="1" ht="20.100000000000001" customHeight="1">
      <c r="B315" s="72"/>
      <c r="C315" s="978" t="str">
        <f>CHOOSE(jezyk,n!A1166,n!B1166,n!C1166,n!D1164)</f>
        <v>najem biura</v>
      </c>
      <c r="D315" s="979"/>
      <c r="E315" s="979"/>
      <c r="F315" s="980"/>
      <c r="G315" s="934">
        <v>292562.28000000003</v>
      </c>
      <c r="H315" s="935"/>
      <c r="I315" s="405">
        <v>0</v>
      </c>
      <c r="J315" s="934">
        <v>0</v>
      </c>
      <c r="K315" s="935"/>
      <c r="L315" s="427">
        <f t="shared" ref="L315:L320" si="1">G315+I315+J315</f>
        <v>292562.28000000003</v>
      </c>
    </row>
    <row r="316" spans="1:16" s="151" customFormat="1" ht="20.100000000000001" hidden="1" customHeight="1">
      <c r="B316" s="72"/>
      <c r="C316" s="978" t="str">
        <f>CHOOSE(jezyk,n!A1167,n!B1167,n!C1167,n!D1165)</f>
        <v>najem hali magazynowej</v>
      </c>
      <c r="D316" s="979"/>
      <c r="E316" s="979"/>
      <c r="F316" s="980"/>
      <c r="G316" s="934"/>
      <c r="H316" s="935"/>
      <c r="I316" s="405"/>
      <c r="J316" s="934"/>
      <c r="K316" s="935"/>
      <c r="L316" s="427">
        <f t="shared" si="1"/>
        <v>0</v>
      </c>
    </row>
    <row r="317" spans="1:16" s="151" customFormat="1" ht="26.25" hidden="1" customHeight="1">
      <c r="B317" s="72"/>
      <c r="C317" s="847" t="str">
        <f>CHOOSE(jezyk,n!A1168,n!B1168,n!C1168,n!D1166)</f>
        <v>leasing operacyjny sprzętu komputerowego</v>
      </c>
      <c r="D317" s="848"/>
      <c r="E317" s="848"/>
      <c r="F317" s="849"/>
      <c r="G317" s="934"/>
      <c r="H317" s="935"/>
      <c r="I317" s="405"/>
      <c r="J317" s="934"/>
      <c r="K317" s="935"/>
      <c r="L317" s="427">
        <f t="shared" si="1"/>
        <v>0</v>
      </c>
    </row>
    <row r="318" spans="1:16" s="151" customFormat="1" ht="27.75" customHeight="1">
      <c r="B318" s="72"/>
      <c r="C318" s="847" t="str">
        <f>CHOOSE(jezyk,n!A1169,n!B1169,n!C1169,n!D1167)</f>
        <v>leasing operacyjny samochodów osobowych</v>
      </c>
      <c r="D318" s="848"/>
      <c r="E318" s="848"/>
      <c r="F318" s="849"/>
      <c r="G318" s="934">
        <v>35619.68</v>
      </c>
      <c r="H318" s="935"/>
      <c r="I318" s="405">
        <v>0</v>
      </c>
      <c r="J318" s="934">
        <v>0</v>
      </c>
      <c r="K318" s="935"/>
      <c r="L318" s="427">
        <f t="shared" si="1"/>
        <v>35619.68</v>
      </c>
    </row>
    <row r="319" spans="1:16" s="151" customFormat="1" ht="20.100000000000001" hidden="1" customHeight="1">
      <c r="B319" s="72"/>
      <c r="C319" s="978" t="str">
        <f>CHOOSE(jezyk,n!A1170,n!B1170,n!C1170,n!D1168)</f>
        <v>leasing operacyjny pozostały</v>
      </c>
      <c r="D319" s="979"/>
      <c r="E319" s="979"/>
      <c r="F319" s="980"/>
      <c r="G319" s="934"/>
      <c r="H319" s="935"/>
      <c r="I319" s="405"/>
      <c r="J319" s="934"/>
      <c r="K319" s="935"/>
      <c r="L319" s="427">
        <f t="shared" si="1"/>
        <v>0</v>
      </c>
    </row>
    <row r="320" spans="1:16" ht="21" customHeight="1">
      <c r="G320" s="923">
        <f>SUM(G315:H319)</f>
        <v>328181.96000000002</v>
      </c>
      <c r="H320" s="924"/>
      <c r="I320" s="413">
        <f>SUM(I315:I319)</f>
        <v>0</v>
      </c>
      <c r="J320" s="923">
        <f>SUM(J315:K319)</f>
        <v>0</v>
      </c>
      <c r="K320" s="924"/>
      <c r="L320" s="427">
        <f t="shared" si="1"/>
        <v>328181.96000000002</v>
      </c>
      <c r="P320" s="151"/>
    </row>
    <row r="323" spans="2:16" ht="28.15" customHeight="1">
      <c r="B323" s="80" t="s">
        <v>6448</v>
      </c>
      <c r="C323" s="762" t="str">
        <f>CHOOSE(jezyk,n!A1174,n!B1174,n!C1174,n!D1174)</f>
        <v>Informacje uzupełniające dotyczące skutków wyceny kontraktów długoterminowych, niezakończonych na dzień 31.12.2024</v>
      </c>
      <c r="D323" s="762"/>
      <c r="E323" s="762"/>
      <c r="F323" s="762"/>
      <c r="G323" s="762"/>
      <c r="H323" s="762"/>
      <c r="I323" s="762"/>
      <c r="J323" s="762"/>
      <c r="K323" s="762"/>
      <c r="L323" s="762"/>
    </row>
    <row r="325" spans="2:16" ht="55.9" customHeight="1">
      <c r="C325" s="1151" t="str">
        <f>CHOOSE(jezyk,n!A1192,n!B1192,n!C1192,n!D1192)</f>
        <v>Rok obrotowy 2024</v>
      </c>
      <c r="D325" s="1152"/>
      <c r="E325" s="1152"/>
      <c r="F325" s="1153"/>
      <c r="G325" s="841" t="str">
        <f>CHOOSE(jezyk,n!A1175,n!B1175,n!C1175,n!D1175)</f>
        <v>Umowy długoterminowe ogółem</v>
      </c>
      <c r="H325" s="843"/>
      <c r="I325" s="841" t="str">
        <f>CHOOSE(jezyk,n!A1176,n!B1176,n!C1176,n!D1176)</f>
        <v xml:space="preserve"> - w tym umowy niezakończone łącznie</v>
      </c>
      <c r="J325" s="843"/>
      <c r="K325" s="841" t="str">
        <f>CHOOSE(jezyk,n!A1177,n!B1177,n!C1177,n!D1177)</f>
        <v xml:space="preserve"> - w tym umowy niezakończone, gdzie przychody ustalane są metodą zysku zerowego</v>
      </c>
      <c r="L325" s="843"/>
    </row>
    <row r="326" spans="2:16" ht="19.899999999999999" customHeight="1">
      <c r="C326" s="1151" t="str">
        <f>CHOOSE(jezyk,n!A1179,n!B1179,n!C1179,n!D1179)</f>
        <v>Koszty faktycznie poniesione</v>
      </c>
      <c r="D326" s="1152"/>
      <c r="E326" s="1152"/>
      <c r="F326" s="1153"/>
      <c r="G326" s="1154"/>
      <c r="H326" s="1154"/>
      <c r="I326" s="1154">
        <v>0</v>
      </c>
      <c r="J326" s="1154"/>
      <c r="K326" s="1154">
        <v>0</v>
      </c>
      <c r="L326" s="1154"/>
    </row>
    <row r="327" spans="2:16" ht="19.899999999999999" customHeight="1">
      <c r="C327" s="1151" t="str">
        <f>CHOOSE(jezyk,n!A1180,n!B1180,n!C1180,n!D1180)</f>
        <v>Rezerwa na straty</v>
      </c>
      <c r="D327" s="1152"/>
      <c r="E327" s="1152"/>
      <c r="F327" s="1153"/>
      <c r="G327" s="1154">
        <v>0</v>
      </c>
      <c r="H327" s="1154"/>
      <c r="I327" s="1154">
        <v>0</v>
      </c>
      <c r="J327" s="1154"/>
      <c r="K327" s="1154">
        <v>0</v>
      </c>
      <c r="L327" s="1154"/>
    </row>
    <row r="328" spans="2:16" ht="19.899999999999999" customHeight="1">
      <c r="C328" s="1151" t="str">
        <f>CHOOSE(jezyk,n!A1178,n!B1178,n!C1178,n!D1178)</f>
        <v>Koszty ujęte w RZiS</v>
      </c>
      <c r="D328" s="1152"/>
      <c r="E328" s="1152"/>
      <c r="F328" s="1153"/>
      <c r="G328" s="923">
        <f>G326+G327</f>
        <v>0</v>
      </c>
      <c r="H328" s="924"/>
      <c r="I328" s="923">
        <f t="shared" ref="I328" si="2">I326+I327</f>
        <v>0</v>
      </c>
      <c r="J328" s="924"/>
      <c r="K328" s="923">
        <f t="shared" ref="K328" si="3">K326+K327</f>
        <v>0</v>
      </c>
      <c r="L328" s="924"/>
    </row>
    <row r="329" spans="2:16" ht="19.899999999999999" customHeight="1">
      <c r="C329" s="1151" t="str">
        <f>CHOOSE(jezyk,n!A1181,n!B1181,n!C1181,n!D1181)</f>
        <v>Przychody zafakturowane</v>
      </c>
      <c r="D329" s="1152"/>
      <c r="E329" s="1152"/>
      <c r="F329" s="1153"/>
      <c r="G329" s="1154">
        <v>783526.04</v>
      </c>
      <c r="H329" s="1154"/>
      <c r="I329" s="1154">
        <v>0</v>
      </c>
      <c r="J329" s="1154"/>
      <c r="K329" s="1154">
        <v>0</v>
      </c>
      <c r="L329" s="1154"/>
    </row>
    <row r="330" spans="2:16" ht="34.9" customHeight="1">
      <c r="C330" s="1151" t="str">
        <f>CHOOSE(jezyk,n!A1182,n!B1182,n!C1182,n!D1182)</f>
        <v>Przychody ustalone zgodnie ze stosowaną metodą wyceny</v>
      </c>
      <c r="D330" s="1152"/>
      <c r="E330" s="1152"/>
      <c r="F330" s="1153"/>
      <c r="G330" s="1154">
        <v>0</v>
      </c>
      <c r="H330" s="1154"/>
      <c r="I330" s="1154">
        <v>0</v>
      </c>
      <c r="J330" s="1154"/>
      <c r="K330" s="1154">
        <v>0</v>
      </c>
      <c r="L330" s="1154"/>
    </row>
    <row r="331" spans="2:16" s="186" customFormat="1">
      <c r="B331" s="96"/>
      <c r="C331" s="185"/>
      <c r="D331" s="185"/>
      <c r="E331" s="185"/>
      <c r="F331" s="185"/>
      <c r="G331" s="655"/>
      <c r="H331" s="655"/>
      <c r="I331" s="655"/>
      <c r="J331" s="655"/>
      <c r="K331" s="655"/>
      <c r="L331" s="655"/>
      <c r="M331" s="186" t="s">
        <v>6077</v>
      </c>
      <c r="N331" s="653">
        <f>G329-G330</f>
        <v>783526.04</v>
      </c>
      <c r="O331" s="653"/>
      <c r="P331" s="653"/>
    </row>
    <row r="332" spans="2:16" s="186" customFormat="1" ht="24.75" customHeight="1">
      <c r="B332" s="96"/>
      <c r="C332" s="185"/>
      <c r="D332" s="185"/>
      <c r="E332" s="185"/>
      <c r="F332" s="185"/>
      <c r="G332" s="655"/>
      <c r="H332" s="655"/>
      <c r="I332" s="845" t="str">
        <f>dzb</f>
        <v>31.12.2024</v>
      </c>
      <c r="J332" s="845"/>
      <c r="K332" s="845" t="str">
        <f>pdz</f>
        <v>31.12.2023</v>
      </c>
      <c r="L332" s="845"/>
      <c r="N332" s="653"/>
      <c r="O332" s="653"/>
      <c r="P332" s="653"/>
    </row>
    <row r="333" spans="2:16" ht="34.15" customHeight="1">
      <c r="C333" s="1151" t="str">
        <f>CHOOSE(jezyk,n!A1183,n!B1183,n!C1183,n!D1183)</f>
        <v>Aktywa z tytułu niezakończonych umów długoterminowych</v>
      </c>
      <c r="D333" s="1152"/>
      <c r="E333" s="1152"/>
      <c r="F333" s="1152"/>
      <c r="G333" s="1152"/>
      <c r="H333" s="1153"/>
      <c r="I333" s="844">
        <f t="shared" ref="I333" si="4">I334+I335</f>
        <v>619496.9</v>
      </c>
      <c r="J333" s="844"/>
      <c r="K333" s="844">
        <f t="shared" ref="K333" si="5">K334+K335</f>
        <v>0</v>
      </c>
      <c r="L333" s="844"/>
      <c r="N333" s="38">
        <f>I335-I340</f>
        <v>-783526.04</v>
      </c>
      <c r="O333" s="38"/>
      <c r="P333" s="38"/>
    </row>
    <row r="334" spans="2:16" ht="28.15" customHeight="1">
      <c r="C334" s="1151" t="str">
        <f>CHOOSE(jezyk,n!A1184,n!B1184,n!C1184,n!D1184)</f>
        <v xml:space="preserve">1. Czynne rozliczenia międzyokresowe kosztów </v>
      </c>
      <c r="D334" s="1152"/>
      <c r="E334" s="1152"/>
      <c r="F334" s="1152"/>
      <c r="G334" s="1152"/>
      <c r="H334" s="1153"/>
      <c r="I334" s="1161">
        <v>619496.9</v>
      </c>
      <c r="J334" s="1161"/>
      <c r="K334" s="1161">
        <v>0</v>
      </c>
      <c r="L334" s="1161"/>
      <c r="N334" s="38">
        <f>N331-N333</f>
        <v>1567052.08</v>
      </c>
      <c r="O334" s="38"/>
      <c r="P334" s="38"/>
    </row>
    <row r="335" spans="2:16" ht="28.15" customHeight="1">
      <c r="C335" s="1151" t="str">
        <f>CHOOSE(jezyk,n!A1185,n!B1185,n!C1185,n!D1185)</f>
        <v>2. Należności niezafakturowane</v>
      </c>
      <c r="D335" s="1152"/>
      <c r="E335" s="1152"/>
      <c r="F335" s="1152"/>
      <c r="G335" s="1152"/>
      <c r="H335" s="1153"/>
      <c r="I335" s="1161">
        <v>0</v>
      </c>
      <c r="J335" s="1161"/>
      <c r="K335" s="1161">
        <v>0</v>
      </c>
      <c r="L335" s="1161"/>
    </row>
    <row r="336" spans="2:16" s="186" customFormat="1">
      <c r="B336" s="96"/>
      <c r="C336" s="656"/>
      <c r="D336" s="656"/>
      <c r="E336" s="656"/>
      <c r="F336" s="656"/>
      <c r="G336" s="657"/>
      <c r="H336" s="657"/>
      <c r="I336" s="652"/>
      <c r="J336" s="652"/>
      <c r="K336" s="652"/>
      <c r="L336" s="652"/>
      <c r="N336" s="653"/>
      <c r="O336" s="653"/>
      <c r="P336" s="653"/>
    </row>
    <row r="337" spans="2:16" s="186" customFormat="1" ht="24.75" customHeight="1">
      <c r="B337" s="96"/>
      <c r="C337" s="654"/>
      <c r="D337" s="654"/>
      <c r="E337" s="654"/>
      <c r="F337" s="654"/>
      <c r="G337" s="658"/>
      <c r="H337" s="658"/>
      <c r="I337" s="845" t="str">
        <f>I332</f>
        <v>31.12.2024</v>
      </c>
      <c r="J337" s="845"/>
      <c r="K337" s="845" t="str">
        <f>K332</f>
        <v>31.12.2023</v>
      </c>
      <c r="L337" s="845"/>
      <c r="N337" s="653"/>
      <c r="O337" s="653"/>
      <c r="P337" s="653"/>
    </row>
    <row r="338" spans="2:16" ht="31.9" customHeight="1">
      <c r="C338" s="1151" t="str">
        <f>CHOOSE(jezyk,n!A1186,n!B1186,n!C1186,n!D1186)</f>
        <v>Rozliczenia międzyokresowe umów długoterminowych</v>
      </c>
      <c r="D338" s="1152"/>
      <c r="E338" s="1152"/>
      <c r="F338" s="1152"/>
      <c r="G338" s="1152">
        <f>G339+G340</f>
        <v>0</v>
      </c>
      <c r="H338" s="1153"/>
      <c r="I338" s="923">
        <f t="shared" ref="I338" si="6">I339+I340</f>
        <v>783526.04</v>
      </c>
      <c r="J338" s="924"/>
      <c r="K338" s="923">
        <f t="shared" ref="K338" si="7">K339+K340</f>
        <v>0</v>
      </c>
      <c r="L338" s="924"/>
    </row>
    <row r="339" spans="2:16" ht="31.15" customHeight="1">
      <c r="C339" s="1151" t="str">
        <f>CHOOSE(jezyk,n!A1187,n!B1187,n!C1187,n!D1187)</f>
        <v>1. Bierne rozliczenia międzyokresowe kosztów</v>
      </c>
      <c r="D339" s="1152"/>
      <c r="E339" s="1152"/>
      <c r="F339" s="1152"/>
      <c r="G339" s="1152"/>
      <c r="H339" s="1153"/>
      <c r="I339" s="1161">
        <v>0</v>
      </c>
      <c r="J339" s="1161"/>
      <c r="K339" s="1161">
        <v>0</v>
      </c>
      <c r="L339" s="1161"/>
    </row>
    <row r="340" spans="2:16" ht="35.450000000000003" customHeight="1">
      <c r="C340" s="1151" t="str">
        <f>CHOOSE(jezyk,n!A1188,n!B1188,n!C1188,n!D1188)</f>
        <v>2. Rozliczenia międzyokresowe przychodów</v>
      </c>
      <c r="D340" s="1152"/>
      <c r="E340" s="1152"/>
      <c r="F340" s="1152"/>
      <c r="G340" s="1152"/>
      <c r="H340" s="1153"/>
      <c r="I340" s="1161">
        <v>783526.04</v>
      </c>
      <c r="J340" s="1161"/>
      <c r="K340" s="1161">
        <v>0</v>
      </c>
      <c r="L340" s="1161"/>
    </row>
    <row r="343" spans="2:16" ht="24.75" customHeight="1">
      <c r="I343" s="845" t="str">
        <f>dzb</f>
        <v>31.12.2024</v>
      </c>
      <c r="J343" s="845"/>
      <c r="K343" s="845" t="str">
        <f>pdz</f>
        <v>31.12.2023</v>
      </c>
      <c r="L343" s="845"/>
    </row>
    <row r="344" spans="2:16" ht="44.45" customHeight="1">
      <c r="C344" s="1151" t="str">
        <f>CHOOSE(jezyk,n!A1189,n!B1189,n!C1189,n!D1189)</f>
        <v>Kwota przewidywanych strat z realizowanych umów długoterminowych niezakończonych na dzień bilansowy, ujętych w RZiS</v>
      </c>
      <c r="D344" s="1152"/>
      <c r="E344" s="1152"/>
      <c r="F344" s="1152"/>
      <c r="G344" s="1152"/>
      <c r="H344" s="1153"/>
      <c r="I344" s="1161">
        <v>0</v>
      </c>
      <c r="J344" s="1161"/>
      <c r="K344" s="1161">
        <v>0</v>
      </c>
      <c r="L344" s="1161"/>
    </row>
    <row r="345" spans="2:16" ht="33.6" customHeight="1">
      <c r="C345" s="1151" t="str">
        <f>CHOOSE(jezyk,n!A1190,n!B1190,n!C1190,n!D1190)</f>
        <v>Wysokość kosztów, których pokrycie przez inwestora nie jest prawdopodobne</v>
      </c>
      <c r="D345" s="1152"/>
      <c r="E345" s="1152"/>
      <c r="F345" s="1152"/>
      <c r="G345" s="1152"/>
      <c r="H345" s="1153"/>
      <c r="I345" s="1161">
        <v>0</v>
      </c>
      <c r="J345" s="1161"/>
      <c r="K345" s="1161">
        <v>0</v>
      </c>
      <c r="L345" s="1161"/>
    </row>
    <row r="346" spans="2:16" ht="37.9" customHeight="1">
      <c r="C346" s="1151" t="str">
        <f>CHOOSE(jezyk,n!A1191,n!B1191,n!C1191,n!D1191)</f>
        <v>Wartość sum zatrzymanych przez inwestorów jako gwarancje należytego wykonania usługi</v>
      </c>
      <c r="D346" s="1152"/>
      <c r="E346" s="1152"/>
      <c r="F346" s="1152"/>
      <c r="G346" s="1152"/>
      <c r="H346" s="1153"/>
      <c r="I346" s="1161">
        <v>0</v>
      </c>
      <c r="J346" s="1161"/>
      <c r="K346" s="1161">
        <v>0</v>
      </c>
      <c r="L346" s="1161"/>
    </row>
    <row r="349" spans="2:16" ht="20.25" customHeight="1">
      <c r="B349" s="767" t="str">
        <f>"12. "&amp;CHOOSE(jezyk,n!A613,n!B613,n!C613,n!D613)</f>
        <v>12. DODATKOWE INFORMACJE I OBJAŚNIENIA</v>
      </c>
      <c r="C349" s="767"/>
      <c r="D349" s="767"/>
      <c r="E349" s="767"/>
      <c r="F349" s="767"/>
      <c r="G349" s="767"/>
      <c r="H349" s="767"/>
      <c r="I349" s="767"/>
      <c r="J349" s="767"/>
      <c r="K349" s="767"/>
      <c r="L349" s="767"/>
      <c r="M349" s="82" t="s">
        <v>6032</v>
      </c>
    </row>
    <row r="351" spans="2:16">
      <c r="B351" s="111" t="str">
        <f>"12."</f>
        <v>12.</v>
      </c>
      <c r="C351" s="762" t="str">
        <f>CHOOSE(jezyk,n!A1548,n!B1548,n!C1548,n!D1546)</f>
        <v>Informacje o nabyciu udziałów (akcji) własnych</v>
      </c>
      <c r="D351" s="762"/>
      <c r="E351" s="762"/>
      <c r="F351" s="762"/>
      <c r="G351" s="762"/>
      <c r="H351" s="762"/>
      <c r="I351" s="762"/>
      <c r="J351" s="762"/>
      <c r="K351" s="762"/>
      <c r="L351" s="762"/>
    </row>
    <row r="352" spans="2:16">
      <c r="C352" s="762"/>
      <c r="D352" s="762"/>
      <c r="E352" s="762"/>
      <c r="F352" s="762"/>
      <c r="G352" s="762"/>
      <c r="H352" s="762"/>
      <c r="I352" s="762"/>
      <c r="J352" s="762"/>
      <c r="K352" s="762"/>
      <c r="L352" s="762"/>
    </row>
    <row r="353" spans="3:13">
      <c r="C353" s="801" t="str">
        <f>IF(GA!H16=1,CHOOSE(jezyk,n!A1549,n!B1549,n!C1549,n!D1547),CHOOSE(jezyk,n!A1550,n!B1550,n!C1550,n!D1550))</f>
        <v>Spółka nie nabyła w roku obrotowym udziałów własnych.</v>
      </c>
      <c r="D353" s="801"/>
      <c r="E353" s="801"/>
      <c r="F353" s="801"/>
      <c r="G353" s="801"/>
      <c r="H353" s="801"/>
      <c r="I353" s="801"/>
      <c r="J353" s="801"/>
      <c r="K353" s="801"/>
      <c r="L353" s="801"/>
      <c r="M353" s="66" t="s">
        <v>6913</v>
      </c>
    </row>
    <row r="357" spans="3:13">
      <c r="C357" s="72" t="str">
        <f>CHOOSE(jezyk,n!A412,n!B412,n!C412,n!D412)</f>
        <v>Osoba sporządzająca:</v>
      </c>
      <c r="D357" s="72"/>
      <c r="E357" s="72"/>
      <c r="F357" s="747" t="str">
        <f>Wprowadzenie!E285</f>
        <v>Monika Czerwonka</v>
      </c>
      <c r="G357" s="747"/>
      <c r="H357" s="747"/>
      <c r="I357" s="72"/>
      <c r="J357" s="72"/>
      <c r="K357" s="72"/>
    </row>
    <row r="358" spans="3:13">
      <c r="C358" s="72"/>
      <c r="D358" s="72"/>
      <c r="E358" s="72"/>
      <c r="F358" s="101"/>
      <c r="G358" s="101"/>
      <c r="H358" s="101"/>
      <c r="I358" s="72"/>
      <c r="K358" s="72"/>
    </row>
    <row r="359" spans="3:13">
      <c r="C359" s="72" t="str">
        <f>IF(GA!H16=2,CHOOSE(jezyk,n!A414,n!B414,n!C414,n!D414),CHOOSE(jezyk,n!A413,n!B413,n!C413,n!D413))</f>
        <v>Zarząd:</v>
      </c>
      <c r="D359" s="72"/>
      <c r="E359" s="72"/>
      <c r="F359" s="747" t="str">
        <f>Wprowadzenie!E287</f>
        <v>Bartosz Kochanowski</v>
      </c>
      <c r="G359" s="747"/>
      <c r="H359" s="747"/>
      <c r="I359" s="102" t="s">
        <v>4656</v>
      </c>
      <c r="J359" s="103" t="str">
        <f>Wprowadzenie!I287</f>
        <v>Członek Zarządu</v>
      </c>
      <c r="K359" s="103"/>
      <c r="L359" s="103"/>
    </row>
    <row r="360" spans="3:13">
      <c r="C360" s="72"/>
      <c r="D360" s="72"/>
      <c r="E360" s="72"/>
      <c r="F360" s="747" t="str">
        <f>Wprowadzenie!E288</f>
        <v>Artur Kostrzewski</v>
      </c>
      <c r="G360" s="747"/>
      <c r="H360" s="747"/>
      <c r="I360" s="102" t="s">
        <v>4656</v>
      </c>
      <c r="J360" s="103" t="str">
        <f>Wprowadzenie!I288</f>
        <v>Członek Zarządu</v>
      </c>
      <c r="K360" s="103"/>
      <c r="L360" s="274"/>
    </row>
    <row r="361" spans="3:13" hidden="1">
      <c r="C361" s="72"/>
      <c r="D361" s="72"/>
      <c r="E361" s="72"/>
      <c r="F361" s="747">
        <f>Wprowadzenie!E289</f>
        <v>0</v>
      </c>
      <c r="G361" s="747"/>
      <c r="H361" s="747"/>
      <c r="I361" s="102" t="s">
        <v>4656</v>
      </c>
      <c r="J361" s="103">
        <f>Wprowadzenie!I289</f>
        <v>0</v>
      </c>
      <c r="K361" s="103"/>
      <c r="L361" s="274"/>
    </row>
    <row r="364" spans="3:13" ht="27.75" customHeight="1"/>
  </sheetData>
  <mergeCells count="475">
    <mergeCell ref="P300:Y300"/>
    <mergeCell ref="G320:H320"/>
    <mergeCell ref="J320:K320"/>
    <mergeCell ref="C316:F316"/>
    <mergeCell ref="C317:F317"/>
    <mergeCell ref="C318:F318"/>
    <mergeCell ref="C319:F319"/>
    <mergeCell ref="G314:H314"/>
    <mergeCell ref="J314:K314"/>
    <mergeCell ref="G315:H315"/>
    <mergeCell ref="G316:H316"/>
    <mergeCell ref="G317:H317"/>
    <mergeCell ref="G318:H318"/>
    <mergeCell ref="G319:H319"/>
    <mergeCell ref="J315:K315"/>
    <mergeCell ref="C296:L296"/>
    <mergeCell ref="C297:H297"/>
    <mergeCell ref="C298:L298"/>
    <mergeCell ref="C304:L304"/>
    <mergeCell ref="C306:L306"/>
    <mergeCell ref="J316:K316"/>
    <mergeCell ref="J317:K317"/>
    <mergeCell ref="J318:K318"/>
    <mergeCell ref="J319:K319"/>
    <mergeCell ref="C309:L309"/>
    <mergeCell ref="C311:L311"/>
    <mergeCell ref="C313:F314"/>
    <mergeCell ref="G313:L313"/>
    <mergeCell ref="C315:F315"/>
    <mergeCell ref="C303:L303"/>
    <mergeCell ref="C299:L299"/>
    <mergeCell ref="C305:L305"/>
    <mergeCell ref="C307:L307"/>
    <mergeCell ref="C300:L300"/>
    <mergeCell ref="C301:L301"/>
    <mergeCell ref="C302:L302"/>
    <mergeCell ref="C292:L292"/>
    <mergeCell ref="B285:L286"/>
    <mergeCell ref="C268:L268"/>
    <mergeCell ref="C269:L269"/>
    <mergeCell ref="C270:L270"/>
    <mergeCell ref="C271:L271"/>
    <mergeCell ref="C272:L272"/>
    <mergeCell ref="C274:L274"/>
    <mergeCell ref="C276:L276"/>
    <mergeCell ref="C278:L278"/>
    <mergeCell ref="C280:L280"/>
    <mergeCell ref="C281:L281"/>
    <mergeCell ref="C282:L282"/>
    <mergeCell ref="C283:L283"/>
    <mergeCell ref="C284:L284"/>
    <mergeCell ref="B287:L287"/>
    <mergeCell ref="C290:L290"/>
    <mergeCell ref="C251:L251"/>
    <mergeCell ref="C252:L252"/>
    <mergeCell ref="C253:L253"/>
    <mergeCell ref="C254:L254"/>
    <mergeCell ref="C255:L255"/>
    <mergeCell ref="C256:L256"/>
    <mergeCell ref="C258:L258"/>
    <mergeCell ref="C260:L260"/>
    <mergeCell ref="C262:L262"/>
    <mergeCell ref="H243:I243"/>
    <mergeCell ref="J243:K243"/>
    <mergeCell ref="E244:G244"/>
    <mergeCell ref="H244:I244"/>
    <mergeCell ref="J244:K244"/>
    <mergeCell ref="C244:D244"/>
    <mergeCell ref="C245:D245"/>
    <mergeCell ref="C246:D246"/>
    <mergeCell ref="C233:L233"/>
    <mergeCell ref="D234:E234"/>
    <mergeCell ref="D235:E235"/>
    <mergeCell ref="D236:E236"/>
    <mergeCell ref="H241:I241"/>
    <mergeCell ref="J241:K241"/>
    <mergeCell ref="E242:G242"/>
    <mergeCell ref="H242:I242"/>
    <mergeCell ref="J242:K242"/>
    <mergeCell ref="C240:D240"/>
    <mergeCell ref="C241:D241"/>
    <mergeCell ref="C242:D242"/>
    <mergeCell ref="R230:AA230"/>
    <mergeCell ref="R231:AA231"/>
    <mergeCell ref="R232:AA232"/>
    <mergeCell ref="R238:AA238"/>
    <mergeCell ref="R239:AA239"/>
    <mergeCell ref="R240:AA240"/>
    <mergeCell ref="R241:AA241"/>
    <mergeCell ref="R242:AA242"/>
    <mergeCell ref="R243:AA243"/>
    <mergeCell ref="C227:L227"/>
    <mergeCell ref="C247:D247"/>
    <mergeCell ref="E240:G240"/>
    <mergeCell ref="H240:I240"/>
    <mergeCell ref="J240:K240"/>
    <mergeCell ref="E241:G241"/>
    <mergeCell ref="C228:L228"/>
    <mergeCell ref="C229:L229"/>
    <mergeCell ref="C231:L231"/>
    <mergeCell ref="C238:D239"/>
    <mergeCell ref="E238:G238"/>
    <mergeCell ref="E239:G239"/>
    <mergeCell ref="H238:I238"/>
    <mergeCell ref="H239:I239"/>
    <mergeCell ref="J238:L238"/>
    <mergeCell ref="J239:K239"/>
    <mergeCell ref="C243:D243"/>
    <mergeCell ref="E245:G245"/>
    <mergeCell ref="H245:I245"/>
    <mergeCell ref="J245:K245"/>
    <mergeCell ref="E246:G246"/>
    <mergeCell ref="H246:I246"/>
    <mergeCell ref="J246:K246"/>
    <mergeCell ref="E243:G243"/>
    <mergeCell ref="C213:L213"/>
    <mergeCell ref="C214:L214"/>
    <mergeCell ref="C220:L220"/>
    <mergeCell ref="C221:L221"/>
    <mergeCell ref="C222:L222"/>
    <mergeCell ref="C223:L223"/>
    <mergeCell ref="C224:L224"/>
    <mergeCell ref="C225:L225"/>
    <mergeCell ref="C189:F191"/>
    <mergeCell ref="C212:L212"/>
    <mergeCell ref="C210:L210"/>
    <mergeCell ref="G193:H193"/>
    <mergeCell ref="J193:K193"/>
    <mergeCell ref="J192:K192"/>
    <mergeCell ref="G192:H192"/>
    <mergeCell ref="C201:D201"/>
    <mergeCell ref="E201:F201"/>
    <mergeCell ref="G201:H201"/>
    <mergeCell ref="J201:K201"/>
    <mergeCell ref="C198:F198"/>
    <mergeCell ref="G198:H198"/>
    <mergeCell ref="J194:K194"/>
    <mergeCell ref="C193:F193"/>
    <mergeCell ref="C77:L77"/>
    <mergeCell ref="C69:L69"/>
    <mergeCell ref="C81:L81"/>
    <mergeCell ref="C61:L61"/>
    <mergeCell ref="C151:D151"/>
    <mergeCell ref="E149:F149"/>
    <mergeCell ref="E150:F150"/>
    <mergeCell ref="E151:F151"/>
    <mergeCell ref="C178:F178"/>
    <mergeCell ref="C176:F176"/>
    <mergeCell ref="G173:L173"/>
    <mergeCell ref="C173:F175"/>
    <mergeCell ref="C149:D149"/>
    <mergeCell ref="C150:D150"/>
    <mergeCell ref="E162:F162"/>
    <mergeCell ref="G162:H162"/>
    <mergeCell ref="J175:K175"/>
    <mergeCell ref="G176:H176"/>
    <mergeCell ref="J176:K176"/>
    <mergeCell ref="C162:D162"/>
    <mergeCell ref="C161:D161"/>
    <mergeCell ref="E161:F161"/>
    <mergeCell ref="G161:H161"/>
    <mergeCell ref="J152:K152"/>
    <mergeCell ref="C24:F24"/>
    <mergeCell ref="G24:H24"/>
    <mergeCell ref="I24:J24"/>
    <mergeCell ref="C25:F25"/>
    <mergeCell ref="G25:H25"/>
    <mergeCell ref="I25:J25"/>
    <mergeCell ref="K46:L46"/>
    <mergeCell ref="G38:H38"/>
    <mergeCell ref="I38:K38"/>
    <mergeCell ref="C39:F39"/>
    <mergeCell ref="G39:H39"/>
    <mergeCell ref="I39:K39"/>
    <mergeCell ref="C38:F38"/>
    <mergeCell ref="C27:L27"/>
    <mergeCell ref="C31:L31"/>
    <mergeCell ref="C43:L43"/>
    <mergeCell ref="C29:L29"/>
    <mergeCell ref="I45:J45"/>
    <mergeCell ref="I46:J46"/>
    <mergeCell ref="C40:F40"/>
    <mergeCell ref="G40:H40"/>
    <mergeCell ref="I40:K40"/>
    <mergeCell ref="C41:F41"/>
    <mergeCell ref="G41:H41"/>
    <mergeCell ref="B1:K1"/>
    <mergeCell ref="B4:L4"/>
    <mergeCell ref="C22:F22"/>
    <mergeCell ref="G22:H22"/>
    <mergeCell ref="I22:J22"/>
    <mergeCell ref="C23:F23"/>
    <mergeCell ref="G23:H23"/>
    <mergeCell ref="I23:J23"/>
    <mergeCell ref="C17:F17"/>
    <mergeCell ref="G17:H17"/>
    <mergeCell ref="C7:L7"/>
    <mergeCell ref="C14:L14"/>
    <mergeCell ref="G16:H16"/>
    <mergeCell ref="C6:L6"/>
    <mergeCell ref="C16:F16"/>
    <mergeCell ref="G18:H18"/>
    <mergeCell ref="I16:K16"/>
    <mergeCell ref="I17:K17"/>
    <mergeCell ref="C18:F18"/>
    <mergeCell ref="C250:L250"/>
    <mergeCell ref="J162:K162"/>
    <mergeCell ref="C163:D163"/>
    <mergeCell ref="E163:F163"/>
    <mergeCell ref="C203:L203"/>
    <mergeCell ref="C208:L208"/>
    <mergeCell ref="C205:L205"/>
    <mergeCell ref="G163:H163"/>
    <mergeCell ref="J163:K163"/>
    <mergeCell ref="C195:F195"/>
    <mergeCell ref="G195:H195"/>
    <mergeCell ref="J195:K195"/>
    <mergeCell ref="C196:F196"/>
    <mergeCell ref="C209:L209"/>
    <mergeCell ref="C177:F177"/>
    <mergeCell ref="C164:D164"/>
    <mergeCell ref="C211:L211"/>
    <mergeCell ref="G185:H185"/>
    <mergeCell ref="C180:F180"/>
    <mergeCell ref="G178:H178"/>
    <mergeCell ref="G183:H183"/>
    <mergeCell ref="J183:K183"/>
    <mergeCell ref="G181:H181"/>
    <mergeCell ref="J200:K200"/>
    <mergeCell ref="C95:L95"/>
    <mergeCell ref="C121:D121"/>
    <mergeCell ref="C118:F118"/>
    <mergeCell ref="C85:L85"/>
    <mergeCell ref="C79:L79"/>
    <mergeCell ref="C110:F110"/>
    <mergeCell ref="G110:H110"/>
    <mergeCell ref="J110:K110"/>
    <mergeCell ref="G111:H111"/>
    <mergeCell ref="I116:L116"/>
    <mergeCell ref="G121:H121"/>
    <mergeCell ref="J121:K121"/>
    <mergeCell ref="C120:F120"/>
    <mergeCell ref="G120:H120"/>
    <mergeCell ref="E121:F121"/>
    <mergeCell ref="C83:L83"/>
    <mergeCell ref="C87:L87"/>
    <mergeCell ref="I106:L106"/>
    <mergeCell ref="C91:L91"/>
    <mergeCell ref="G105:L105"/>
    <mergeCell ref="C99:L99"/>
    <mergeCell ref="C103:E103"/>
    <mergeCell ref="G109:H109"/>
    <mergeCell ref="J117:K117"/>
    <mergeCell ref="B349:L349"/>
    <mergeCell ref="C351:L351"/>
    <mergeCell ref="C353:L353"/>
    <mergeCell ref="C352:L352"/>
    <mergeCell ref="C266:L266"/>
    <mergeCell ref="C207:L207"/>
    <mergeCell ref="C216:L216"/>
    <mergeCell ref="C248:L248"/>
    <mergeCell ref="C264:L264"/>
    <mergeCell ref="C218:L218"/>
    <mergeCell ref="G326:H326"/>
    <mergeCell ref="I326:J326"/>
    <mergeCell ref="K337:L337"/>
    <mergeCell ref="I334:J334"/>
    <mergeCell ref="K334:L334"/>
    <mergeCell ref="I335:J335"/>
    <mergeCell ref="K335:L335"/>
    <mergeCell ref="I338:J338"/>
    <mergeCell ref="K338:L338"/>
    <mergeCell ref="I339:J339"/>
    <mergeCell ref="K339:L339"/>
    <mergeCell ref="G329:H329"/>
    <mergeCell ref="I329:J329"/>
    <mergeCell ref="K329:L329"/>
    <mergeCell ref="G177:H177"/>
    <mergeCell ref="G106:H107"/>
    <mergeCell ref="C101:L101"/>
    <mergeCell ref="K45:L45"/>
    <mergeCell ref="C45:H45"/>
    <mergeCell ref="C154:L154"/>
    <mergeCell ref="C156:L156"/>
    <mergeCell ref="I51:J51"/>
    <mergeCell ref="G189:L189"/>
    <mergeCell ref="G116:H117"/>
    <mergeCell ref="C89:L89"/>
    <mergeCell ref="E164:F164"/>
    <mergeCell ref="C159:E159"/>
    <mergeCell ref="G118:H118"/>
    <mergeCell ref="J118:K118"/>
    <mergeCell ref="C119:F119"/>
    <mergeCell ref="G119:H119"/>
    <mergeCell ref="J119:K119"/>
    <mergeCell ref="C71:L71"/>
    <mergeCell ref="C72:L72"/>
    <mergeCell ref="C73:L73"/>
    <mergeCell ref="C75:L75"/>
    <mergeCell ref="C93:L93"/>
    <mergeCell ref="J107:K107"/>
    <mergeCell ref="F361:H361"/>
    <mergeCell ref="F357:H357"/>
    <mergeCell ref="G184:H184"/>
    <mergeCell ref="J184:K184"/>
    <mergeCell ref="F359:H359"/>
    <mergeCell ref="F360:H360"/>
    <mergeCell ref="E152:F152"/>
    <mergeCell ref="G149:H149"/>
    <mergeCell ref="C123:L123"/>
    <mergeCell ref="C129:L129"/>
    <mergeCell ref="J150:K150"/>
    <mergeCell ref="J151:K151"/>
    <mergeCell ref="C147:E147"/>
    <mergeCell ref="J149:K149"/>
    <mergeCell ref="G164:H164"/>
    <mergeCell ref="J164:K164"/>
    <mergeCell ref="J198:K198"/>
    <mergeCell ref="C199:F199"/>
    <mergeCell ref="G199:H199"/>
    <mergeCell ref="J199:K199"/>
    <mergeCell ref="C200:F200"/>
    <mergeCell ref="G200:H200"/>
    <mergeCell ref="C294:L294"/>
    <mergeCell ref="C167:L167"/>
    <mergeCell ref="C97:L97"/>
    <mergeCell ref="G150:H150"/>
    <mergeCell ref="J111:K111"/>
    <mergeCell ref="C47:H47"/>
    <mergeCell ref="C62:L62"/>
    <mergeCell ref="C46:H46"/>
    <mergeCell ref="C51:H51"/>
    <mergeCell ref="I47:J47"/>
    <mergeCell ref="K47:L47"/>
    <mergeCell ref="C52:H52"/>
    <mergeCell ref="C55:H55"/>
    <mergeCell ref="K52:L52"/>
    <mergeCell ref="I55:J55"/>
    <mergeCell ref="I52:J52"/>
    <mergeCell ref="C54:H54"/>
    <mergeCell ref="I54:J54"/>
    <mergeCell ref="K54:L54"/>
    <mergeCell ref="I48:J48"/>
    <mergeCell ref="K48:L48"/>
    <mergeCell ref="I49:J49"/>
    <mergeCell ref="K49:L49"/>
    <mergeCell ref="K51:L51"/>
    <mergeCell ref="B59:L59"/>
    <mergeCell ref="I56:J56"/>
    <mergeCell ref="K55:L55"/>
    <mergeCell ref="C56:H56"/>
    <mergeCell ref="K56:L56"/>
    <mergeCell ref="C50:H50"/>
    <mergeCell ref="I50:J50"/>
    <mergeCell ref="K50:L50"/>
    <mergeCell ref="C70:L70"/>
    <mergeCell ref="K53:L53"/>
    <mergeCell ref="C53:H53"/>
    <mergeCell ref="I53:J53"/>
    <mergeCell ref="C48:H48"/>
    <mergeCell ref="C49:H49"/>
    <mergeCell ref="B66:L66"/>
    <mergeCell ref="C63:L64"/>
    <mergeCell ref="C194:F194"/>
    <mergeCell ref="G194:H194"/>
    <mergeCell ref="J197:K197"/>
    <mergeCell ref="G190:H191"/>
    <mergeCell ref="I190:L190"/>
    <mergeCell ref="J191:K191"/>
    <mergeCell ref="J161:K161"/>
    <mergeCell ref="C111:D111"/>
    <mergeCell ref="E111:F111"/>
    <mergeCell ref="C113:E113"/>
    <mergeCell ref="C169:L169"/>
    <mergeCell ref="G151:H151"/>
    <mergeCell ref="G152:H152"/>
    <mergeCell ref="C115:F117"/>
    <mergeCell ref="G115:L115"/>
    <mergeCell ref="C171:E171"/>
    <mergeCell ref="C157:L157"/>
    <mergeCell ref="J120:K120"/>
    <mergeCell ref="C133:L133"/>
    <mergeCell ref="C127:L127"/>
    <mergeCell ref="C131:L131"/>
    <mergeCell ref="C152:D152"/>
    <mergeCell ref="C137:L137"/>
    <mergeCell ref="C141:L141"/>
    <mergeCell ref="C187:E187"/>
    <mergeCell ref="C182:F182"/>
    <mergeCell ref="J185:K185"/>
    <mergeCell ref="C185:D185"/>
    <mergeCell ref="C105:F107"/>
    <mergeCell ref="C109:F109"/>
    <mergeCell ref="C183:F183"/>
    <mergeCell ref="C184:F184"/>
    <mergeCell ref="J177:K177"/>
    <mergeCell ref="J109:K109"/>
    <mergeCell ref="C108:F108"/>
    <mergeCell ref="G108:H108"/>
    <mergeCell ref="J108:K108"/>
    <mergeCell ref="C145:L145"/>
    <mergeCell ref="C135:L135"/>
    <mergeCell ref="C139:L139"/>
    <mergeCell ref="C143:L143"/>
    <mergeCell ref="C125:L125"/>
    <mergeCell ref="C181:F181"/>
    <mergeCell ref="J179:K179"/>
    <mergeCell ref="K326:L326"/>
    <mergeCell ref="G327:H327"/>
    <mergeCell ref="I327:J327"/>
    <mergeCell ref="K327:L327"/>
    <mergeCell ref="G328:H328"/>
    <mergeCell ref="I328:J328"/>
    <mergeCell ref="C325:F325"/>
    <mergeCell ref="C333:H333"/>
    <mergeCell ref="C327:F327"/>
    <mergeCell ref="K344:L344"/>
    <mergeCell ref="K345:L345"/>
    <mergeCell ref="K346:L346"/>
    <mergeCell ref="K343:L343"/>
    <mergeCell ref="C344:H344"/>
    <mergeCell ref="I344:J344"/>
    <mergeCell ref="C345:H345"/>
    <mergeCell ref="I345:J345"/>
    <mergeCell ref="C346:H346"/>
    <mergeCell ref="I346:J346"/>
    <mergeCell ref="I343:J343"/>
    <mergeCell ref="C338:H338"/>
    <mergeCell ref="C339:H339"/>
    <mergeCell ref="C340:H340"/>
    <mergeCell ref="I332:J332"/>
    <mergeCell ref="K332:L332"/>
    <mergeCell ref="I337:J337"/>
    <mergeCell ref="G9:L9"/>
    <mergeCell ref="G10:L10"/>
    <mergeCell ref="C9:F9"/>
    <mergeCell ref="C10:F10"/>
    <mergeCell ref="G33:L33"/>
    <mergeCell ref="G34:L34"/>
    <mergeCell ref="C34:F34"/>
    <mergeCell ref="C33:F33"/>
    <mergeCell ref="K328:L328"/>
    <mergeCell ref="G174:H175"/>
    <mergeCell ref="C179:F179"/>
    <mergeCell ref="C192:F192"/>
    <mergeCell ref="C197:F197"/>
    <mergeCell ref="G197:H197"/>
    <mergeCell ref="G196:H196"/>
    <mergeCell ref="J196:K196"/>
    <mergeCell ref="I340:J340"/>
    <mergeCell ref="K340:L340"/>
    <mergeCell ref="I174:L174"/>
    <mergeCell ref="J181:K181"/>
    <mergeCell ref="G182:H182"/>
    <mergeCell ref="J182:K182"/>
    <mergeCell ref="E185:F185"/>
    <mergeCell ref="J178:K178"/>
    <mergeCell ref="G179:H179"/>
    <mergeCell ref="C334:H334"/>
    <mergeCell ref="C335:H335"/>
    <mergeCell ref="G180:H180"/>
    <mergeCell ref="J180:K180"/>
    <mergeCell ref="I330:J330"/>
    <mergeCell ref="K330:L330"/>
    <mergeCell ref="I333:J333"/>
    <mergeCell ref="K333:L333"/>
    <mergeCell ref="C323:L323"/>
    <mergeCell ref="G325:H325"/>
    <mergeCell ref="I325:J325"/>
    <mergeCell ref="K325:L325"/>
    <mergeCell ref="G330:H330"/>
    <mergeCell ref="C328:F328"/>
    <mergeCell ref="C326:F326"/>
    <mergeCell ref="C329:F329"/>
    <mergeCell ref="C330:F330"/>
  </mergeCells>
  <phoneticPr fontId="0" type="noConversion"/>
  <dataValidations disablePrompts="1" count="1">
    <dataValidation type="list" allowBlank="1" showInputMessage="1" showErrorMessage="1" sqref="E239:G239" xr:uid="{00000000-0002-0000-2F00-000000000000}">
      <formula1>"EUR,USD,CHF,CZK,GBP"</formula1>
    </dataValidation>
  </dataValidations>
  <hyperlinks>
    <hyperlink ref="B1:K1" location="'spis treści'!A1" display="SPIS TREŚCI" xr:uid="{00000000-0004-0000-2F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8-11</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8">
    <pageSetUpPr fitToPage="1"/>
  </sheetPr>
  <dimension ref="B1:H153"/>
  <sheetViews>
    <sheetView showGridLines="0" view="pageBreakPreview" topLeftCell="A73" zoomScaleNormal="80" zoomScaleSheetLayoutView="100" workbookViewId="0">
      <selection activeCell="H72" sqref="H72"/>
    </sheetView>
  </sheetViews>
  <sheetFormatPr defaultColWidth="9.85546875" defaultRowHeight="12.75"/>
  <cols>
    <col min="1" max="1" width="9.85546875" style="66"/>
    <col min="2" max="2" width="3" style="66" customWidth="1"/>
    <col min="3" max="4" width="3.5703125" style="66" customWidth="1"/>
    <col min="5" max="5" width="62.140625" style="66" customWidth="1"/>
    <col min="6" max="6" width="14.42578125" style="38" customWidth="1"/>
    <col min="7" max="7" width="14.5703125" style="38" customWidth="1"/>
    <col min="8" max="8" width="12" style="66" customWidth="1"/>
    <col min="9" max="9" width="9.85546875" style="66" customWidth="1"/>
    <col min="10" max="10" width="7.42578125" style="66" customWidth="1"/>
    <col min="11" max="16384" width="9.85546875" style="66"/>
  </cols>
  <sheetData>
    <row r="1" spans="2:8">
      <c r="B1" s="773" t="s">
        <v>1257</v>
      </c>
      <c r="C1" s="773"/>
      <c r="D1" s="773"/>
      <c r="E1" s="773"/>
      <c r="F1" s="773"/>
      <c r="G1" s="773"/>
    </row>
    <row r="2" spans="2:8" ht="42" customHeight="1">
      <c r="B2" s="397"/>
      <c r="C2" s="397"/>
      <c r="D2" s="397"/>
      <c r="E2" s="397"/>
      <c r="F2" s="397"/>
      <c r="G2" s="397"/>
    </row>
    <row r="3" spans="2:8">
      <c r="B3" s="778" t="str">
        <f>nazwa_spolki&amp;", "&amp;siedziba</f>
        <v>Rhenus Digital Workforce Sp. z o.o., Warszawa</v>
      </c>
      <c r="C3" s="778"/>
      <c r="D3" s="778"/>
      <c r="E3" s="778"/>
      <c r="F3" s="778"/>
      <c r="G3" s="778"/>
    </row>
    <row r="4" spans="2:8">
      <c r="B4" s="778" t="str">
        <f>CHOOSE(jezyk,n!A417,n!B417,n!C417,n!D417)</f>
        <v>Rachunek zysków i strat</v>
      </c>
      <c r="C4" s="778"/>
      <c r="D4" s="778"/>
      <c r="E4" s="778"/>
      <c r="F4" s="778"/>
      <c r="G4" s="778"/>
    </row>
    <row r="5" spans="2:8">
      <c r="B5" s="778" t="str">
        <f>CHOOSE(jezyk,n!A418,n!B418,n!C418,n!D418)</f>
        <v>za rok obrotowy od 19.10.2023 do 31.12.2024</v>
      </c>
      <c r="C5" s="778"/>
      <c r="D5" s="778"/>
      <c r="E5" s="778"/>
      <c r="F5" s="778"/>
      <c r="G5" s="778"/>
    </row>
    <row r="6" spans="2:8">
      <c r="B6" s="778" t="str">
        <f>CHOOSE(jezyk,n!A475,n!B475,n!C475,n!D475)</f>
        <v>(wariant kalkulacyjny)</v>
      </c>
      <c r="C6" s="778"/>
      <c r="D6" s="778"/>
      <c r="E6" s="778"/>
      <c r="F6" s="778"/>
      <c r="G6" s="778"/>
      <c r="H6" s="232"/>
    </row>
    <row r="7" spans="2:8">
      <c r="B7" s="325"/>
      <c r="C7" s="326"/>
      <c r="D7" s="326"/>
      <c r="E7" s="326"/>
      <c r="F7" s="327"/>
      <c r="G7" s="327"/>
    </row>
    <row r="8" spans="2:8">
      <c r="C8" s="328"/>
      <c r="D8" s="328"/>
      <c r="E8" s="328"/>
    </row>
    <row r="9" spans="2:8">
      <c r="C9" s="328"/>
      <c r="D9" s="328"/>
      <c r="E9" s="328"/>
      <c r="F9" s="296" t="str">
        <f>CHOOSE(jezyk,n!A287,n!B287,n!C287,n!D287)</f>
        <v>Rok bieżący</v>
      </c>
      <c r="G9" s="108" t="str">
        <f>CHOOSE(jezyk,n!A288,n!B288,n!C288,n!D288)</f>
        <v>Rok poprzedni</v>
      </c>
    </row>
    <row r="10" spans="2:8">
      <c r="B10" s="154"/>
      <c r="C10" s="329"/>
      <c r="D10" s="329"/>
      <c r="E10" s="329"/>
      <c r="F10" s="330" t="s">
        <v>35</v>
      </c>
      <c r="G10" s="330" t="s">
        <v>35</v>
      </c>
    </row>
    <row r="11" spans="2:8">
      <c r="C11" s="328"/>
      <c r="D11" s="328"/>
      <c r="E11" s="328"/>
      <c r="F11" s="331"/>
      <c r="G11" s="331"/>
    </row>
    <row r="12" spans="2:8" s="243" customFormat="1">
      <c r="B12" s="111" t="s">
        <v>1446</v>
      </c>
      <c r="C12" s="335" t="str">
        <f>CHOOSE(jezyk,n!A477,n!B477,n!C477,n!D477)</f>
        <v>Przychody netto ze sprzedaży produktów i towarów, w tym:</v>
      </c>
      <c r="D12" s="118"/>
      <c r="F12" s="112">
        <f>SUM(F15:F16)</f>
        <v>0</v>
      </c>
      <c r="G12" s="112">
        <f>SUM(G15:G16)</f>
        <v>0</v>
      </c>
      <c r="H12" s="66"/>
    </row>
    <row r="13" spans="2:8" s="243" customFormat="1">
      <c r="B13" s="111"/>
      <c r="C13" s="118"/>
      <c r="D13" s="118"/>
      <c r="F13" s="331"/>
      <c r="G13" s="331"/>
      <c r="H13" s="66"/>
    </row>
    <row r="14" spans="2:8" s="243" customFormat="1">
      <c r="B14" s="111"/>
      <c r="D14" s="92" t="s">
        <v>533</v>
      </c>
      <c r="E14" s="38" t="str">
        <f>CHOOSE(jezyk,n!A478,n!B478,n!C478,n!D478)</f>
        <v>od jednostek powiązanych</v>
      </c>
      <c r="F14" s="333"/>
      <c r="G14" s="333"/>
      <c r="H14" s="66"/>
    </row>
    <row r="15" spans="2:8">
      <c r="C15" s="72" t="s">
        <v>1447</v>
      </c>
      <c r="D15" s="92" t="str">
        <f>CHOOSE(jezyk,n!A479,n!B479,n!C479,n!D479)</f>
        <v>Przychody netto ze sprzedaży produktów</v>
      </c>
      <c r="F15" s="333"/>
      <c r="G15" s="333"/>
    </row>
    <row r="16" spans="2:8">
      <c r="C16" s="72" t="s">
        <v>1449</v>
      </c>
      <c r="D16" s="92" t="str">
        <f>CHOOSE(jezyk,n!A480,n!B480,n!C480,n!D480)</f>
        <v>Przychody netto ze sprzedaży towarów</v>
      </c>
      <c r="F16" s="333"/>
      <c r="G16" s="333"/>
    </row>
    <row r="17" spans="2:8">
      <c r="C17" s="72" t="s">
        <v>764</v>
      </c>
      <c r="D17" s="72"/>
      <c r="E17" s="72"/>
      <c r="F17" s="66"/>
      <c r="G17" s="66"/>
    </row>
    <row r="18" spans="2:8" s="243" customFormat="1">
      <c r="B18" s="111" t="s">
        <v>1458</v>
      </c>
      <c r="C18" s="1186" t="str">
        <f>CHOOSE(jezyk,n!A481,n!B481,n!C481,n!D481)</f>
        <v>Koszty sprzedanych produktów i towarów, w tym:</v>
      </c>
      <c r="D18" s="1186"/>
      <c r="E18" s="1186"/>
      <c r="F18" s="112">
        <f>SUM(F21:F22)</f>
        <v>0</v>
      </c>
      <c r="G18" s="112">
        <f>SUM(G21:G22)</f>
        <v>0</v>
      </c>
      <c r="H18" s="66"/>
    </row>
    <row r="19" spans="2:8" s="243" customFormat="1">
      <c r="B19" s="111"/>
      <c r="C19" s="118"/>
      <c r="D19" s="118"/>
      <c r="F19" s="331"/>
      <c r="G19" s="92"/>
      <c r="H19" s="66"/>
    </row>
    <row r="20" spans="2:8" s="243" customFormat="1">
      <c r="B20" s="111"/>
      <c r="C20" s="118"/>
      <c r="D20" s="92" t="s">
        <v>533</v>
      </c>
      <c r="E20" s="38" t="str">
        <f>CHOOSE(jezyk,n!A482,n!B482,n!C482,n!D482)</f>
        <v>jednostkom powiązanym</v>
      </c>
      <c r="F20" s="333"/>
      <c r="G20" s="302"/>
      <c r="H20" s="66"/>
    </row>
    <row r="21" spans="2:8">
      <c r="C21" s="72" t="s">
        <v>1447</v>
      </c>
      <c r="D21" s="92" t="str">
        <f>CHOOSE(jezyk,n!A483,n!B483,n!C483,n!D483)</f>
        <v>Koszt wytworzenia sprzedanych produktów</v>
      </c>
      <c r="F21" s="333"/>
      <c r="G21" s="302"/>
    </row>
    <row r="22" spans="2:8">
      <c r="C22" s="72" t="s">
        <v>1449</v>
      </c>
      <c r="D22" s="92" t="str">
        <f>CHOOSE(jezyk,n!A484,n!B484,n!C484,n!D484)</f>
        <v>Wartość sprzedanych towarów</v>
      </c>
      <c r="F22" s="333"/>
      <c r="G22" s="302"/>
    </row>
    <row r="23" spans="2:8">
      <c r="C23" s="72"/>
      <c r="D23" s="72"/>
      <c r="E23" s="72"/>
      <c r="F23" s="331"/>
      <c r="G23" s="92"/>
    </row>
    <row r="24" spans="2:8" s="243" customFormat="1">
      <c r="B24" s="111" t="s">
        <v>1191</v>
      </c>
      <c r="C24" s="118" t="str">
        <f>CHOOSE(jezyk,n!A485,n!B485,n!C485,n!D485)</f>
        <v>Zysk (strata) brutto ze sprzedaży</v>
      </c>
      <c r="D24" s="111"/>
      <c r="F24" s="334">
        <f>F12-F18</f>
        <v>0</v>
      </c>
      <c r="G24" s="334">
        <f>G12-G18</f>
        <v>0</v>
      </c>
    </row>
    <row r="25" spans="2:8">
      <c r="B25" s="72"/>
      <c r="C25" s="72" t="s">
        <v>764</v>
      </c>
      <c r="D25" s="72"/>
      <c r="F25" s="331"/>
      <c r="G25" s="92"/>
    </row>
    <row r="26" spans="2:8" s="243" customFormat="1">
      <c r="B26" s="111" t="s">
        <v>1192</v>
      </c>
      <c r="C26" s="118" t="str">
        <f>CHOOSE(jezyk,n!A486,n!B486,n!C486,n!D486)</f>
        <v>Koszty sprzedaży</v>
      </c>
      <c r="D26" s="111"/>
      <c r="F26" s="333"/>
      <c r="G26" s="115"/>
      <c r="H26" s="66"/>
    </row>
    <row r="27" spans="2:8" s="243" customFormat="1">
      <c r="B27" s="111"/>
      <c r="C27" s="118"/>
      <c r="D27" s="111"/>
      <c r="F27" s="331"/>
      <c r="G27" s="92"/>
      <c r="H27" s="66"/>
    </row>
    <row r="28" spans="2:8" s="243" customFormat="1">
      <c r="B28" s="111" t="s">
        <v>1193</v>
      </c>
      <c r="C28" s="118" t="str">
        <f>CHOOSE(jezyk,n!A487,n!B487,n!C487,n!D487)</f>
        <v>Koszty ogólnego zarządu</v>
      </c>
      <c r="D28" s="111"/>
      <c r="F28" s="333"/>
      <c r="G28" s="115"/>
      <c r="H28" s="66"/>
    </row>
    <row r="29" spans="2:8" s="243" customFormat="1">
      <c r="B29" s="111"/>
      <c r="C29" s="118"/>
      <c r="D29" s="111"/>
      <c r="F29" s="331"/>
      <c r="G29" s="92"/>
      <c r="H29" s="66"/>
    </row>
    <row r="30" spans="2:8" s="243" customFormat="1">
      <c r="B30" s="111" t="s">
        <v>1194</v>
      </c>
      <c r="C30" s="118" t="str">
        <f>CHOOSE(jezyk,n!A437,n!B437,n!C437,n!D437)</f>
        <v>Zysk (strata) ze sprzedaży</v>
      </c>
      <c r="D30" s="111"/>
      <c r="F30" s="112">
        <f>F24-SUM(F26:F28)</f>
        <v>0</v>
      </c>
      <c r="G30" s="112">
        <f>G24-SUM(G26:G28)</f>
        <v>0</v>
      </c>
    </row>
    <row r="31" spans="2:8" s="243" customFormat="1">
      <c r="B31" s="111"/>
      <c r="C31" s="118"/>
      <c r="D31" s="111"/>
      <c r="F31" s="331"/>
      <c r="G31" s="92"/>
      <c r="H31" s="66"/>
    </row>
    <row r="32" spans="2:8" s="243" customFormat="1">
      <c r="B32" s="111" t="s">
        <v>1195</v>
      </c>
      <c r="C32" s="118" t="str">
        <f>CHOOSE(jezyk,n!A438,n!B438,n!C438,n!D438)</f>
        <v>Pozostałe przychody operacyjne</v>
      </c>
      <c r="D32" s="111"/>
      <c r="F32" s="112">
        <f>SUM(F34:F37)</f>
        <v>0</v>
      </c>
      <c r="G32" s="112">
        <f>SUM(G34:G37)</f>
        <v>0</v>
      </c>
      <c r="H32" s="66"/>
    </row>
    <row r="33" spans="2:8" s="243" customFormat="1">
      <c r="B33" s="111"/>
      <c r="C33" s="118"/>
      <c r="D33" s="111"/>
      <c r="F33" s="331"/>
      <c r="G33" s="92"/>
      <c r="H33" s="66"/>
    </row>
    <row r="34" spans="2:8">
      <c r="C34" s="72" t="s">
        <v>1447</v>
      </c>
      <c r="D34" s="92" t="str">
        <f>CHOOSE(jezyk,n!A439,n!B439,n!C439,n!D439)</f>
        <v>Zysk z tytułu rozchodu niefinansowych aktywów trwałych</v>
      </c>
      <c r="E34" s="72"/>
      <c r="F34" s="333"/>
      <c r="G34" s="302"/>
    </row>
    <row r="35" spans="2:8">
      <c r="C35" s="72" t="s">
        <v>1449</v>
      </c>
      <c r="D35" s="92" t="str">
        <f>CHOOSE(jezyk,n!A440,n!B440,n!C440,n!D440)</f>
        <v>Dotacje</v>
      </c>
      <c r="E35" s="72"/>
      <c r="F35" s="333"/>
      <c r="G35" s="302"/>
    </row>
    <row r="36" spans="2:8">
      <c r="C36" s="72" t="s">
        <v>1451</v>
      </c>
      <c r="D36" s="92" t="str">
        <f>CHOOSE(jezyk,n!A441,n!B441,n!C441,n!D441)</f>
        <v>Aktualizacja wartości aktywów niefinansowych</v>
      </c>
      <c r="E36" s="72"/>
      <c r="F36" s="333"/>
      <c r="G36" s="302"/>
    </row>
    <row r="37" spans="2:8">
      <c r="C37" s="72" t="s">
        <v>1454</v>
      </c>
      <c r="D37" s="92" t="str">
        <f>CHOOSE(jezyk,n!A442,n!B442,n!C442,n!D442)</f>
        <v>Inne przychody operacyjne</v>
      </c>
      <c r="E37" s="72"/>
      <c r="F37" s="333"/>
      <c r="G37" s="302"/>
    </row>
    <row r="38" spans="2:8">
      <c r="C38" s="72" t="s">
        <v>764</v>
      </c>
      <c r="D38" s="72"/>
      <c r="E38" s="72"/>
      <c r="F38" s="66"/>
      <c r="G38" s="66"/>
    </row>
    <row r="39" spans="2:8" s="243" customFormat="1">
      <c r="B39" s="111" t="s">
        <v>1196</v>
      </c>
      <c r="C39" s="118" t="str">
        <f>CHOOSE(jezyk,n!A443,n!B443,n!C443,n!D443)</f>
        <v>Pozostałe koszty operacyjne</v>
      </c>
      <c r="D39" s="111"/>
      <c r="F39" s="112">
        <f>SUM(F41:F43)</f>
        <v>0</v>
      </c>
      <c r="G39" s="112">
        <f>SUM(G41:G43)</f>
        <v>0</v>
      </c>
      <c r="H39" s="66"/>
    </row>
    <row r="40" spans="2:8" s="243" customFormat="1">
      <c r="B40" s="111"/>
      <c r="C40" s="118"/>
      <c r="D40" s="111"/>
      <c r="F40" s="331"/>
      <c r="G40" s="92"/>
      <c r="H40" s="66"/>
    </row>
    <row r="41" spans="2:8">
      <c r="C41" s="72" t="s">
        <v>1447</v>
      </c>
      <c r="D41" s="92" t="str">
        <f>CHOOSE(jezyk,n!A444,n!B444,n!C444,n!D444)</f>
        <v>Strata z tytułu rozchodu niefinansowych aktywów trwałych</v>
      </c>
      <c r="F41" s="333"/>
      <c r="G41" s="302"/>
    </row>
    <row r="42" spans="2:8">
      <c r="C42" s="72" t="s">
        <v>1449</v>
      </c>
      <c r="D42" s="92" t="str">
        <f>CHOOSE(jezyk,n!A445,n!B445,n!C445,n!D445)</f>
        <v>Aktualizacja wartości aktywów niefinansowych</v>
      </c>
      <c r="F42" s="333"/>
      <c r="G42" s="302"/>
    </row>
    <row r="43" spans="2:8">
      <c r="C43" s="72" t="s">
        <v>1451</v>
      </c>
      <c r="D43" s="92" t="str">
        <f>CHOOSE(jezyk,n!A446,n!B446,n!C446,n!D446)</f>
        <v>Inne koszty operacyjne</v>
      </c>
      <c r="E43" s="72"/>
      <c r="F43" s="333"/>
      <c r="G43" s="302"/>
    </row>
    <row r="44" spans="2:8">
      <c r="C44" s="72"/>
      <c r="D44" s="72"/>
      <c r="E44" s="111"/>
      <c r="F44" s="331"/>
      <c r="G44" s="92"/>
    </row>
    <row r="45" spans="2:8" s="243" customFormat="1">
      <c r="B45" s="243" t="s">
        <v>1447</v>
      </c>
      <c r="C45" s="118" t="str">
        <f>CHOOSE(jezyk,n!A447,n!B447,n!C447,n!D447)</f>
        <v>Zysk (strata) z działalności operacyjnej</v>
      </c>
      <c r="D45" s="111"/>
      <c r="E45" s="111"/>
      <c r="F45" s="334">
        <f>F30+F32-F39</f>
        <v>0</v>
      </c>
      <c r="G45" s="334">
        <f>G30+G32-G39</f>
        <v>0</v>
      </c>
    </row>
    <row r="46" spans="2:8">
      <c r="C46" s="72" t="s">
        <v>764</v>
      </c>
      <c r="D46" s="72"/>
      <c r="E46" s="72"/>
      <c r="F46" s="331"/>
      <c r="G46" s="92"/>
    </row>
    <row r="47" spans="2:8" s="243" customFormat="1">
      <c r="B47" s="111" t="s">
        <v>1197</v>
      </c>
      <c r="C47" s="118" t="str">
        <f>CHOOSE(jezyk,n!A448,n!B448,n!C448,n!D448)</f>
        <v>Przychody finansowe</v>
      </c>
      <c r="D47" s="111"/>
      <c r="F47" s="301">
        <f>SUM(F49,F54,F56,F58,F59)</f>
        <v>0</v>
      </c>
      <c r="G47" s="301">
        <f>SUM(G49,G54,G56,G58,G59)</f>
        <v>0</v>
      </c>
      <c r="H47" s="66"/>
    </row>
    <row r="48" spans="2:8" s="243" customFormat="1">
      <c r="B48" s="111"/>
      <c r="C48" s="118"/>
      <c r="D48" s="111"/>
      <c r="F48" s="331"/>
      <c r="G48" s="306"/>
      <c r="H48" s="66"/>
    </row>
    <row r="49" spans="2:8">
      <c r="C49" s="72" t="s">
        <v>1447</v>
      </c>
      <c r="D49" s="92" t="str">
        <f>CHOOSE(jezyk,n!A449,n!B449,n!C449,n!D449)</f>
        <v>Dywidendy i udziały w zyskach, w tym:</v>
      </c>
      <c r="E49" s="72"/>
      <c r="F49" s="301">
        <f>F50+F52</f>
        <v>0</v>
      </c>
      <c r="G49" s="301">
        <f>G50+G52</f>
        <v>0</v>
      </c>
    </row>
    <row r="50" spans="2:8">
      <c r="C50" s="72"/>
      <c r="D50" s="72" t="s">
        <v>1459</v>
      </c>
      <c r="E50" s="92" t="str">
        <f>CHOOSE(jezyk,n!A450,n!B450,n!C450,n!D450)</f>
        <v>od jednostek powiązanych, w tym:</v>
      </c>
      <c r="F50" s="333"/>
      <c r="G50" s="302"/>
    </row>
    <row r="51" spans="2:8">
      <c r="C51" s="72"/>
      <c r="D51" s="72" t="s">
        <v>533</v>
      </c>
      <c r="E51" s="92" t="str">
        <f>CHOOSE(jezyk,n!A451,n!B451,n!C451,n!D451)</f>
        <v>w których jednostka posiada zaangażowanie w kapitale</v>
      </c>
      <c r="F51" s="333"/>
      <c r="G51" s="302"/>
    </row>
    <row r="52" spans="2:8">
      <c r="C52" s="72"/>
      <c r="D52" s="72" t="s">
        <v>1460</v>
      </c>
      <c r="E52" s="92" t="str">
        <f>CHOOSE(jezyk,n!A452,n!B452,n!C452,n!D452)</f>
        <v>od jednostek pozostałych, w tym:</v>
      </c>
      <c r="F52" s="333"/>
      <c r="G52" s="302"/>
    </row>
    <row r="53" spans="2:8">
      <c r="C53" s="72"/>
      <c r="D53" s="72" t="s">
        <v>533</v>
      </c>
      <c r="E53" s="92" t="str">
        <f>E51</f>
        <v>w których jednostka posiada zaangażowanie w kapitale</v>
      </c>
      <c r="F53" s="333"/>
      <c r="G53" s="302"/>
    </row>
    <row r="54" spans="2:8">
      <c r="C54" s="72" t="s">
        <v>1449</v>
      </c>
      <c r="D54" s="92" t="str">
        <f>CHOOSE(jezyk,n!A453,n!B453,n!C453,n!D453)</f>
        <v>Odsetki, w tym:</v>
      </c>
      <c r="E54" s="72"/>
      <c r="F54" s="333"/>
      <c r="G54" s="302"/>
    </row>
    <row r="55" spans="2:8">
      <c r="C55" s="72"/>
      <c r="D55" s="72" t="s">
        <v>533</v>
      </c>
      <c r="E55" s="92" t="str">
        <f>CHOOSE(jezyk,n!A478,n!B478,n!C478,n!D478)</f>
        <v>od jednostek powiązanych</v>
      </c>
      <c r="F55" s="333"/>
      <c r="G55" s="302"/>
    </row>
    <row r="56" spans="2:8">
      <c r="C56" s="72" t="s">
        <v>1451</v>
      </c>
      <c r="D56" s="92" t="str">
        <f>CHOOSE(jezyk,n!A454,n!B454,n!C454,n!D454)</f>
        <v>Zysk z tytułu rozchodu aktywów finansowych, w tym:</v>
      </c>
      <c r="E56" s="72"/>
      <c r="F56" s="333"/>
      <c r="G56" s="302"/>
    </row>
    <row r="57" spans="2:8">
      <c r="C57" s="72"/>
      <c r="D57" s="72" t="s">
        <v>533</v>
      </c>
      <c r="E57" s="92" t="str">
        <f>CHOOSE(jezyk,n!A455,n!B455,n!C455,n!D455)</f>
        <v>w jednostkach powiązanych</v>
      </c>
      <c r="F57" s="333"/>
      <c r="G57" s="302"/>
    </row>
    <row r="58" spans="2:8">
      <c r="C58" s="72" t="s">
        <v>1454</v>
      </c>
      <c r="D58" s="92" t="str">
        <f>CHOOSE(jezyk,n!A456,n!B456,n!C456,n!D456)</f>
        <v>Aktualizacja wartości aktywów finansowych</v>
      </c>
      <c r="E58" s="72"/>
      <c r="F58" s="333"/>
      <c r="G58" s="302"/>
    </row>
    <row r="59" spans="2:8">
      <c r="C59" s="66" t="s">
        <v>1455</v>
      </c>
      <c r="D59" s="92" t="str">
        <f>CHOOSE(jezyk,n!A457,n!B457,n!C457,n!D457)</f>
        <v>Inne</v>
      </c>
      <c r="E59" s="72"/>
      <c r="F59" s="333"/>
      <c r="G59" s="302"/>
    </row>
    <row r="60" spans="2:8">
      <c r="C60" s="111" t="s">
        <v>764</v>
      </c>
      <c r="D60" s="111"/>
      <c r="E60" s="72"/>
      <c r="F60" s="331"/>
      <c r="G60" s="92"/>
    </row>
    <row r="61" spans="2:8" s="243" customFormat="1">
      <c r="B61" s="111" t="s">
        <v>1198</v>
      </c>
      <c r="C61" s="118" t="str">
        <f>CHOOSE(jezyk,n!A458,n!B458,n!C458,n!D458)</f>
        <v>Koszty finansowe</v>
      </c>
      <c r="D61" s="111"/>
      <c r="F61" s="112">
        <f>SUM(F63,F65,F67,F68)</f>
        <v>0</v>
      </c>
      <c r="G61" s="112">
        <f>SUM(G63,G65,G67,G68)</f>
        <v>0</v>
      </c>
      <c r="H61" s="66"/>
    </row>
    <row r="62" spans="2:8" s="243" customFormat="1">
      <c r="B62" s="111"/>
      <c r="C62" s="118"/>
      <c r="D62" s="111"/>
      <c r="F62" s="331"/>
      <c r="G62" s="92"/>
      <c r="H62" s="66"/>
    </row>
    <row r="63" spans="2:8">
      <c r="C63" s="72" t="s">
        <v>1447</v>
      </c>
      <c r="D63" s="92" t="str">
        <f>CHOOSE(jezyk,n!A459,n!B459,n!C459,n!D459)</f>
        <v>Odsetki, w tym:</v>
      </c>
      <c r="F63" s="333"/>
      <c r="G63" s="302"/>
    </row>
    <row r="64" spans="2:8">
      <c r="D64" s="66" t="s">
        <v>533</v>
      </c>
      <c r="E64" s="92" t="str">
        <f>CHOOSE(jezyk,n!A460,n!B460,n!C460,n!D460)</f>
        <v>dla jednostek powiązanych</v>
      </c>
      <c r="F64" s="333"/>
      <c r="G64" s="302"/>
    </row>
    <row r="65" spans="2:8">
      <c r="C65" s="72" t="s">
        <v>1449</v>
      </c>
      <c r="D65" s="92" t="str">
        <f>CHOOSE(jezyk,n!A461,n!B461,n!C461,n!D461)</f>
        <v>Strata z tytułu rozchodu aktywów finansowych, w tym:</v>
      </c>
      <c r="E65" s="72"/>
      <c r="F65" s="333"/>
      <c r="G65" s="302"/>
    </row>
    <row r="66" spans="2:8">
      <c r="C66" s="72"/>
      <c r="D66" s="72" t="s">
        <v>533</v>
      </c>
      <c r="E66" s="92" t="str">
        <f>E57</f>
        <v>w jednostkach powiązanych</v>
      </c>
      <c r="F66" s="333"/>
      <c r="G66" s="302"/>
    </row>
    <row r="67" spans="2:8">
      <c r="C67" s="72" t="s">
        <v>1451</v>
      </c>
      <c r="D67" s="92" t="str">
        <f>CHOOSE(jezyk,n!A462,n!B462,n!C462,n!D462)</f>
        <v>Aktualizacja wartości aktywów finansowych</v>
      </c>
      <c r="E67" s="72"/>
      <c r="F67" s="333"/>
      <c r="G67" s="302"/>
    </row>
    <row r="68" spans="2:8">
      <c r="C68" s="72" t="s">
        <v>1454</v>
      </c>
      <c r="D68" s="92" t="str">
        <f>CHOOSE(jezyk,n!A463,n!B463,n!C463,n!D463)</f>
        <v>Inne</v>
      </c>
      <c r="E68" s="72"/>
      <c r="F68" s="333"/>
      <c r="G68" s="302"/>
    </row>
    <row r="69" spans="2:8">
      <c r="C69" s="111"/>
      <c r="D69" s="111"/>
      <c r="E69" s="72"/>
      <c r="F69" s="331"/>
      <c r="G69" s="92"/>
    </row>
    <row r="70" spans="2:8" s="243" customFormat="1">
      <c r="B70" s="111" t="s">
        <v>1199</v>
      </c>
      <c r="C70" s="118" t="str">
        <f>CHOOSE(jezyk,n!A464,n!B464,n!C464,n!D464)</f>
        <v>Zysk (strata) brutto</v>
      </c>
      <c r="D70" s="111"/>
      <c r="F70" s="334">
        <f>F45+F47-F61</f>
        <v>0</v>
      </c>
      <c r="G70" s="334">
        <f>G45+G47-G61</f>
        <v>0</v>
      </c>
    </row>
    <row r="71" spans="2:8">
      <c r="B71" s="72"/>
      <c r="C71" s="111" t="s">
        <v>764</v>
      </c>
      <c r="D71" s="111"/>
      <c r="F71" s="331"/>
      <c r="G71" s="92"/>
    </row>
    <row r="72" spans="2:8" s="243" customFormat="1">
      <c r="B72" s="111" t="s">
        <v>1200</v>
      </c>
      <c r="C72" s="118" t="str">
        <f>CHOOSE(jezyk,n!A469,n!B469,n!C469,n!D469)</f>
        <v>Podatek dochodowy</v>
      </c>
      <c r="D72" s="111"/>
      <c r="F72" s="115"/>
      <c r="G72" s="115"/>
      <c r="H72" s="215">
        <f>F72-'nota 2'!K204</f>
        <v>-94015</v>
      </c>
    </row>
    <row r="73" spans="2:8">
      <c r="D73" s="72"/>
      <c r="E73" s="72"/>
      <c r="F73" s="331"/>
    </row>
    <row r="74" spans="2:8">
      <c r="B74" s="243" t="s">
        <v>1201</v>
      </c>
      <c r="C74" s="118" t="str">
        <f>CHOOSE(jezyk,n!A470,n!B470,n!C470,n!D470)</f>
        <v>Pozostałe obowiązkowe zmniejszenia zysku (zwiększenia straty)</v>
      </c>
      <c r="D74" s="72"/>
      <c r="E74" s="72"/>
      <c r="F74" s="333"/>
      <c r="G74" s="115"/>
    </row>
    <row r="75" spans="2:8">
      <c r="B75" s="250"/>
      <c r="C75" s="125" t="s">
        <v>764</v>
      </c>
      <c r="D75" s="125"/>
      <c r="E75" s="250"/>
      <c r="F75" s="250"/>
      <c r="G75" s="126"/>
    </row>
    <row r="76" spans="2:8">
      <c r="C76" s="111" t="s">
        <v>764</v>
      </c>
      <c r="D76" s="111"/>
      <c r="G76" s="92"/>
    </row>
    <row r="77" spans="2:8" s="243" customFormat="1">
      <c r="B77" s="182" t="s">
        <v>644</v>
      </c>
      <c r="C77" s="118" t="str">
        <f>CHOOSE(jezyk,n!A471,n!B471,n!C471,n!D471)</f>
        <v>Zysk (strata) netto</v>
      </c>
      <c r="D77" s="111"/>
      <c r="E77" s="182"/>
      <c r="F77" s="300">
        <f>F70-SUM(F72,F74)</f>
        <v>0</v>
      </c>
      <c r="G77" s="300">
        <f>G70-SUM(G72,G74)</f>
        <v>0</v>
      </c>
      <c r="H77" s="232"/>
    </row>
    <row r="78" spans="2:8" ht="13.5" thickBot="1">
      <c r="B78" s="322"/>
      <c r="C78" s="322"/>
      <c r="D78" s="322"/>
      <c r="E78" s="322"/>
      <c r="F78" s="323"/>
      <c r="G78" s="323"/>
    </row>
    <row r="80" spans="2:8">
      <c r="B80" s="66" t="str">
        <f>siedziba&amp;", "&amp;GA!D53</f>
        <v>Warszawa, 28.02.2025</v>
      </c>
      <c r="F80" s="331"/>
    </row>
    <row r="81" spans="3:7">
      <c r="E81" s="253" t="str">
        <f>CHOOSE(jezyk,n!A412,n!B412,n!C412,n!D412)</f>
        <v>Osoba sporządzająca:</v>
      </c>
      <c r="F81" s="1185" t="str">
        <f>CHOOSE(jezyk,n!A413,n!B413,n!C413,n!D413)</f>
        <v>Zarząd:</v>
      </c>
      <c r="G81" s="1185"/>
    </row>
    <row r="82" spans="3:7">
      <c r="C82" s="328"/>
      <c r="D82" s="328"/>
      <c r="E82" s="328"/>
      <c r="F82" s="296"/>
      <c r="G82" s="296"/>
    </row>
    <row r="83" spans="3:7">
      <c r="C83" s="328"/>
      <c r="D83" s="328"/>
      <c r="E83" s="328" t="s">
        <v>994</v>
      </c>
      <c r="F83" s="215">
        <f>F77-Bilans!S21</f>
        <v>0</v>
      </c>
      <c r="G83" s="215">
        <f>G77-Bilans!T21</f>
        <v>0</v>
      </c>
    </row>
    <row r="84" spans="3:7">
      <c r="C84" s="328"/>
      <c r="D84" s="328"/>
      <c r="E84" s="328"/>
      <c r="F84" s="296"/>
      <c r="G84" s="296"/>
    </row>
    <row r="85" spans="3:7">
      <c r="C85" s="328"/>
      <c r="D85" s="328"/>
      <c r="E85" s="328"/>
      <c r="F85" s="296"/>
      <c r="G85" s="296"/>
    </row>
    <row r="86" spans="3:7">
      <c r="C86" s="328"/>
      <c r="D86" s="328"/>
      <c r="E86" s="328"/>
      <c r="F86" s="296"/>
      <c r="G86" s="296"/>
    </row>
    <row r="87" spans="3:7">
      <c r="C87" s="328"/>
      <c r="D87" s="328"/>
      <c r="E87" s="328"/>
      <c r="F87" s="296"/>
      <c r="G87" s="296"/>
    </row>
    <row r="88" spans="3:7">
      <c r="C88" s="328"/>
      <c r="D88" s="328"/>
      <c r="E88" s="328"/>
      <c r="F88" s="296"/>
      <c r="G88" s="296"/>
    </row>
    <row r="89" spans="3:7">
      <c r="C89" s="328"/>
      <c r="D89" s="328"/>
      <c r="E89" s="328"/>
      <c r="F89" s="296"/>
      <c r="G89" s="296"/>
    </row>
    <row r="90" spans="3:7">
      <c r="C90" s="328"/>
      <c r="D90" s="328"/>
      <c r="E90" s="328"/>
      <c r="F90" s="296"/>
      <c r="G90" s="296"/>
    </row>
    <row r="91" spans="3:7">
      <c r="C91" s="328"/>
      <c r="D91" s="328"/>
      <c r="E91" s="328"/>
      <c r="F91" s="296"/>
      <c r="G91" s="296"/>
    </row>
    <row r="92" spans="3:7">
      <c r="C92" s="328"/>
      <c r="D92" s="328"/>
      <c r="E92" s="328"/>
      <c r="F92" s="296"/>
      <c r="G92" s="296"/>
    </row>
    <row r="93" spans="3:7">
      <c r="C93" s="328"/>
      <c r="D93" s="328"/>
      <c r="E93" s="328"/>
      <c r="F93" s="296"/>
      <c r="G93" s="296"/>
    </row>
    <row r="94" spans="3:7">
      <c r="C94" s="328"/>
      <c r="D94" s="328"/>
      <c r="E94" s="328"/>
      <c r="F94" s="296"/>
      <c r="G94" s="296"/>
    </row>
    <row r="95" spans="3:7">
      <c r="C95" s="328"/>
      <c r="D95" s="328"/>
      <c r="E95" s="328"/>
      <c r="F95" s="296"/>
      <c r="G95" s="296"/>
    </row>
    <row r="96" spans="3:7">
      <c r="C96" s="328"/>
      <c r="D96" s="328"/>
      <c r="E96" s="328"/>
      <c r="F96" s="296"/>
      <c r="G96" s="296"/>
    </row>
    <row r="97" spans="3:7">
      <c r="C97" s="328"/>
      <c r="D97" s="328"/>
      <c r="E97" s="328"/>
      <c r="F97" s="296"/>
      <c r="G97" s="296"/>
    </row>
    <row r="98" spans="3:7">
      <c r="C98" s="328"/>
      <c r="D98" s="328"/>
      <c r="E98" s="328"/>
      <c r="F98" s="296"/>
      <c r="G98" s="296"/>
    </row>
    <row r="99" spans="3:7">
      <c r="C99" s="328"/>
      <c r="D99" s="328"/>
      <c r="E99" s="328"/>
      <c r="F99" s="296"/>
      <c r="G99" s="296"/>
    </row>
    <row r="100" spans="3:7">
      <c r="C100" s="328"/>
      <c r="D100" s="328"/>
      <c r="E100" s="328"/>
      <c r="F100" s="296"/>
      <c r="G100" s="296"/>
    </row>
    <row r="101" spans="3:7">
      <c r="C101" s="328"/>
      <c r="D101" s="328"/>
      <c r="E101" s="328"/>
      <c r="F101" s="296"/>
      <c r="G101" s="296"/>
    </row>
    <row r="102" spans="3:7">
      <c r="C102" s="328"/>
      <c r="D102" s="328"/>
      <c r="E102" s="328"/>
      <c r="F102" s="296"/>
      <c r="G102" s="296"/>
    </row>
    <row r="103" spans="3:7">
      <c r="C103" s="328"/>
      <c r="D103" s="328"/>
      <c r="E103" s="328"/>
      <c r="F103" s="296"/>
      <c r="G103" s="296"/>
    </row>
    <row r="104" spans="3:7">
      <c r="C104" s="328"/>
      <c r="D104" s="328"/>
      <c r="E104" s="328"/>
      <c r="F104" s="296"/>
      <c r="G104" s="296"/>
    </row>
    <row r="105" spans="3:7">
      <c r="C105" s="328"/>
      <c r="D105" s="328"/>
      <c r="E105" s="328"/>
      <c r="F105" s="296"/>
      <c r="G105" s="296"/>
    </row>
    <row r="106" spans="3:7">
      <c r="C106" s="328"/>
      <c r="D106" s="328"/>
      <c r="E106" s="328"/>
      <c r="F106" s="296"/>
      <c r="G106" s="296"/>
    </row>
    <row r="107" spans="3:7">
      <c r="C107" s="328"/>
      <c r="D107" s="328"/>
      <c r="E107" s="328"/>
      <c r="F107" s="296"/>
      <c r="G107" s="296"/>
    </row>
    <row r="108" spans="3:7">
      <c r="C108" s="328"/>
      <c r="D108" s="328"/>
      <c r="E108" s="328"/>
      <c r="F108" s="296"/>
      <c r="G108" s="296"/>
    </row>
    <row r="109" spans="3:7">
      <c r="C109" s="328"/>
      <c r="D109" s="328"/>
      <c r="E109" s="328"/>
      <c r="F109" s="296"/>
      <c r="G109" s="296"/>
    </row>
    <row r="110" spans="3:7">
      <c r="C110" s="328"/>
      <c r="D110" s="328"/>
      <c r="E110" s="328"/>
      <c r="F110" s="296"/>
      <c r="G110" s="296"/>
    </row>
    <row r="111" spans="3:7">
      <c r="C111" s="328"/>
      <c r="D111" s="328"/>
      <c r="E111" s="328"/>
      <c r="F111" s="296"/>
      <c r="G111" s="296"/>
    </row>
    <row r="112" spans="3:7">
      <c r="C112" s="328"/>
      <c r="D112" s="328"/>
      <c r="E112" s="328"/>
      <c r="F112" s="296"/>
      <c r="G112" s="296"/>
    </row>
    <row r="113" spans="3:7">
      <c r="C113" s="328"/>
      <c r="D113" s="328"/>
      <c r="E113" s="328"/>
      <c r="F113" s="296"/>
      <c r="G113" s="296"/>
    </row>
    <row r="114" spans="3:7">
      <c r="C114" s="328"/>
      <c r="D114" s="328"/>
      <c r="E114" s="328"/>
      <c r="F114" s="296"/>
      <c r="G114" s="296"/>
    </row>
    <row r="115" spans="3:7">
      <c r="C115" s="328"/>
      <c r="D115" s="328"/>
      <c r="E115" s="328"/>
      <c r="F115" s="296"/>
      <c r="G115" s="296"/>
    </row>
    <row r="116" spans="3:7">
      <c r="C116" s="328"/>
      <c r="D116" s="328"/>
      <c r="E116" s="328"/>
      <c r="F116" s="296"/>
      <c r="G116" s="296"/>
    </row>
    <row r="117" spans="3:7">
      <c r="C117" s="328"/>
      <c r="D117" s="328"/>
      <c r="E117" s="328"/>
      <c r="F117" s="296"/>
      <c r="G117" s="296"/>
    </row>
    <row r="118" spans="3:7">
      <c r="C118" s="328"/>
      <c r="D118" s="328"/>
      <c r="E118" s="328"/>
      <c r="F118" s="296"/>
      <c r="G118" s="296"/>
    </row>
    <row r="119" spans="3:7">
      <c r="C119" s="328"/>
      <c r="D119" s="328"/>
      <c r="E119" s="328"/>
      <c r="F119" s="296"/>
      <c r="G119" s="296"/>
    </row>
    <row r="120" spans="3:7">
      <c r="C120" s="328"/>
      <c r="D120" s="328"/>
      <c r="E120" s="328"/>
      <c r="F120" s="296"/>
      <c r="G120" s="296"/>
    </row>
    <row r="121" spans="3:7">
      <c r="C121" s="328"/>
      <c r="D121" s="328"/>
      <c r="E121" s="328"/>
      <c r="F121" s="296"/>
      <c r="G121" s="296"/>
    </row>
    <row r="122" spans="3:7">
      <c r="C122" s="328"/>
      <c r="D122" s="328"/>
      <c r="E122" s="328"/>
      <c r="F122" s="296"/>
      <c r="G122" s="296"/>
    </row>
    <row r="123" spans="3:7">
      <c r="C123" s="328"/>
      <c r="D123" s="328"/>
      <c r="E123" s="328"/>
      <c r="F123" s="296"/>
      <c r="G123" s="296"/>
    </row>
    <row r="124" spans="3:7">
      <c r="C124" s="328"/>
      <c r="D124" s="328"/>
      <c r="E124" s="328"/>
      <c r="F124" s="296"/>
      <c r="G124" s="296"/>
    </row>
    <row r="125" spans="3:7">
      <c r="C125" s="328"/>
      <c r="D125" s="328"/>
      <c r="E125" s="328"/>
      <c r="F125" s="296"/>
      <c r="G125" s="296"/>
    </row>
    <row r="126" spans="3:7">
      <c r="C126" s="328"/>
      <c r="D126" s="328"/>
      <c r="E126" s="328"/>
      <c r="F126" s="296"/>
      <c r="G126" s="296"/>
    </row>
    <row r="127" spans="3:7">
      <c r="C127" s="328"/>
      <c r="D127" s="328"/>
      <c r="E127" s="328"/>
      <c r="F127" s="296"/>
      <c r="G127" s="296"/>
    </row>
    <row r="128" spans="3:7">
      <c r="C128" s="328"/>
      <c r="D128" s="328"/>
      <c r="E128" s="328"/>
      <c r="F128" s="296"/>
      <c r="G128" s="296"/>
    </row>
    <row r="129" spans="3:7">
      <c r="C129" s="328"/>
      <c r="D129" s="328"/>
      <c r="E129" s="328"/>
      <c r="F129" s="296"/>
      <c r="G129" s="296"/>
    </row>
    <row r="130" spans="3:7">
      <c r="C130" s="328"/>
      <c r="D130" s="328"/>
      <c r="E130" s="328"/>
      <c r="F130" s="296"/>
      <c r="G130" s="296"/>
    </row>
    <row r="131" spans="3:7">
      <c r="C131" s="328"/>
      <c r="D131" s="328"/>
      <c r="E131" s="328"/>
      <c r="F131" s="296"/>
      <c r="G131" s="296"/>
    </row>
    <row r="132" spans="3:7">
      <c r="C132" s="328"/>
      <c r="D132" s="328"/>
      <c r="E132" s="328"/>
      <c r="F132" s="296"/>
      <c r="G132" s="296"/>
    </row>
    <row r="133" spans="3:7">
      <c r="C133" s="328"/>
      <c r="D133" s="328"/>
      <c r="E133" s="328"/>
      <c r="F133" s="296"/>
      <c r="G133" s="296"/>
    </row>
    <row r="134" spans="3:7">
      <c r="C134" s="328"/>
      <c r="D134" s="328"/>
      <c r="E134" s="328"/>
      <c r="F134" s="296"/>
      <c r="G134" s="296"/>
    </row>
    <row r="135" spans="3:7">
      <c r="C135" s="328"/>
      <c r="D135" s="328"/>
      <c r="E135" s="328"/>
      <c r="F135" s="296"/>
      <c r="G135" s="296"/>
    </row>
    <row r="136" spans="3:7">
      <c r="C136" s="328"/>
      <c r="D136" s="328"/>
      <c r="E136" s="328"/>
      <c r="F136" s="296"/>
      <c r="G136" s="296"/>
    </row>
    <row r="137" spans="3:7">
      <c r="C137" s="328"/>
      <c r="D137" s="328"/>
      <c r="E137" s="328"/>
      <c r="F137" s="296"/>
      <c r="G137" s="296"/>
    </row>
    <row r="138" spans="3:7">
      <c r="C138" s="328"/>
      <c r="D138" s="328"/>
      <c r="E138" s="328"/>
      <c r="F138" s="296"/>
      <c r="G138" s="296"/>
    </row>
    <row r="139" spans="3:7">
      <c r="C139" s="328"/>
      <c r="D139" s="328"/>
      <c r="E139" s="328"/>
      <c r="F139" s="296"/>
      <c r="G139" s="296"/>
    </row>
    <row r="140" spans="3:7">
      <c r="C140" s="328"/>
      <c r="D140" s="328"/>
      <c r="E140" s="328"/>
      <c r="F140" s="296"/>
      <c r="G140" s="296"/>
    </row>
    <row r="141" spans="3:7">
      <c r="C141" s="328"/>
      <c r="D141" s="328"/>
      <c r="E141" s="328"/>
      <c r="F141" s="296"/>
      <c r="G141" s="296"/>
    </row>
    <row r="142" spans="3:7">
      <c r="C142" s="328"/>
      <c r="D142" s="328"/>
      <c r="E142" s="328"/>
      <c r="F142" s="296"/>
      <c r="G142" s="296"/>
    </row>
    <row r="143" spans="3:7">
      <c r="C143" s="328"/>
      <c r="D143" s="328"/>
      <c r="E143" s="328"/>
      <c r="F143" s="296"/>
      <c r="G143" s="296"/>
    </row>
    <row r="144" spans="3:7">
      <c r="C144" s="328"/>
      <c r="D144" s="328"/>
      <c r="E144" s="328"/>
      <c r="F144" s="296"/>
      <c r="G144" s="296"/>
    </row>
    <row r="145" spans="3:7">
      <c r="C145" s="328"/>
      <c r="D145" s="328"/>
      <c r="E145" s="328"/>
      <c r="F145" s="296"/>
      <c r="G145" s="296"/>
    </row>
    <row r="146" spans="3:7">
      <c r="C146" s="328"/>
      <c r="D146" s="328"/>
      <c r="E146" s="328"/>
      <c r="F146" s="296"/>
      <c r="G146" s="296"/>
    </row>
    <row r="147" spans="3:7">
      <c r="C147" s="328"/>
      <c r="D147" s="328"/>
      <c r="E147" s="328"/>
      <c r="F147" s="296"/>
      <c r="G147" s="296"/>
    </row>
    <row r="148" spans="3:7">
      <c r="C148" s="328"/>
      <c r="D148" s="328"/>
      <c r="E148" s="328"/>
      <c r="F148" s="296"/>
      <c r="G148" s="296"/>
    </row>
    <row r="149" spans="3:7">
      <c r="C149" s="328"/>
      <c r="D149" s="328"/>
      <c r="E149" s="328"/>
      <c r="F149" s="296"/>
      <c r="G149" s="296"/>
    </row>
    <row r="150" spans="3:7">
      <c r="C150" s="328"/>
      <c r="D150" s="328"/>
      <c r="E150" s="328"/>
      <c r="F150" s="296"/>
      <c r="G150" s="296"/>
    </row>
    <row r="151" spans="3:7">
      <c r="C151" s="328"/>
      <c r="D151" s="328"/>
      <c r="E151" s="328"/>
      <c r="F151" s="296"/>
      <c r="G151" s="296"/>
    </row>
    <row r="152" spans="3:7">
      <c r="C152" s="328"/>
      <c r="D152" s="328"/>
      <c r="E152" s="328"/>
      <c r="F152" s="296"/>
      <c r="G152" s="296"/>
    </row>
    <row r="153" spans="3:7">
      <c r="C153" s="328"/>
      <c r="D153" s="328"/>
      <c r="E153" s="328"/>
      <c r="F153" s="296"/>
      <c r="G153" s="296"/>
    </row>
  </sheetData>
  <sheetProtection formatCells="0" formatColumns="0" formatRows="0" insertRows="0" insertHyperlinks="0" sort="0" autoFilter="0" pivotTables="0"/>
  <mergeCells count="7">
    <mergeCell ref="F81:G81"/>
    <mergeCell ref="B6:G6"/>
    <mergeCell ref="B1:G1"/>
    <mergeCell ref="B5:G5"/>
    <mergeCell ref="B3:G3"/>
    <mergeCell ref="B4:G4"/>
    <mergeCell ref="C18:E18"/>
  </mergeCells>
  <phoneticPr fontId="0" type="noConversion"/>
  <hyperlinks>
    <hyperlink ref="B1:G1" location="'spis treści'!A1" display="SPIS TREŚCI" xr:uid="{00000000-0004-0000-1A00-000000000000}"/>
  </hyperlinks>
  <printOptions horizontalCentered="1" verticalCentered="1"/>
  <pageMargins left="0.78740157480314965" right="0.78740157480314965" top="0.35433070866141736" bottom="0.98425196850393704" header="0.27559055118110237" footer="0.51181102362204722"/>
  <pageSetup paperSize="9" scale="76"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11">
    <tabColor rgb="FFFFC000"/>
    <pageSetUpPr fitToPage="1"/>
  </sheetPr>
  <dimension ref="A1:N110"/>
  <sheetViews>
    <sheetView showGridLines="0" view="pageBreakPreview" topLeftCell="A71" zoomScaleNormal="100" zoomScaleSheetLayoutView="100" workbookViewId="0">
      <selection activeCell="I23" sqref="I23"/>
    </sheetView>
  </sheetViews>
  <sheetFormatPr defaultColWidth="9.140625" defaultRowHeight="12.75"/>
  <cols>
    <col min="1" max="1" width="9.7109375" style="72" bestFit="1" customWidth="1"/>
    <col min="2" max="2" width="3.140625" style="72" customWidth="1"/>
    <col min="3" max="3" width="2.28515625" style="72" customWidth="1"/>
    <col min="4" max="5" width="3.140625" style="72" customWidth="1"/>
    <col min="6" max="6" width="1.5703125" style="72" customWidth="1"/>
    <col min="7" max="7" width="44.28515625" style="72" customWidth="1"/>
    <col min="8" max="8" width="4.42578125" style="72" customWidth="1"/>
    <col min="9" max="10" width="14.7109375" style="72" customWidth="1"/>
    <col min="11" max="11" width="13.5703125" style="72" customWidth="1"/>
    <col min="12" max="12" width="9.140625" style="72"/>
    <col min="13" max="13" width="12" style="72" customWidth="1"/>
    <col min="14" max="14" width="12.140625" style="72" customWidth="1"/>
    <col min="15" max="16384" width="9.140625" style="72"/>
  </cols>
  <sheetData>
    <row r="1" spans="2:10">
      <c r="B1" s="765" t="s">
        <v>1257</v>
      </c>
      <c r="C1" s="765"/>
      <c r="D1" s="765"/>
      <c r="E1" s="765"/>
      <c r="F1" s="765"/>
      <c r="G1" s="765"/>
      <c r="H1" s="765"/>
      <c r="I1" s="765"/>
      <c r="J1" s="765"/>
    </row>
    <row r="2" spans="2:10" ht="42" customHeight="1">
      <c r="B2" s="392"/>
      <c r="C2" s="392"/>
      <c r="D2" s="392"/>
      <c r="E2" s="392"/>
      <c r="F2" s="392"/>
      <c r="G2" s="392"/>
      <c r="H2" s="392"/>
      <c r="I2" s="392"/>
      <c r="J2" s="392"/>
    </row>
    <row r="3" spans="2:10" ht="23.25" customHeight="1">
      <c r="B3" s="778" t="str">
        <f>nazwa_spolki &amp;", " &amp;siedziba</f>
        <v>Rhenus Digital Workforce Sp. z o.o., Warszawa</v>
      </c>
      <c r="C3" s="778"/>
      <c r="D3" s="778"/>
      <c r="E3" s="778"/>
      <c r="F3" s="778"/>
      <c r="G3" s="778"/>
      <c r="H3" s="778"/>
      <c r="I3" s="778"/>
      <c r="J3" s="778"/>
    </row>
    <row r="4" spans="2:10">
      <c r="B4" s="1187" t="str">
        <f>CHOOSE(jezyk,n!A557,n!B557,n!C557,n!D557)</f>
        <v>Zestawienie zmian w kapitale (funduszu) własnym</v>
      </c>
      <c r="C4" s="1187"/>
      <c r="D4" s="1187"/>
      <c r="E4" s="1187"/>
      <c r="F4" s="1187"/>
      <c r="G4" s="1187"/>
      <c r="H4" s="1187"/>
      <c r="I4" s="1187"/>
      <c r="J4" s="1187"/>
    </row>
    <row r="5" spans="2:10">
      <c r="B5" s="775" t="str">
        <f>CHOOSE(jezyk,n!A418,n!B418,n!C418,n!D418)</f>
        <v>za rok obrotowy od 19.10.2023 do 31.12.2024</v>
      </c>
      <c r="C5" s="775"/>
      <c r="D5" s="775"/>
      <c r="E5" s="775"/>
      <c r="F5" s="775"/>
      <c r="G5" s="775"/>
      <c r="H5" s="775"/>
      <c r="I5" s="775"/>
      <c r="J5" s="775"/>
    </row>
    <row r="6" spans="2:10">
      <c r="B6" s="107"/>
      <c r="C6" s="107"/>
      <c r="D6" s="107"/>
      <c r="E6" s="107"/>
      <c r="F6" s="107"/>
      <c r="G6" s="107"/>
      <c r="H6" s="107"/>
      <c r="I6" s="107"/>
      <c r="J6" s="107"/>
    </row>
    <row r="7" spans="2:10">
      <c r="J7" s="134" t="str">
        <f>IF(GA!D51="nie","",CHOOSE(jezyk,n!A289,n!B289,n!C289,n!D289))</f>
        <v/>
      </c>
    </row>
    <row r="8" spans="2:10">
      <c r="I8" s="108" t="str">
        <f>CHOOSE(jezyk,n!A287,n!B287,n!C287,n!D287)</f>
        <v>Rok bieżący</v>
      </c>
      <c r="J8" s="108" t="str">
        <f>IF(GA!D51="nie",CHOOSE(jezyk,n!A288,n!B288,n!C288,n!D288),CHOOSE(jezyk,n!A290,n!B290,n!C290,n!D290))</f>
        <v>Rok poprzedni</v>
      </c>
    </row>
    <row r="9" spans="2:10">
      <c r="B9" s="109"/>
      <c r="C9" s="109"/>
      <c r="D9" s="109"/>
      <c r="E9" s="109"/>
      <c r="F9" s="109"/>
      <c r="G9" s="109"/>
      <c r="H9" s="109"/>
      <c r="I9" s="110" t="s">
        <v>35</v>
      </c>
      <c r="J9" s="110" t="s">
        <v>35</v>
      </c>
    </row>
    <row r="11" spans="2:10" s="111" customFormat="1">
      <c r="B11" s="111" t="s">
        <v>1447</v>
      </c>
      <c r="C11" s="111" t="str">
        <f>CHOOSE(jezyk,n!A558,n!B558,n!C558,n!D558)</f>
        <v>Kapitał (fundusz) własny na początek okresu (BO)</v>
      </c>
      <c r="I11" s="112">
        <f>J100</f>
        <v>1E-4</v>
      </c>
      <c r="J11" s="113">
        <v>0</v>
      </c>
    </row>
    <row r="12" spans="2:10">
      <c r="C12" s="72" t="s">
        <v>533</v>
      </c>
      <c r="D12" s="72" t="str">
        <f>CHOOSE(jezyk,n!A599,n!B599,n!C599,n!D598)</f>
        <v>zmiany przyjętych zasad (polityki) rachunkowości</v>
      </c>
      <c r="H12" s="114"/>
      <c r="I12" s="115">
        <v>0</v>
      </c>
      <c r="J12" s="115">
        <v>0</v>
      </c>
    </row>
    <row r="13" spans="2:10">
      <c r="C13" s="72" t="s">
        <v>533</v>
      </c>
      <c r="D13" s="72" t="str">
        <f>CHOOSE(jezyk,n!A560,n!B560,n!C560,n!D560)</f>
        <v xml:space="preserve">korekty błędów </v>
      </c>
      <c r="I13" s="115">
        <v>0</v>
      </c>
      <c r="J13" s="115">
        <v>0</v>
      </c>
    </row>
    <row r="14" spans="2:10">
      <c r="I14" s="92"/>
      <c r="J14" s="92"/>
    </row>
    <row r="15" spans="2:10" ht="12" customHeight="1">
      <c r="B15" s="111" t="s">
        <v>972</v>
      </c>
      <c r="C15" s="1188" t="str">
        <f>CHOOSE(jezyk,n!A561,n!B561,n!C561,n!D561)</f>
        <v>Kapitał (fundusz) własny na początek okresu (BO), po korektach</v>
      </c>
      <c r="D15" s="1188"/>
      <c r="E15" s="1188"/>
      <c r="F15" s="1188"/>
      <c r="G15" s="1188"/>
      <c r="I15" s="116">
        <f>I11+I13+I12</f>
        <v>1E-4</v>
      </c>
      <c r="J15" s="116">
        <f>J11+J13+J12</f>
        <v>0</v>
      </c>
    </row>
    <row r="16" spans="2:10" ht="12" customHeight="1">
      <c r="B16" s="111"/>
      <c r="C16" s="1188"/>
      <c r="D16" s="1188"/>
      <c r="E16" s="1188"/>
      <c r="F16" s="1188"/>
      <c r="G16" s="1188"/>
      <c r="I16" s="92"/>
      <c r="J16" s="92"/>
    </row>
    <row r="17" spans="2:14">
      <c r="B17" s="111"/>
      <c r="C17" s="117"/>
      <c r="D17" s="99"/>
      <c r="E17" s="99"/>
      <c r="F17" s="99"/>
      <c r="G17" s="99"/>
      <c r="I17" s="92"/>
      <c r="J17" s="92"/>
    </row>
    <row r="18" spans="2:14" s="111" customFormat="1">
      <c r="C18" s="111" t="s">
        <v>1448</v>
      </c>
      <c r="D18" s="111" t="str">
        <f>CHOOSE(jezyk,n!A562,n!B562,n!C562,n!D562)</f>
        <v>Kapitał (fundusz) podstawowy na początek okresu</v>
      </c>
      <c r="I18" s="112">
        <f>J27</f>
        <v>0</v>
      </c>
      <c r="J18" s="113">
        <v>0</v>
      </c>
    </row>
    <row r="19" spans="2:14" s="111" customFormat="1">
      <c r="I19" s="118"/>
      <c r="J19" s="118"/>
    </row>
    <row r="20" spans="2:14">
      <c r="D20" s="72" t="s">
        <v>423</v>
      </c>
      <c r="E20" s="72" t="str">
        <f>CHOOSE(jezyk,n!A563,n!B563,n!C563,n!D563)</f>
        <v>Zmiany kapitału (funduszu) podstawowego</v>
      </c>
      <c r="I20" s="116">
        <f>I21-I24</f>
        <v>0</v>
      </c>
      <c r="J20" s="116">
        <f>J21-J24</f>
        <v>0</v>
      </c>
    </row>
    <row r="21" spans="2:14">
      <c r="E21" s="72" t="s">
        <v>1459</v>
      </c>
      <c r="F21" s="72" t="str">
        <f>CHOOSE(jezyk,n!A564,n!B564,n!C564,n!D564)</f>
        <v>zwiększenie (z tytułu)</v>
      </c>
      <c r="I21" s="116">
        <f>SUM(I22:I23)</f>
        <v>0</v>
      </c>
      <c r="J21" s="116">
        <f>SUM(J22:J23)</f>
        <v>0</v>
      </c>
    </row>
    <row r="22" spans="2:14">
      <c r="F22" s="72" t="s">
        <v>533</v>
      </c>
      <c r="G22" s="72" t="str">
        <f>CHOOSE(jezyk,n!A565,n!B565,n!C565,n!D565)</f>
        <v>wydania udziałów (emisji akcji)</v>
      </c>
      <c r="I22" s="119">
        <v>0</v>
      </c>
      <c r="J22" s="119">
        <v>0</v>
      </c>
    </row>
    <row r="23" spans="2:14">
      <c r="F23" s="72" t="s">
        <v>533</v>
      </c>
      <c r="G23" s="120"/>
      <c r="I23" s="119">
        <v>0</v>
      </c>
      <c r="J23" s="119">
        <v>0</v>
      </c>
      <c r="K23" s="90" t="s">
        <v>5596</v>
      </c>
    </row>
    <row r="24" spans="2:14">
      <c r="E24" s="72" t="s">
        <v>1460</v>
      </c>
      <c r="F24" s="72" t="str">
        <f>CHOOSE(jezyk,n!A566,n!B566,n!C566,n!D566)</f>
        <v>zmniejszenie (z tytułu)</v>
      </c>
      <c r="I24" s="116">
        <f>SUM(I25:I26)</f>
        <v>0</v>
      </c>
      <c r="J24" s="116">
        <f>SUM(J25:J26)</f>
        <v>0</v>
      </c>
    </row>
    <row r="25" spans="2:14">
      <c r="F25" s="72" t="s">
        <v>533</v>
      </c>
      <c r="G25" s="72" t="str">
        <f>CHOOSE(jezyk,n!A567,n!B567,n!C567,n!D567)</f>
        <v>umorzenia udziałów (akcji)</v>
      </c>
      <c r="I25" s="119">
        <v>0</v>
      </c>
      <c r="J25" s="119">
        <v>0</v>
      </c>
    </row>
    <row r="26" spans="2:14">
      <c r="F26" s="72" t="s">
        <v>533</v>
      </c>
      <c r="G26" s="120"/>
      <c r="I26" s="119">
        <v>0</v>
      </c>
      <c r="J26" s="119">
        <v>0</v>
      </c>
      <c r="K26" s="90" t="s">
        <v>5596</v>
      </c>
      <c r="M26" s="121" t="str">
        <f>dzb</f>
        <v>31.12.2024</v>
      </c>
      <c r="N26" s="122" t="str">
        <f>pdz</f>
        <v>31.12.2023</v>
      </c>
    </row>
    <row r="27" spans="2:14">
      <c r="D27" s="111" t="s">
        <v>91</v>
      </c>
      <c r="E27" s="111" t="str">
        <f>CHOOSE(jezyk,n!A568,n!B568,n!C568,n!D568)</f>
        <v>Kapitał (fundusz) podstawowy na koniec okresu</v>
      </c>
      <c r="F27" s="111"/>
      <c r="G27" s="111"/>
      <c r="H27" s="111"/>
      <c r="I27" s="112">
        <f>I18+I20</f>
        <v>0</v>
      </c>
      <c r="J27" s="112">
        <f>J18+J20</f>
        <v>0</v>
      </c>
      <c r="M27" s="123">
        <f>I27-Bilans!S11</f>
        <v>-100000</v>
      </c>
      <c r="N27" s="123">
        <f>J27-Bilans!T11</f>
        <v>0</v>
      </c>
    </row>
    <row r="28" spans="2:14">
      <c r="I28" s="92"/>
      <c r="J28" s="92"/>
    </row>
    <row r="29" spans="2:14" s="111" customFormat="1">
      <c r="C29" s="111" t="s">
        <v>1450</v>
      </c>
      <c r="D29" s="111" t="str">
        <f>CHOOSE(jezyk,n!A576,n!B576,n!C576,n!D576)</f>
        <v>Kapitał (fundusz) zapasowy na początek okresu</v>
      </c>
      <c r="I29" s="112">
        <f>J41</f>
        <v>0</v>
      </c>
      <c r="J29" s="113">
        <v>0</v>
      </c>
    </row>
    <row r="30" spans="2:14" s="111" customFormat="1">
      <c r="I30" s="118"/>
      <c r="J30" s="118"/>
    </row>
    <row r="31" spans="2:14">
      <c r="D31" s="72" t="s">
        <v>966</v>
      </c>
      <c r="E31" s="72" t="str">
        <f>CHOOSE(jezyk,n!A577,n!B577,n!C577,n!D577)</f>
        <v>Zmiany kapitału (funduszu) zapasowego</v>
      </c>
      <c r="I31" s="116">
        <f>I32-I38</f>
        <v>0</v>
      </c>
      <c r="J31" s="116">
        <f>J32-J38</f>
        <v>0</v>
      </c>
    </row>
    <row r="32" spans="2:14">
      <c r="E32" s="72" t="s">
        <v>1459</v>
      </c>
      <c r="F32" s="72" t="str">
        <f>CHOOSE(jezyk,n!A564,n!B564,n!C564,n!D564)</f>
        <v>zwiększenie (z tytułu)</v>
      </c>
      <c r="I32" s="116">
        <f>SUM(I33:I37)</f>
        <v>0</v>
      </c>
      <c r="J32" s="116">
        <f>SUM(J33:J37)</f>
        <v>0</v>
      </c>
    </row>
    <row r="33" spans="1:14">
      <c r="F33" s="72" t="s">
        <v>533</v>
      </c>
      <c r="G33" s="72" t="str">
        <f>CHOOSE(jezyk,n!A578,n!B578,n!C578,n!D578)</f>
        <v>emisji akcji powyżej wartości nominalnej</v>
      </c>
      <c r="I33" s="119">
        <v>0</v>
      </c>
      <c r="J33" s="119">
        <v>0</v>
      </c>
    </row>
    <row r="34" spans="1:14">
      <c r="F34" s="72" t="s">
        <v>533</v>
      </c>
      <c r="G34" s="72" t="str">
        <f>CHOOSE(jezyk,n!A579,n!B579,n!C579,n!D579)</f>
        <v>podziału zysku (ustawowo)</v>
      </c>
      <c r="I34" s="119">
        <v>0</v>
      </c>
      <c r="J34" s="119">
        <v>0</v>
      </c>
    </row>
    <row r="35" spans="1:14">
      <c r="F35" s="72" t="s">
        <v>533</v>
      </c>
      <c r="G35" s="746" t="str">
        <f>CHOOSE(jezyk,n!A580,n!B580,n!C580,n!D580)</f>
        <v>podziału zysku (ponad wymaganą ustawowo minimalną wartość)</v>
      </c>
      <c r="H35" s="746"/>
      <c r="I35" s="119">
        <v>0</v>
      </c>
      <c r="J35" s="119">
        <v>0</v>
      </c>
    </row>
    <row r="36" spans="1:14">
      <c r="G36" s="746"/>
      <c r="H36" s="746"/>
      <c r="I36" s="92"/>
      <c r="J36" s="92"/>
    </row>
    <row r="37" spans="1:14">
      <c r="F37" s="72" t="s">
        <v>533</v>
      </c>
      <c r="G37" s="84"/>
      <c r="I37" s="119">
        <v>0</v>
      </c>
      <c r="J37" s="119">
        <v>0</v>
      </c>
      <c r="K37" s="90" t="s">
        <v>5596</v>
      </c>
    </row>
    <row r="38" spans="1:14">
      <c r="E38" s="72" t="s">
        <v>1460</v>
      </c>
      <c r="F38" s="72" t="str">
        <f>CHOOSE(jezyk,n!A566,n!B566,n!C566,n!D566)</f>
        <v>zmniejszenie (z tytułu)</v>
      </c>
      <c r="I38" s="116">
        <f>SUM(I39:I40)</f>
        <v>0</v>
      </c>
      <c r="J38" s="116">
        <f>SUM(J39:J40)</f>
        <v>0</v>
      </c>
    </row>
    <row r="39" spans="1:14">
      <c r="F39" s="72" t="s">
        <v>533</v>
      </c>
      <c r="G39" s="72" t="str">
        <f>CHOOSE(jezyk,n!A582,n!B582,n!C582,n!D582)</f>
        <v>pokrycia straty</v>
      </c>
      <c r="I39" s="119">
        <v>0</v>
      </c>
      <c r="J39" s="119">
        <v>0</v>
      </c>
    </row>
    <row r="40" spans="1:14">
      <c r="F40" s="72" t="s">
        <v>533</v>
      </c>
      <c r="G40" s="84"/>
      <c r="I40" s="119">
        <v>0</v>
      </c>
      <c r="J40" s="119">
        <v>0</v>
      </c>
      <c r="K40" s="90" t="s">
        <v>5596</v>
      </c>
      <c r="M40" s="121" t="str">
        <f>dzb</f>
        <v>31.12.2024</v>
      </c>
      <c r="N40" s="122" t="str">
        <f>pdz</f>
        <v>31.12.2023</v>
      </c>
    </row>
    <row r="41" spans="1:14">
      <c r="D41" s="111" t="s">
        <v>781</v>
      </c>
      <c r="E41" s="1189" t="str">
        <f>CHOOSE(jezyk,n!A583,n!B583,n!C583,n!D583)</f>
        <v>Stan kapitału (funduszu) zapasowego na koniec okresu</v>
      </c>
      <c r="F41" s="1189"/>
      <c r="G41" s="1189"/>
      <c r="H41" s="111"/>
      <c r="I41" s="112">
        <f>I29+I31</f>
        <v>0</v>
      </c>
      <c r="J41" s="112">
        <f>J29+J31</f>
        <v>0</v>
      </c>
      <c r="M41" s="123">
        <f>I41-Bilans!S12</f>
        <v>0</v>
      </c>
      <c r="N41" s="123">
        <f>J41-Bilans!T12</f>
        <v>0</v>
      </c>
    </row>
    <row r="42" spans="1:14">
      <c r="E42" s="99"/>
      <c r="F42" s="99"/>
      <c r="G42" s="99"/>
      <c r="I42" s="92"/>
      <c r="J42" s="92"/>
    </row>
    <row r="43" spans="1:14" s="111" customFormat="1" ht="37.5" customHeight="1">
      <c r="A43" s="72"/>
      <c r="C43" s="111" t="s">
        <v>782</v>
      </c>
      <c r="D43" s="1188" t="str">
        <f>CHOOSE(jezyk,n!A584,n!B584,n!C584,n!D584)</f>
        <v>Kapitał (fundusz) z aktualizacji wyceny na początek okresu – zmiany przyjętych zasad (polityki) rachunkowości</v>
      </c>
      <c r="E43" s="1188"/>
      <c r="F43" s="1188"/>
      <c r="G43" s="1188"/>
      <c r="I43" s="112">
        <f>J52</f>
        <v>0</v>
      </c>
      <c r="J43" s="113">
        <v>0</v>
      </c>
    </row>
    <row r="44" spans="1:14" s="111" customFormat="1">
      <c r="D44" s="400"/>
      <c r="E44" s="400"/>
      <c r="F44" s="400"/>
      <c r="G44" s="400"/>
      <c r="I44" s="118"/>
      <c r="J44" s="118"/>
    </row>
    <row r="45" spans="1:14">
      <c r="D45" s="72" t="s">
        <v>783</v>
      </c>
      <c r="E45" s="72" t="str">
        <f>CHOOSE(jezyk,n!A585,n!B585,n!C585,n!D585)</f>
        <v>Zmiany kapitału (funduszu) z aktualizacji wyceny</v>
      </c>
      <c r="I45" s="116">
        <f>I46-I49</f>
        <v>0</v>
      </c>
      <c r="J45" s="116">
        <f>J46-J49</f>
        <v>0</v>
      </c>
    </row>
    <row r="46" spans="1:14">
      <c r="E46" s="72" t="s">
        <v>1459</v>
      </c>
      <c r="F46" s="72" t="str">
        <f>CHOOSE(jezyk,n!A564,n!B564,n!C564,n!D564)</f>
        <v>zwiększenie (z tytułu)</v>
      </c>
      <c r="I46" s="116">
        <f>SUM(I47:I48)</f>
        <v>0</v>
      </c>
      <c r="J46" s="116">
        <f>SUM(J47:J48)</f>
        <v>0</v>
      </c>
    </row>
    <row r="47" spans="1:14">
      <c r="F47" s="72" t="s">
        <v>533</v>
      </c>
      <c r="G47" s="84"/>
      <c r="I47" s="119">
        <v>0</v>
      </c>
      <c r="J47" s="119">
        <v>0</v>
      </c>
      <c r="K47" s="90" t="s">
        <v>5596</v>
      </c>
    </row>
    <row r="48" spans="1:14">
      <c r="F48" s="72" t="s">
        <v>533</v>
      </c>
      <c r="G48" s="84"/>
      <c r="I48" s="119">
        <v>0</v>
      </c>
      <c r="J48" s="119">
        <v>0</v>
      </c>
      <c r="K48" s="90" t="s">
        <v>5596</v>
      </c>
    </row>
    <row r="49" spans="3:14">
      <c r="E49" s="72" t="s">
        <v>1460</v>
      </c>
      <c r="F49" s="72" t="str">
        <f>CHOOSE(jezyk,n!A566,n!B566,n!C566,n!D566)</f>
        <v>zmniejszenie (z tytułu)</v>
      </c>
      <c r="I49" s="116">
        <f>SUM(I50:I51)</f>
        <v>0</v>
      </c>
      <c r="J49" s="116">
        <f>SUM(J50:J51)</f>
        <v>0</v>
      </c>
    </row>
    <row r="50" spans="3:14">
      <c r="F50" s="72" t="s">
        <v>533</v>
      </c>
      <c r="G50" s="72" t="str">
        <f>CHOOSE(jezyk,n!A586,n!B586,n!C586,n!D586)</f>
        <v>zbycia środków trwałych</v>
      </c>
      <c r="I50" s="119">
        <v>0</v>
      </c>
      <c r="J50" s="119">
        <v>0</v>
      </c>
    </row>
    <row r="51" spans="3:14">
      <c r="F51" s="72" t="s">
        <v>533</v>
      </c>
      <c r="G51" s="84"/>
      <c r="I51" s="119">
        <v>0</v>
      </c>
      <c r="J51" s="119">
        <v>0</v>
      </c>
      <c r="K51" s="90" t="s">
        <v>5596</v>
      </c>
      <c r="M51" s="121" t="str">
        <f>dzb</f>
        <v>31.12.2024</v>
      </c>
      <c r="N51" s="122" t="str">
        <f>pdz</f>
        <v>31.12.2023</v>
      </c>
    </row>
    <row r="52" spans="3:14">
      <c r="D52" s="111" t="s">
        <v>2092</v>
      </c>
      <c r="E52" s="1189" t="str">
        <f>CHOOSE(jezyk,n!A587,n!B587,n!C587,n!D587)</f>
        <v>Kapitał (fundusz) z aktualizacji wyceny na koniec okresu</v>
      </c>
      <c r="F52" s="1189"/>
      <c r="G52" s="1189"/>
      <c r="H52" s="111"/>
      <c r="I52" s="112">
        <f>I43+I45</f>
        <v>0</v>
      </c>
      <c r="J52" s="112">
        <f>J43+J45</f>
        <v>0</v>
      </c>
      <c r="M52" s="123">
        <f>I52-Bilans!S14</f>
        <v>0</v>
      </c>
      <c r="N52" s="123">
        <f>J52-Bilans!T14</f>
        <v>0</v>
      </c>
    </row>
    <row r="53" spans="3:14">
      <c r="E53" s="99"/>
      <c r="F53" s="99"/>
      <c r="G53" s="99"/>
      <c r="I53" s="92"/>
      <c r="J53" s="92"/>
    </row>
    <row r="54" spans="3:14">
      <c r="E54" s="99"/>
      <c r="F54" s="99"/>
      <c r="G54" s="99"/>
      <c r="I54" s="92"/>
      <c r="J54" s="92"/>
    </row>
    <row r="55" spans="3:14" s="111" customFormat="1" ht="12.75" customHeight="1">
      <c r="C55" s="111" t="s">
        <v>1452</v>
      </c>
      <c r="D55" s="1188" t="str">
        <f>CHOOSE(jezyk,n!A588,n!B588,n!C588,n!D588)</f>
        <v>Pozostałe kapitały (fundusze) rezerwowe na początek okresu</v>
      </c>
      <c r="E55" s="1188"/>
      <c r="F55" s="1188"/>
      <c r="G55" s="1188"/>
      <c r="H55" s="1188"/>
      <c r="I55" s="112">
        <f>J64</f>
        <v>0</v>
      </c>
      <c r="J55" s="113">
        <v>0</v>
      </c>
    </row>
    <row r="56" spans="3:14" s="111" customFormat="1">
      <c r="D56" s="117"/>
      <c r="E56" s="117"/>
      <c r="F56" s="117"/>
      <c r="G56" s="117"/>
      <c r="I56" s="118"/>
      <c r="J56" s="118"/>
    </row>
    <row r="57" spans="3:14">
      <c r="D57" s="72" t="s">
        <v>784</v>
      </c>
      <c r="E57" s="1139" t="str">
        <f>CHOOSE(jezyk,n!A589,n!B589,n!C589,n!D589)</f>
        <v>Zmiany pozostałych kapitałów (funduszy) rezerwowych</v>
      </c>
      <c r="F57" s="1139"/>
      <c r="G57" s="1139"/>
      <c r="I57" s="116">
        <f>I58-I61</f>
        <v>0</v>
      </c>
      <c r="J57" s="116">
        <f>J58-J61</f>
        <v>0</v>
      </c>
    </row>
    <row r="58" spans="3:14">
      <c r="E58" s="72" t="s">
        <v>1459</v>
      </c>
      <c r="F58" s="72" t="str">
        <f>CHOOSE(jezyk,n!A564,n!B564,n!C564,n!D564)</f>
        <v>zwiększenie (z tytułu)</v>
      </c>
      <c r="I58" s="116">
        <f>SUM(I59:I60)</f>
        <v>0</v>
      </c>
      <c r="J58" s="116">
        <f>SUM(J59:J60)</f>
        <v>0</v>
      </c>
    </row>
    <row r="59" spans="3:14">
      <c r="F59" s="72" t="s">
        <v>533</v>
      </c>
      <c r="G59" s="84"/>
      <c r="I59" s="119">
        <v>0</v>
      </c>
      <c r="J59" s="119">
        <v>0</v>
      </c>
      <c r="K59" s="90" t="s">
        <v>5596</v>
      </c>
    </row>
    <row r="60" spans="3:14">
      <c r="F60" s="72" t="s">
        <v>533</v>
      </c>
      <c r="G60" s="84"/>
      <c r="I60" s="119">
        <v>0</v>
      </c>
      <c r="J60" s="119">
        <v>0</v>
      </c>
      <c r="K60" s="90" t="s">
        <v>5596</v>
      </c>
    </row>
    <row r="61" spans="3:14">
      <c r="E61" s="72" t="s">
        <v>1460</v>
      </c>
      <c r="F61" s="72" t="str">
        <f>CHOOSE(jezyk,n!A566,n!B566,n!C566,n!D566)</f>
        <v>zmniejszenie (z tytułu)</v>
      </c>
      <c r="I61" s="116">
        <f>SUM(I62:I63)</f>
        <v>0</v>
      </c>
      <c r="J61" s="116">
        <f>SUM(J62:J63)</f>
        <v>0</v>
      </c>
    </row>
    <row r="62" spans="3:14">
      <c r="F62" s="72" t="s">
        <v>533</v>
      </c>
      <c r="G62" s="84"/>
      <c r="I62" s="119">
        <v>0</v>
      </c>
      <c r="J62" s="119">
        <v>0</v>
      </c>
      <c r="K62" s="90" t="s">
        <v>5596</v>
      </c>
    </row>
    <row r="63" spans="3:14">
      <c r="F63" s="72" t="s">
        <v>533</v>
      </c>
      <c r="G63" s="84"/>
      <c r="I63" s="119">
        <v>0</v>
      </c>
      <c r="J63" s="119">
        <v>0</v>
      </c>
      <c r="K63" s="90" t="s">
        <v>5596</v>
      </c>
      <c r="M63" s="121" t="str">
        <f>dzb</f>
        <v>31.12.2024</v>
      </c>
      <c r="N63" s="122" t="str">
        <f>pdz</f>
        <v>31.12.2023</v>
      </c>
    </row>
    <row r="64" spans="3:14" s="111" customFormat="1" ht="27.75" customHeight="1">
      <c r="D64" s="111" t="s">
        <v>964</v>
      </c>
      <c r="E64" s="1188" t="str">
        <f>CHOOSE(jezyk,n!A590,n!B590,n!C590,n!D590)</f>
        <v>Pozostałe kapitały (fundusze) rezerwowe na koniec okresu</v>
      </c>
      <c r="F64" s="1188"/>
      <c r="G64" s="1188"/>
      <c r="I64" s="112">
        <f>I55+I57</f>
        <v>0</v>
      </c>
      <c r="J64" s="112">
        <f>J55+J57</f>
        <v>0</v>
      </c>
      <c r="M64" s="123">
        <f>I64-Bilans!S16</f>
        <v>0</v>
      </c>
      <c r="N64" s="123">
        <f>J64-Bilans!T16</f>
        <v>0</v>
      </c>
    </row>
    <row r="65" spans="3:11">
      <c r="E65" s="395"/>
      <c r="F65" s="395"/>
      <c r="G65" s="395"/>
      <c r="I65" s="92"/>
      <c r="J65" s="92"/>
    </row>
    <row r="66" spans="3:11" s="111" customFormat="1">
      <c r="C66" s="111" t="s">
        <v>1453</v>
      </c>
      <c r="D66" s="1188" t="str">
        <f>CHOOSE(jezyk,n!A591,n!B591,n!C591,n!D591)</f>
        <v>Zysk (strata) z lat ubiegłych na początek okresu</v>
      </c>
      <c r="E66" s="1188"/>
      <c r="F66" s="1188"/>
      <c r="G66" s="1188"/>
      <c r="H66" s="1188"/>
      <c r="I66" s="112">
        <f>J94+J92</f>
        <v>1E-4</v>
      </c>
      <c r="J66" s="113">
        <v>0</v>
      </c>
    </row>
    <row r="67" spans="3:11" s="111" customFormat="1">
      <c r="D67" s="1188"/>
      <c r="E67" s="1188"/>
      <c r="F67" s="1188"/>
      <c r="G67" s="1188"/>
      <c r="H67" s="1188"/>
      <c r="I67" s="118"/>
      <c r="J67" s="118"/>
    </row>
    <row r="68" spans="3:11">
      <c r="D68" s="72" t="s">
        <v>785</v>
      </c>
      <c r="E68" s="746" t="str">
        <f>CHOOSE(jezyk,n!A592,n!B592,n!C592,n!D592)</f>
        <v>Zysk z lat ubiegłych na początek okresu</v>
      </c>
      <c r="F68" s="746"/>
      <c r="G68" s="746"/>
      <c r="H68" s="746"/>
      <c r="I68" s="116">
        <f>J96+J78</f>
        <v>1E-4</v>
      </c>
      <c r="J68" s="116">
        <f>IF(J66&gt;0,J66,0)</f>
        <v>0</v>
      </c>
    </row>
    <row r="69" spans="3:11" ht="12.75" customHeight="1">
      <c r="D69" s="72" t="s">
        <v>533</v>
      </c>
      <c r="E69" s="1139" t="str">
        <f>D12</f>
        <v>zmiany przyjętych zasad (polityki) rachunkowości</v>
      </c>
      <c r="F69" s="1139"/>
      <c r="G69" s="1139"/>
      <c r="I69" s="115">
        <v>0</v>
      </c>
      <c r="J69" s="115">
        <v>0</v>
      </c>
      <c r="K69" s="85"/>
    </row>
    <row r="70" spans="3:11">
      <c r="D70" s="72" t="s">
        <v>533</v>
      </c>
      <c r="E70" s="72" t="str">
        <f>CHOOSE(jezyk,n!A593,n!B593,n!C593,n!D593)</f>
        <v xml:space="preserve">korekty błędów </v>
      </c>
      <c r="I70" s="115">
        <v>0</v>
      </c>
      <c r="J70" s="115">
        <v>0</v>
      </c>
      <c r="K70" s="85"/>
    </row>
    <row r="71" spans="3:11" ht="29.25" customHeight="1">
      <c r="D71" s="72" t="s">
        <v>92</v>
      </c>
      <c r="E71" s="1139" t="str">
        <f>CHOOSE(jezyk,n!A594,n!B594,n!C594,n!D594)</f>
        <v>Zysk z lat ubiegłych na początek okresu, po korektach</v>
      </c>
      <c r="F71" s="1139"/>
      <c r="G71" s="1139"/>
      <c r="H71" s="1139"/>
      <c r="I71" s="116">
        <f>I68+I69+I70</f>
        <v>1E-4</v>
      </c>
      <c r="J71" s="116">
        <f>J68+J69+J70</f>
        <v>0</v>
      </c>
    </row>
    <row r="72" spans="3:11">
      <c r="E72" s="72" t="s">
        <v>1459</v>
      </c>
      <c r="F72" s="72" t="str">
        <f>CHOOSE(jezyk,n!A564,n!B564,n!C564,n!D564)</f>
        <v>zwiększenie (z tytułu)</v>
      </c>
      <c r="I72" s="116">
        <f>SUM(I73:I74)</f>
        <v>0</v>
      </c>
      <c r="J72" s="116">
        <f>SUM(J73:J74)</f>
        <v>0</v>
      </c>
    </row>
    <row r="73" spans="3:11">
      <c r="F73" s="72" t="s">
        <v>533</v>
      </c>
      <c r="G73" s="72" t="str">
        <f>CHOOSE(jezyk,n!A595,n!B595,n!C595,n!D595)</f>
        <v>podziału zysku z lat ubiegłych</v>
      </c>
      <c r="I73" s="119">
        <v>0</v>
      </c>
      <c r="J73" s="119">
        <v>0</v>
      </c>
    </row>
    <row r="74" spans="3:11">
      <c r="F74" s="72" t="s">
        <v>533</v>
      </c>
      <c r="I74" s="119">
        <v>0</v>
      </c>
      <c r="J74" s="119">
        <v>0</v>
      </c>
      <c r="K74" s="90" t="s">
        <v>5596</v>
      </c>
    </row>
    <row r="75" spans="3:11">
      <c r="E75" s="72" t="s">
        <v>1460</v>
      </c>
      <c r="F75" s="72" t="str">
        <f>CHOOSE(jezyk,n!A566,n!B566,n!C566,n!D566)</f>
        <v>zmniejszenie (z tytułu)</v>
      </c>
      <c r="I75" s="116">
        <f>SUM(I76:I77)</f>
        <v>0</v>
      </c>
      <c r="J75" s="116">
        <f>SUM(J76:J77)</f>
        <v>0</v>
      </c>
    </row>
    <row r="76" spans="3:11">
      <c r="F76" s="72" t="s">
        <v>533</v>
      </c>
      <c r="G76" s="84" t="str">
        <f>CHOOSE(jezyk,n!A596,n!B596,n!C596,n!D596)</f>
        <v>wypłata dywidendy</v>
      </c>
      <c r="I76" s="119">
        <v>0</v>
      </c>
      <c r="J76" s="119">
        <v>0</v>
      </c>
      <c r="K76" s="124"/>
    </row>
    <row r="77" spans="3:11">
      <c r="F77" s="72" t="s">
        <v>533</v>
      </c>
      <c r="G77" s="84"/>
      <c r="I77" s="119">
        <v>0</v>
      </c>
      <c r="J77" s="119">
        <v>0</v>
      </c>
      <c r="K77" s="90" t="s">
        <v>5596</v>
      </c>
    </row>
    <row r="78" spans="3:11">
      <c r="D78" s="72" t="s">
        <v>2095</v>
      </c>
      <c r="E78" s="72" t="str">
        <f>CHOOSE(jezyk,n!A597,n!B597,n!C597,n!D596)</f>
        <v>Zysk z lat ubiegłych na koniec okresu</v>
      </c>
      <c r="I78" s="116">
        <f>I71+I72-I75</f>
        <v>1E-4</v>
      </c>
      <c r="J78" s="116">
        <f>J71+J72-J75</f>
        <v>0</v>
      </c>
    </row>
    <row r="79" spans="3:11">
      <c r="I79" s="92"/>
      <c r="J79" s="92"/>
    </row>
    <row r="80" spans="3:11">
      <c r="D80" s="72" t="s">
        <v>2096</v>
      </c>
      <c r="E80" s="746" t="str">
        <f>CHOOSE(jezyk,n!A598,n!B598,n!C598,n!D597)</f>
        <v>Strata z lat ubiegłych na początek okresu</v>
      </c>
      <c r="F80" s="746"/>
      <c r="G80" s="746"/>
      <c r="H80" s="746"/>
      <c r="I80" s="116">
        <f>J90+J97</f>
        <v>0</v>
      </c>
      <c r="J80" s="116">
        <f>IF(J66&lt;0,J66,0)</f>
        <v>0</v>
      </c>
    </row>
    <row r="81" spans="3:14" ht="12.75" customHeight="1">
      <c r="D81" s="72" t="s">
        <v>533</v>
      </c>
      <c r="E81" s="1139" t="str">
        <f>CHOOSE(jezyk,n!A599,n!B599,n!C599,n!D598)</f>
        <v>zmiany przyjętych zasad (polityki) rachunkowości</v>
      </c>
      <c r="F81" s="1139"/>
      <c r="G81" s="1139"/>
      <c r="I81" s="115">
        <v>0</v>
      </c>
      <c r="J81" s="115">
        <v>0</v>
      </c>
    </row>
    <row r="82" spans="3:14">
      <c r="D82" s="72" t="s">
        <v>533</v>
      </c>
      <c r="E82" s="72" t="str">
        <f>CHOOSE(jezyk,n!A600,n!B600,n!C600,n!D599)</f>
        <v xml:space="preserve">korekty błędów </v>
      </c>
      <c r="I82" s="115">
        <v>0</v>
      </c>
      <c r="J82" s="115">
        <v>0</v>
      </c>
    </row>
    <row r="83" spans="3:14" ht="27" customHeight="1">
      <c r="D83" s="72" t="s">
        <v>2097</v>
      </c>
      <c r="E83" s="746" t="str">
        <f>CHOOSE(jezyk,n!A601,n!B601,n!C601,n!D600)</f>
        <v>Strata z lat ubiegłych na początek okresu, po korektach</v>
      </c>
      <c r="F83" s="746"/>
      <c r="G83" s="746"/>
      <c r="H83" s="746"/>
      <c r="I83" s="116">
        <f>I80-I82-I81</f>
        <v>0</v>
      </c>
      <c r="J83" s="116">
        <f>J80-J82-J81</f>
        <v>0</v>
      </c>
    </row>
    <row r="84" spans="3:14">
      <c r="E84" s="72" t="s">
        <v>1459</v>
      </c>
      <c r="F84" s="72" t="str">
        <f>CHOOSE(jezyk,n!A564,n!B564,n!C564,n!D564)</f>
        <v>zwiększenie (z tytułu)</v>
      </c>
      <c r="I84" s="116">
        <f>SUM(I85:I86)</f>
        <v>0</v>
      </c>
      <c r="J84" s="116">
        <f>SUM(J85:J86)</f>
        <v>0</v>
      </c>
    </row>
    <row r="85" spans="3:14">
      <c r="F85" s="72" t="s">
        <v>533</v>
      </c>
      <c r="G85" s="72" t="str">
        <f>CHOOSE(jezyk,n!A602,n!B602,n!C602,n!D601)</f>
        <v>przeniesienia straty z lat ubiegłych do pokrycia</v>
      </c>
      <c r="I85" s="119">
        <v>0</v>
      </c>
      <c r="J85" s="119">
        <v>0</v>
      </c>
    </row>
    <row r="86" spans="3:14">
      <c r="F86" s="72" t="s">
        <v>533</v>
      </c>
      <c r="I86" s="119">
        <v>0</v>
      </c>
      <c r="J86" s="119">
        <v>0</v>
      </c>
      <c r="K86" s="90" t="s">
        <v>5596</v>
      </c>
    </row>
    <row r="87" spans="3:14">
      <c r="E87" s="72" t="s">
        <v>1460</v>
      </c>
      <c r="F87" s="72" t="str">
        <f>CHOOSE(jezyk,n!A566,n!B566,n!C566,n!D566)</f>
        <v>zmniejszenie (z tytułu)</v>
      </c>
      <c r="I87" s="116">
        <f>SUM(I88:I89)</f>
        <v>0</v>
      </c>
      <c r="J87" s="116">
        <f>SUM(J88:J89)</f>
        <v>0</v>
      </c>
    </row>
    <row r="88" spans="3:14">
      <c r="F88" s="72" t="s">
        <v>533</v>
      </c>
      <c r="G88" s="84" t="str">
        <f>CHOOSE(jezyk,n!A603,n!B603,n!C603,n!D602)</f>
        <v>pokrycia straty z wyniku roku ubiegłego</v>
      </c>
      <c r="I88" s="119">
        <v>0</v>
      </c>
      <c r="J88" s="119">
        <v>0</v>
      </c>
      <c r="K88" s="92">
        <f>J92+J94-I66</f>
        <v>0</v>
      </c>
    </row>
    <row r="89" spans="3:14">
      <c r="F89" s="72" t="s">
        <v>533</v>
      </c>
      <c r="G89" s="84"/>
      <c r="I89" s="119">
        <v>0</v>
      </c>
      <c r="J89" s="119">
        <v>0</v>
      </c>
      <c r="K89" s="90" t="s">
        <v>5596</v>
      </c>
    </row>
    <row r="90" spans="3:14">
      <c r="D90" s="72" t="s">
        <v>2098</v>
      </c>
      <c r="E90" s="72" t="str">
        <f>CHOOSE(jezyk,n!A604,n!B604,n!C604,n!D602)</f>
        <v>Strata z lat ubiegłych na koniec okresu</v>
      </c>
      <c r="I90" s="116">
        <f>I83+I84-I87</f>
        <v>0</v>
      </c>
      <c r="J90" s="116">
        <f>J83-J84+J87</f>
        <v>0</v>
      </c>
    </row>
    <row r="91" spans="3:14">
      <c r="I91" s="92"/>
      <c r="J91" s="92"/>
      <c r="M91" s="121" t="str">
        <f>dzb</f>
        <v>31.12.2024</v>
      </c>
      <c r="N91" s="122" t="str">
        <f>pdz</f>
        <v>31.12.2023</v>
      </c>
    </row>
    <row r="92" spans="3:14" s="111" customFormat="1">
      <c r="D92" s="111" t="s">
        <v>2099</v>
      </c>
      <c r="E92" s="1188" t="str">
        <f>CHOOSE(jezyk,n!A605,n!B605,n!C605,n!D603)</f>
        <v>Zysk (strata) z lat ubiegłych na koniec okresu</v>
      </c>
      <c r="F92" s="1188"/>
      <c r="G92" s="1188"/>
      <c r="H92" s="1188"/>
      <c r="I92" s="112">
        <f>I78+(I90*-1)</f>
        <v>1E-4</v>
      </c>
      <c r="J92" s="112">
        <f>J78+(J90*-1)</f>
        <v>0</v>
      </c>
      <c r="M92" s="123">
        <f>I92-Bilans!S19</f>
        <v>1E-4</v>
      </c>
      <c r="N92" s="123">
        <f>J92-Bilans!T19</f>
        <v>0</v>
      </c>
    </row>
    <row r="93" spans="3:14">
      <c r="I93" s="92"/>
      <c r="J93" s="92"/>
    </row>
    <row r="94" spans="3:14" s="111" customFormat="1">
      <c r="C94" s="111" t="s">
        <v>786</v>
      </c>
      <c r="D94" s="111" t="str">
        <f>CHOOSE(jezyk,n!A606,n!B606,n!C606,n!D604)</f>
        <v>Wynik netto</v>
      </c>
      <c r="I94" s="112">
        <f>I96+I97-I98</f>
        <v>364172.37000000081</v>
      </c>
      <c r="J94" s="112">
        <f>J96+J97-J98</f>
        <v>1E-4</v>
      </c>
    </row>
    <row r="95" spans="3:14" s="111" customFormat="1">
      <c r="I95" s="118"/>
      <c r="J95" s="118"/>
    </row>
    <row r="96" spans="3:14">
      <c r="D96" s="72" t="s">
        <v>1459</v>
      </c>
      <c r="E96" s="72" t="str">
        <f>CHOOSE(jezyk,n!A607,n!B607,n!C607,n!D605)</f>
        <v>zysk netto</v>
      </c>
      <c r="I96" s="116">
        <f>IF(Bilans!S20&gt;0,Bilans!S20,0)</f>
        <v>364172.37000000081</v>
      </c>
      <c r="J96" s="116">
        <f>IF(Bilans!T20&gt;0,Bilans!T20,0)</f>
        <v>1E-4</v>
      </c>
    </row>
    <row r="97" spans="2:14">
      <c r="D97" s="72" t="s">
        <v>1460</v>
      </c>
      <c r="E97" s="72" t="str">
        <f>CHOOSE(jezyk,n!A608,n!B608,n!C608,n!D606)</f>
        <v>strata netto</v>
      </c>
      <c r="I97" s="116">
        <f>IF(Bilans!S20&lt;0,Bilans!S20,0)</f>
        <v>0</v>
      </c>
      <c r="J97" s="116">
        <f>IF(Bilans!T20&lt;0,Bilans!T20,0)</f>
        <v>0</v>
      </c>
    </row>
    <row r="98" spans="2:14">
      <c r="D98" s="72" t="s">
        <v>1461</v>
      </c>
      <c r="E98" s="72" t="str">
        <f>CHOOSE(jezyk,n!A609,n!B609,n!C609,n!D607)</f>
        <v>odpisy z zysku</v>
      </c>
      <c r="I98" s="116">
        <f>Bilans!S21</f>
        <v>0</v>
      </c>
      <c r="J98" s="115">
        <v>0</v>
      </c>
    </row>
    <row r="99" spans="2:14">
      <c r="I99" s="92"/>
      <c r="J99" s="92"/>
      <c r="M99" s="121" t="str">
        <f>dzb</f>
        <v>31.12.2024</v>
      </c>
      <c r="N99" s="122" t="str">
        <f>GA!D33</f>
        <v>31.12.2023</v>
      </c>
    </row>
    <row r="100" spans="2:14" s="111" customFormat="1">
      <c r="B100" s="111" t="s">
        <v>1449</v>
      </c>
      <c r="C100" s="111" t="str">
        <f>CHOOSE(jezyk,n!A610,n!B610,n!C610,n!D608)</f>
        <v>Kapitał (fundusz) własny na koniec okresu (BZ)</v>
      </c>
      <c r="I100" s="112">
        <f>I27+I41+I52+I64+I92+I94</f>
        <v>364172.37010000082</v>
      </c>
      <c r="J100" s="112">
        <f>J27+J41+J52+J64+J92+J94</f>
        <v>1E-4</v>
      </c>
      <c r="M100" s="123">
        <f>I100-Bilans!S9</f>
        <v>-99999.999899999995</v>
      </c>
      <c r="N100" s="123">
        <f>J100-Bilans!T9</f>
        <v>0</v>
      </c>
    </row>
    <row r="101" spans="2:14">
      <c r="B101" s="125"/>
      <c r="C101" s="125"/>
      <c r="D101" s="109"/>
      <c r="E101" s="109"/>
      <c r="F101" s="109"/>
      <c r="G101" s="109"/>
      <c r="H101" s="109"/>
      <c r="I101" s="126"/>
      <c r="J101" s="126"/>
    </row>
    <row r="102" spans="2:14">
      <c r="B102" s="111"/>
      <c r="C102" s="111"/>
      <c r="I102" s="92"/>
      <c r="J102" s="92"/>
    </row>
    <row r="103" spans="2:14" s="111" customFormat="1" ht="12.75" customHeight="1">
      <c r="B103" s="111" t="s">
        <v>1451</v>
      </c>
      <c r="C103" s="1188" t="str">
        <f>CHOOSE(jezyk,n!A611,n!B611,n!C611,n!D609)</f>
        <v>Kapitał (fundusz) własny, po uwzględnieniu proponowanego podziału zysku (pokrycia straty)</v>
      </c>
      <c r="D103" s="1188"/>
      <c r="E103" s="1188"/>
      <c r="F103" s="1188"/>
      <c r="G103" s="1188"/>
      <c r="I103" s="127">
        <f>I100</f>
        <v>364172.37010000082</v>
      </c>
      <c r="J103" s="127">
        <f t="shared" ref="J103" si="0">J100</f>
        <v>1E-4</v>
      </c>
      <c r="K103" s="82" t="s">
        <v>6790</v>
      </c>
    </row>
    <row r="104" spans="2:14" s="111" customFormat="1">
      <c r="C104" s="1188"/>
      <c r="D104" s="1188"/>
      <c r="E104" s="1188"/>
      <c r="F104" s="1188"/>
      <c r="G104" s="1188"/>
      <c r="I104" s="118"/>
      <c r="J104" s="118"/>
    </row>
    <row r="105" spans="2:14" ht="13.5" thickBot="1">
      <c r="B105" s="128"/>
      <c r="C105" s="128"/>
      <c r="D105" s="128"/>
      <c r="E105" s="128"/>
      <c r="F105" s="128"/>
      <c r="G105" s="128"/>
      <c r="H105" s="128"/>
      <c r="I105" s="128"/>
      <c r="J105" s="128"/>
      <c r="K105" s="128"/>
    </row>
    <row r="107" spans="2:14">
      <c r="B107" s="72" t="str">
        <f>siedziba&amp;", "&amp;GA!D53</f>
        <v>Warszawa, 28.02.2025</v>
      </c>
      <c r="F107" s="92"/>
      <c r="G107" s="92"/>
    </row>
    <row r="108" spans="2:14">
      <c r="G108" s="101" t="str">
        <f>CHOOSE(jezyk,n!A412,n!B412,n!C412,n!D412)</f>
        <v>Osoba sporządzająca:</v>
      </c>
      <c r="I108" s="129" t="str">
        <f>CHOOSE(jezyk,n!A413,n!B413,n!C413,n!D413)</f>
        <v>Zarząd:</v>
      </c>
    </row>
    <row r="110" spans="2:14">
      <c r="I110" s="72" t="s">
        <v>764</v>
      </c>
    </row>
  </sheetData>
  <mergeCells count="21">
    <mergeCell ref="C103:G104"/>
    <mergeCell ref="D55:H55"/>
    <mergeCell ref="E83:H83"/>
    <mergeCell ref="E92:H92"/>
    <mergeCell ref="E68:H68"/>
    <mergeCell ref="E71:H71"/>
    <mergeCell ref="E80:H80"/>
    <mergeCell ref="D66:H67"/>
    <mergeCell ref="E81:G81"/>
    <mergeCell ref="E69:G69"/>
    <mergeCell ref="B3:J3"/>
    <mergeCell ref="B4:J4"/>
    <mergeCell ref="B5:J5"/>
    <mergeCell ref="B1:J1"/>
    <mergeCell ref="E64:G64"/>
    <mergeCell ref="E57:G57"/>
    <mergeCell ref="E41:G41"/>
    <mergeCell ref="E52:G52"/>
    <mergeCell ref="G35:H36"/>
    <mergeCell ref="C15:G16"/>
    <mergeCell ref="D43:G43"/>
  </mergeCells>
  <phoneticPr fontId="0" type="noConversion"/>
  <hyperlinks>
    <hyperlink ref="B1:J1" location="'spis treści'!A1" display="SPIS TREŚCI" xr:uid="{00000000-0004-0000-2200-000000000000}"/>
  </hyperlinks>
  <printOptions horizontalCentered="1"/>
  <pageMargins left="0.78740157480314965" right="0.78740157480314965" top="0.35433070866141736" bottom="0.98425196850393704" header="0.27559055118110237" footer="0.51181102362204722"/>
  <pageSetup paperSize="9" scale="95" fitToHeight="0" orientation="portrait" blackAndWhite="1" r:id="rId1"/>
  <rowBreaks count="1" manualBreakCount="1">
    <brk id="53" min="1"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10">
    <pageSetUpPr fitToPage="1"/>
  </sheetPr>
  <dimension ref="B1:AA251"/>
  <sheetViews>
    <sheetView showGridLines="0" view="pageBreakPreview" topLeftCell="A29" zoomScaleNormal="100" workbookViewId="0">
      <selection activeCell="L84" sqref="L84"/>
    </sheetView>
  </sheetViews>
  <sheetFormatPr defaultColWidth="9.140625" defaultRowHeight="12.75"/>
  <cols>
    <col min="1" max="1" width="9.140625" style="1"/>
    <col min="2" max="4" width="3.140625" style="1" customWidth="1"/>
    <col min="5" max="6" width="3.5703125" style="1" customWidth="1"/>
    <col min="7" max="7" width="82.42578125" style="1" customWidth="1"/>
    <col min="8" max="8" width="4.5703125" style="1" customWidth="1"/>
    <col min="9" max="10" width="14.7109375" style="12" customWidth="1"/>
    <col min="11" max="11" width="3.7109375" style="1" customWidth="1"/>
    <col min="12" max="12" width="10.5703125" style="1" customWidth="1"/>
    <col min="13" max="16384" width="9.140625" style="1"/>
  </cols>
  <sheetData>
    <row r="1" spans="2:11">
      <c r="B1" s="1190" t="s">
        <v>1257</v>
      </c>
      <c r="C1" s="1190"/>
      <c r="D1" s="1190"/>
      <c r="E1" s="1190"/>
      <c r="F1" s="1190"/>
      <c r="G1" s="1190"/>
      <c r="H1" s="1190"/>
      <c r="I1" s="1190"/>
      <c r="J1" s="1190"/>
    </row>
    <row r="2" spans="2:11" ht="42" customHeight="1">
      <c r="B2" s="694"/>
      <c r="C2" s="694"/>
      <c r="D2" s="694"/>
      <c r="E2" s="694"/>
      <c r="F2" s="694"/>
      <c r="G2" s="694"/>
      <c r="H2" s="694"/>
      <c r="I2" s="694"/>
      <c r="J2" s="694"/>
    </row>
    <row r="3" spans="2:11">
      <c r="B3" s="1191" t="str">
        <f>nazwa_spolki &amp;", " &amp;siedziba</f>
        <v>Rhenus Digital Workforce Sp. z o.o., Warszawa</v>
      </c>
      <c r="C3" s="1191"/>
      <c r="D3" s="1191"/>
      <c r="E3" s="1191"/>
      <c r="F3" s="1191"/>
      <c r="G3" s="1191"/>
      <c r="H3" s="1191"/>
      <c r="I3" s="1191"/>
      <c r="J3" s="1191"/>
    </row>
    <row r="4" spans="2:11">
      <c r="B4" s="1191" t="str">
        <f>CHOOSE(jezyk,n!A489,n!B489,n!C489,n!D489)</f>
        <v>Rachunek przepływów pieniężnych</v>
      </c>
      <c r="C4" s="1191"/>
      <c r="D4" s="1191"/>
      <c r="E4" s="1191"/>
      <c r="F4" s="1191"/>
      <c r="G4" s="1191"/>
      <c r="H4" s="1191"/>
      <c r="I4" s="1191"/>
      <c r="J4" s="1191"/>
    </row>
    <row r="5" spans="2:11">
      <c r="B5" s="1191" t="str">
        <f>CHOOSE(jezyk,n!A418,n!B418,n!C418,n!D418)</f>
        <v>za rok obrotowy od 19.10.2023 do 31.12.2024</v>
      </c>
      <c r="C5" s="1191"/>
      <c r="D5" s="1191"/>
      <c r="E5" s="1191"/>
      <c r="F5" s="1191"/>
      <c r="G5" s="1191"/>
      <c r="H5" s="1191"/>
      <c r="I5" s="1191"/>
      <c r="J5" s="1191"/>
    </row>
    <row r="6" spans="2:11">
      <c r="B6" s="1191" t="str">
        <f>CHOOSE(jezyk,n!A548,n!B548,n!C548,n!D548)</f>
        <v>(metoda bezpośrednia)</v>
      </c>
      <c r="C6" s="1191"/>
      <c r="D6" s="1191"/>
      <c r="E6" s="1191"/>
      <c r="F6" s="1191"/>
      <c r="G6" s="1191"/>
      <c r="H6" s="1191"/>
      <c r="I6" s="1191"/>
      <c r="J6" s="1191"/>
    </row>
    <row r="7" spans="2:11">
      <c r="G7" s="340"/>
      <c r="H7" s="695"/>
    </row>
    <row r="8" spans="2:11">
      <c r="B8" s="341"/>
      <c r="C8" s="341"/>
      <c r="D8" s="341"/>
      <c r="E8" s="341"/>
      <c r="F8" s="341"/>
      <c r="G8" s="4"/>
      <c r="H8" s="5"/>
      <c r="I8" s="13"/>
      <c r="J8" s="13"/>
    </row>
    <row r="9" spans="2:11">
      <c r="G9" s="342"/>
      <c r="H9" s="342"/>
      <c r="I9" s="16" t="str">
        <f>dzb</f>
        <v>31.12.2024</v>
      </c>
      <c r="J9" s="16" t="str">
        <f>CHOOSE(jezyk,n!A288,n!B288,n!C288,n!D288)</f>
        <v>Rok poprzedni</v>
      </c>
      <c r="K9" s="343"/>
    </row>
    <row r="10" spans="2:11">
      <c r="G10" s="342"/>
      <c r="H10" s="342"/>
      <c r="I10" s="16" t="s">
        <v>35</v>
      </c>
      <c r="J10" s="16" t="s">
        <v>35</v>
      </c>
    </row>
    <row r="11" spans="2:11">
      <c r="B11" s="344"/>
      <c r="C11" s="344"/>
      <c r="D11" s="344"/>
      <c r="E11" s="344"/>
      <c r="F11" s="344"/>
      <c r="G11" s="345"/>
      <c r="H11" s="345"/>
      <c r="I11" s="14"/>
      <c r="J11" s="14"/>
    </row>
    <row r="12" spans="2:11">
      <c r="G12" s="342"/>
      <c r="H12" s="342"/>
      <c r="I12" s="7"/>
      <c r="J12" s="7"/>
    </row>
    <row r="13" spans="2:11" s="340" customFormat="1">
      <c r="B13" s="340" t="s">
        <v>1446</v>
      </c>
      <c r="C13" s="346" t="str">
        <f>CHOOSE(jezyk,n!A491,n!B491,n!C491,n!D491)</f>
        <v>Przepływy środków pieniężnych z działalności operacyjnej</v>
      </c>
      <c r="G13" s="346"/>
      <c r="H13" s="342"/>
      <c r="I13" s="7"/>
      <c r="J13" s="7"/>
    </row>
    <row r="14" spans="2:11" s="340" customFormat="1">
      <c r="C14" s="346"/>
      <c r="G14" s="346"/>
      <c r="H14" s="342"/>
      <c r="I14" s="7"/>
      <c r="J14" s="7"/>
    </row>
    <row r="15" spans="2:11" s="340" customFormat="1">
      <c r="C15" s="340" t="s">
        <v>1447</v>
      </c>
      <c r="D15" s="340" t="str">
        <f>CHOOSE(jezyk,n!A506,n!B506,n!C506,n!D506)</f>
        <v>Wpływy</v>
      </c>
      <c r="G15" s="347"/>
      <c r="H15" s="342"/>
      <c r="I15" s="6">
        <f>SUM(I17:I18)</f>
        <v>0</v>
      </c>
      <c r="J15" s="6">
        <f>SUM(J17:J18)</f>
        <v>0</v>
      </c>
    </row>
    <row r="16" spans="2:11" s="340" customFormat="1">
      <c r="G16" s="347"/>
      <c r="H16" s="342"/>
      <c r="I16" s="7"/>
      <c r="J16" s="7"/>
    </row>
    <row r="17" spans="2:10">
      <c r="D17" s="1" t="s">
        <v>1448</v>
      </c>
      <c r="E17" s="1" t="str">
        <f>CHOOSE(jezyk,n!A549,n!B549,n!C549,n!D549)</f>
        <v>Sprzedaż</v>
      </c>
      <c r="G17" s="348"/>
      <c r="H17" s="349"/>
      <c r="I17" s="8"/>
      <c r="J17" s="8"/>
    </row>
    <row r="18" spans="2:10">
      <c r="D18" s="1" t="s">
        <v>1450</v>
      </c>
      <c r="E18" s="1" t="str">
        <f>CHOOSE(jezyk,n!A550,n!B550,n!C550,n!D550)</f>
        <v>Inne wpływy z działalności operacyjnej</v>
      </c>
      <c r="H18" s="349"/>
      <c r="I18" s="9"/>
      <c r="J18" s="9"/>
    </row>
    <row r="19" spans="2:10">
      <c r="E19" s="350"/>
      <c r="H19" s="349"/>
      <c r="I19" s="11"/>
      <c r="J19" s="11"/>
    </row>
    <row r="20" spans="2:10" s="340" customFormat="1">
      <c r="C20" s="340" t="s">
        <v>1449</v>
      </c>
      <c r="D20" s="351" t="str">
        <f>CHOOSE(jezyk,n!A518,n!B518,n!C518,n!D518)</f>
        <v>Wydatki</v>
      </c>
      <c r="H20" s="342"/>
      <c r="I20" s="6">
        <f>SUM(I22:I26)</f>
        <v>0</v>
      </c>
      <c r="J20" s="6">
        <f>SUM(J22:J26)</f>
        <v>0</v>
      </c>
    </row>
    <row r="21" spans="2:10" s="340" customFormat="1">
      <c r="D21" s="351"/>
      <c r="H21" s="342"/>
      <c r="I21" s="7"/>
      <c r="J21" s="7"/>
    </row>
    <row r="22" spans="2:10">
      <c r="D22" s="1" t="s">
        <v>1448</v>
      </c>
      <c r="E22" s="350" t="str">
        <f>CHOOSE(jezyk,n!A551,n!B551,n!C551,n!D551)</f>
        <v>Dostawy i usługi</v>
      </c>
      <c r="H22" s="349"/>
      <c r="I22" s="9"/>
      <c r="J22" s="9"/>
    </row>
    <row r="23" spans="2:10">
      <c r="D23" s="1" t="s">
        <v>1450</v>
      </c>
      <c r="E23" s="350" t="str">
        <f>CHOOSE(jezyk,n!A552,n!B552,n!C552,n!D552)</f>
        <v>Wynagrodzenia netto</v>
      </c>
      <c r="H23" s="349"/>
      <c r="I23" s="9"/>
      <c r="J23" s="9"/>
    </row>
    <row r="24" spans="2:10">
      <c r="D24" s="1" t="s">
        <v>782</v>
      </c>
      <c r="E24" s="350" t="str">
        <f>CHOOSE(jezyk,n!A553,n!B553,n!C553,n!D553)</f>
        <v>Ubezpieczenia społeczne i zdrowotne oraz inne świadczenia</v>
      </c>
      <c r="H24" s="349"/>
      <c r="I24" s="9"/>
      <c r="J24" s="9"/>
    </row>
    <row r="25" spans="2:10">
      <c r="D25" s="1" t="s">
        <v>1452</v>
      </c>
      <c r="E25" s="350" t="str">
        <f>CHOOSE(jezyk,n!A554,n!B554,n!C554,n!D554)</f>
        <v>Podatki i opłaty o charakterze publicznoprawnym</v>
      </c>
      <c r="H25" s="349"/>
      <c r="I25" s="9"/>
      <c r="J25" s="9"/>
    </row>
    <row r="26" spans="2:10">
      <c r="D26" s="1" t="s">
        <v>1453</v>
      </c>
      <c r="E26" s="350" t="str">
        <f>CHOOSE(jezyk,n!A555,n!B555,n!C555,n!D555)</f>
        <v>Inne wydatki operacyjne</v>
      </c>
      <c r="H26" s="349"/>
      <c r="I26" s="9"/>
      <c r="J26" s="9"/>
    </row>
    <row r="27" spans="2:10">
      <c r="E27" s="350"/>
      <c r="H27" s="349"/>
      <c r="I27" s="11"/>
      <c r="J27" s="11"/>
    </row>
    <row r="28" spans="2:10" s="340" customFormat="1">
      <c r="C28" s="340" t="s">
        <v>1451</v>
      </c>
      <c r="D28" s="351" t="str">
        <f>CHOOSE(jezyk,n!A504,n!B504,n!C504,n!D504)</f>
        <v>Przepływy pieniężne netto z działalności operacyjnej</v>
      </c>
      <c r="H28" s="342"/>
      <c r="I28" s="6">
        <f>I15-I20</f>
        <v>0</v>
      </c>
      <c r="J28" s="6">
        <f>J15-J20</f>
        <v>0</v>
      </c>
    </row>
    <row r="29" spans="2:10" s="340" customFormat="1">
      <c r="D29" s="351"/>
      <c r="H29" s="342"/>
      <c r="I29" s="7"/>
      <c r="J29" s="7"/>
    </row>
    <row r="30" spans="2:10" s="340" customFormat="1">
      <c r="B30" s="340" t="s">
        <v>1458</v>
      </c>
      <c r="C30" s="351" t="str">
        <f>CHOOSE(jezyk,n!A505,n!B505,n!C505,n!D505)</f>
        <v>Przepływy środków pieniężnych z działalności inwestycyjnej</v>
      </c>
      <c r="H30" s="342"/>
      <c r="I30" s="7"/>
      <c r="J30" s="7"/>
    </row>
    <row r="31" spans="2:10" s="340" customFormat="1">
      <c r="C31" s="346"/>
      <c r="H31" s="342"/>
      <c r="I31" s="7"/>
      <c r="J31" s="7"/>
    </row>
    <row r="32" spans="2:10" s="340" customFormat="1">
      <c r="C32" s="340" t="s">
        <v>1447</v>
      </c>
      <c r="D32" s="351" t="str">
        <f>CHOOSE(jezyk,n!A506,n!B506,n!C506,n!D506)</f>
        <v>Wpływy</v>
      </c>
      <c r="H32" s="342"/>
      <c r="I32" s="6">
        <f>SUM(I34:I36)+I44</f>
        <v>0</v>
      </c>
      <c r="J32" s="6">
        <f>SUM(J34:J36)+J44</f>
        <v>0</v>
      </c>
    </row>
    <row r="33" spans="3:10">
      <c r="D33" s="351"/>
      <c r="H33" s="342"/>
      <c r="I33" s="7"/>
      <c r="J33" s="7"/>
    </row>
    <row r="34" spans="3:10">
      <c r="D34" s="1" t="s">
        <v>1448</v>
      </c>
      <c r="E34" s="350" t="str">
        <f>CHOOSE(jezyk,n!A507,n!B507,n!C507,n!D507)</f>
        <v>Zbycie wartości niematerialnych i prawnych oraz rzeczowych aktywów trwałych</v>
      </c>
      <c r="G34" s="348"/>
      <c r="H34" s="349"/>
      <c r="I34" s="9"/>
      <c r="J34" s="9"/>
    </row>
    <row r="35" spans="3:10">
      <c r="D35" s="1" t="s">
        <v>1450</v>
      </c>
      <c r="E35" s="350" t="str">
        <f>CHOOSE(jezyk,n!A508,n!B508,n!C508,n!D508)</f>
        <v>Zbycie inwestycji w nieruchomości oraz wartości niematerialne i prawne</v>
      </c>
      <c r="G35" s="348"/>
      <c r="H35" s="349"/>
      <c r="I35" s="9"/>
      <c r="J35" s="9"/>
    </row>
    <row r="36" spans="3:10">
      <c r="D36" s="1" t="s">
        <v>782</v>
      </c>
      <c r="E36" s="350" t="str">
        <f>CHOOSE(jezyk,n!A509,n!B509,n!C509,n!D509)</f>
        <v>Z aktywów finansowych, w tym:</v>
      </c>
      <c r="G36" s="348"/>
      <c r="H36" s="349"/>
      <c r="I36" s="10">
        <f>SUM(I37:I38)</f>
        <v>0</v>
      </c>
      <c r="J36" s="10">
        <f>SUM(J37:J38)</f>
        <v>0</v>
      </c>
    </row>
    <row r="37" spans="3:10">
      <c r="E37" s="1" t="s">
        <v>1459</v>
      </c>
      <c r="F37" s="350" t="str">
        <f>CHOOSE(jezyk,n!A510,n!B510,n!C510,n!D510)</f>
        <v>w jednostkach powiązanych</v>
      </c>
      <c r="H37" s="349"/>
      <c r="I37" s="9"/>
      <c r="J37" s="9"/>
    </row>
    <row r="38" spans="3:10">
      <c r="E38" s="1" t="s">
        <v>1460</v>
      </c>
      <c r="F38" s="350" t="str">
        <f>CHOOSE(jezyk,n!A511,n!B511,n!C511,n!D511)</f>
        <v>w pozostałych jednostkach</v>
      </c>
      <c r="H38" s="349"/>
      <c r="I38" s="10">
        <f>SUM(I39:I43)</f>
        <v>0</v>
      </c>
      <c r="J38" s="10">
        <f>SUM(J39:J43)</f>
        <v>0</v>
      </c>
    </row>
    <row r="39" spans="3:10">
      <c r="F39" s="1" t="s">
        <v>533</v>
      </c>
      <c r="G39" s="350" t="str">
        <f>CHOOSE(jezyk,n!A512,n!B512,n!C512,n!D512)</f>
        <v>zbycie aktywów finansowych</v>
      </c>
      <c r="H39" s="349"/>
      <c r="I39" s="9"/>
      <c r="J39" s="9"/>
    </row>
    <row r="40" spans="3:10">
      <c r="F40" s="1" t="s">
        <v>533</v>
      </c>
      <c r="G40" s="350" t="str">
        <f>CHOOSE(jezyk,n!A513,n!B513,n!C513,n!D513)</f>
        <v>dywidendy i udziały w zyskach</v>
      </c>
      <c r="H40" s="349"/>
      <c r="I40" s="9"/>
      <c r="J40" s="9"/>
    </row>
    <row r="41" spans="3:10">
      <c r="F41" s="1" t="s">
        <v>533</v>
      </c>
      <c r="G41" s="350" t="str">
        <f>CHOOSE(jezyk,n!A514,n!B514,n!C514,n!D514)</f>
        <v>spłata udzielonych pożyczek długoterminowych</v>
      </c>
      <c r="H41" s="349"/>
      <c r="I41" s="9"/>
      <c r="J41" s="9"/>
    </row>
    <row r="42" spans="3:10">
      <c r="F42" s="1" t="s">
        <v>533</v>
      </c>
      <c r="G42" s="350" t="str">
        <f>CHOOSE(jezyk,n!A515,n!B515,n!C515,n!D515)</f>
        <v>odsetki</v>
      </c>
      <c r="H42" s="349"/>
      <c r="I42" s="9"/>
      <c r="J42" s="9"/>
    </row>
    <row r="43" spans="3:10">
      <c r="F43" s="1" t="s">
        <v>533</v>
      </c>
      <c r="G43" s="350" t="str">
        <f>CHOOSE(jezyk,n!A516,n!B516,n!C516,n!D516)</f>
        <v>inne wpływy z aktywów finansowych</v>
      </c>
      <c r="H43" s="349"/>
      <c r="I43" s="9"/>
      <c r="J43" s="9"/>
    </row>
    <row r="44" spans="3:10">
      <c r="D44" s="1" t="s">
        <v>1452</v>
      </c>
      <c r="E44" s="350" t="str">
        <f>CHOOSE(jezyk,n!A517,n!B517,n!C517,n!D517)</f>
        <v>Inne wpływy inwestycyjne</v>
      </c>
      <c r="G44" s="348"/>
      <c r="H44" s="349"/>
      <c r="I44" s="9"/>
      <c r="J44" s="9"/>
    </row>
    <row r="45" spans="3:10">
      <c r="E45" s="350"/>
      <c r="G45" s="348"/>
      <c r="H45" s="349"/>
      <c r="I45" s="11"/>
      <c r="J45" s="11"/>
    </row>
    <row r="46" spans="3:10" s="340" customFormat="1">
      <c r="C46" s="340" t="s">
        <v>1449</v>
      </c>
      <c r="D46" s="351" t="str">
        <f>CHOOSE(jezyk,n!A518,n!B518,n!C518,n!D518)</f>
        <v>Wydatki</v>
      </c>
      <c r="G46" s="347"/>
      <c r="H46" s="342"/>
      <c r="I46" s="6">
        <f>SUM(I48:I50)+I55</f>
        <v>0</v>
      </c>
      <c r="J46" s="6">
        <f>SUM(J48:J50)+J55</f>
        <v>0</v>
      </c>
    </row>
    <row r="47" spans="3:10" s="340" customFormat="1">
      <c r="D47" s="351"/>
      <c r="G47" s="347"/>
      <c r="H47" s="342"/>
      <c r="I47" s="7"/>
      <c r="J47" s="7"/>
    </row>
    <row r="48" spans="3:10">
      <c r="D48" s="1" t="s">
        <v>1448</v>
      </c>
      <c r="E48" s="350" t="str">
        <f>CHOOSE(jezyk,n!A519,n!B519,n!C519,n!D519)</f>
        <v>Nabycie wartości niematerialnych i prawnych oraz rzeczowych aktywów trwałych</v>
      </c>
      <c r="H48" s="349"/>
      <c r="I48" s="9"/>
      <c r="J48" s="9"/>
    </row>
    <row r="49" spans="2:10">
      <c r="D49" s="1" t="s">
        <v>1450</v>
      </c>
      <c r="E49" s="350" t="str">
        <f>CHOOSE(jezyk,n!A520,n!B520,n!C520,n!D520)</f>
        <v>Inwestycje w nieruchomości oraz wartości niematerialne i prawne</v>
      </c>
      <c r="H49" s="349"/>
      <c r="I49" s="9"/>
      <c r="J49" s="9"/>
    </row>
    <row r="50" spans="2:10">
      <c r="D50" s="1" t="s">
        <v>782</v>
      </c>
      <c r="E50" s="350" t="str">
        <f>CHOOSE(jezyk,n!A521,n!B521,n!C521,n!D521)</f>
        <v>Na aktywa finansowe, w tym:</v>
      </c>
      <c r="H50" s="349"/>
      <c r="I50" s="10">
        <f>SUM(I51:I52)</f>
        <v>0</v>
      </c>
      <c r="J50" s="10">
        <f>SUM(J51:J52)</f>
        <v>0</v>
      </c>
    </row>
    <row r="51" spans="2:10">
      <c r="E51" s="1" t="s">
        <v>1459</v>
      </c>
      <c r="F51" s="350" t="str">
        <f>CHOOSE(jezyk,n!A510,n!B510,n!C510,n!D510)</f>
        <v>w jednostkach powiązanych</v>
      </c>
      <c r="H51" s="349"/>
      <c r="I51" s="9"/>
      <c r="J51" s="9"/>
    </row>
    <row r="52" spans="2:10">
      <c r="E52" s="1" t="s">
        <v>1460</v>
      </c>
      <c r="F52" s="350" t="str">
        <f>CHOOSE(jezyk,n!A511,n!B511,n!C511,n!D511)</f>
        <v>w pozostałych jednostkach</v>
      </c>
      <c r="H52" s="349"/>
      <c r="I52" s="10">
        <f>SUM(I53:I54)</f>
        <v>0</v>
      </c>
      <c r="J52" s="10">
        <f>SUM(J53:J54)</f>
        <v>0</v>
      </c>
    </row>
    <row r="53" spans="2:10">
      <c r="F53" s="1" t="s">
        <v>533</v>
      </c>
      <c r="G53" s="350" t="str">
        <f>CHOOSE(jezyk,n!A522,n!B522,n!C522,n!D522)</f>
        <v>nabycie aktywów finansowych</v>
      </c>
      <c r="H53" s="349"/>
      <c r="I53" s="9"/>
      <c r="J53" s="9"/>
    </row>
    <row r="54" spans="2:10">
      <c r="F54" s="1" t="s">
        <v>533</v>
      </c>
      <c r="G54" s="350" t="str">
        <f>CHOOSE(jezyk,n!A523,n!B523,n!C523,n!D523)</f>
        <v>udzielone pożyczki długoterminowe</v>
      </c>
      <c r="H54" s="349"/>
      <c r="I54" s="9"/>
      <c r="J54" s="9"/>
    </row>
    <row r="55" spans="2:10">
      <c r="D55" s="1" t="s">
        <v>1452</v>
      </c>
      <c r="E55" s="350" t="str">
        <f>CHOOSE(jezyk,n!A524,n!B524,n!C524,n!D524)</f>
        <v>Inne wydatki inwestycyjne</v>
      </c>
      <c r="H55" s="349"/>
      <c r="I55" s="9"/>
      <c r="J55" s="9"/>
    </row>
    <row r="56" spans="2:10">
      <c r="E56" s="350"/>
      <c r="H56" s="349"/>
      <c r="I56" s="11"/>
      <c r="J56" s="11"/>
    </row>
    <row r="57" spans="2:10" s="340" customFormat="1">
      <c r="C57" s="340" t="s">
        <v>1451</v>
      </c>
      <c r="D57" s="351" t="str">
        <f>CHOOSE(jezyk,n!A525,n!B525,n!C525,n!D525)</f>
        <v>Przepływy pieniężne netto z działalności inwestycyjnej</v>
      </c>
      <c r="G57" s="347"/>
      <c r="H57" s="342"/>
      <c r="I57" s="8">
        <f>I32-I46</f>
        <v>0</v>
      </c>
      <c r="J57" s="8">
        <f>J32-J46</f>
        <v>0</v>
      </c>
    </row>
    <row r="58" spans="2:10" s="340" customFormat="1">
      <c r="D58" s="351"/>
      <c r="G58" s="347"/>
      <c r="H58" s="342"/>
      <c r="I58" s="7"/>
      <c r="J58" s="7"/>
    </row>
    <row r="59" spans="2:10" s="340" customFormat="1">
      <c r="B59" s="340" t="s">
        <v>1191</v>
      </c>
      <c r="C59" s="351" t="str">
        <f>CHOOSE(jezyk,n!A526,n!B526,n!C526,n!D526)</f>
        <v>Przepływy środków pieniężnych z działalności finansowej</v>
      </c>
      <c r="H59" s="342"/>
      <c r="I59" s="7"/>
      <c r="J59" s="7"/>
    </row>
    <row r="60" spans="2:10" s="340" customFormat="1">
      <c r="C60" s="346"/>
      <c r="H60" s="342"/>
      <c r="I60" s="7"/>
      <c r="J60" s="7"/>
    </row>
    <row r="61" spans="2:10" s="340" customFormat="1">
      <c r="C61" s="340" t="s">
        <v>1447</v>
      </c>
      <c r="D61" s="351" t="str">
        <f>CHOOSE(jezyk,n!A506,n!B506,n!C506,n!D506)</f>
        <v>Wpływy</v>
      </c>
      <c r="H61" s="342"/>
      <c r="I61" s="6">
        <f>SUM(I63:I66)</f>
        <v>0</v>
      </c>
      <c r="J61" s="6">
        <f>SUM(J63:J66)</f>
        <v>0</v>
      </c>
    </row>
    <row r="62" spans="2:10" s="340" customFormat="1">
      <c r="D62" s="351"/>
      <c r="H62" s="342"/>
      <c r="I62" s="7"/>
      <c r="J62" s="7"/>
    </row>
    <row r="63" spans="2:10">
      <c r="D63" s="1" t="s">
        <v>1448</v>
      </c>
      <c r="E63" s="1195" t="str">
        <f>CHOOSE(jezyk,n!A527,n!B527,n!C527,n!D527)</f>
        <v>Wpływy netto z wydania udziałów (emisji akcji) i innych instrumentów kapitałowych oraz dopłat do kapitału</v>
      </c>
      <c r="F63" s="1196"/>
      <c r="G63" s="1196"/>
      <c r="H63" s="1196"/>
      <c r="I63" s="9"/>
      <c r="J63" s="9"/>
    </row>
    <row r="64" spans="2:10">
      <c r="D64" s="1" t="s">
        <v>1450</v>
      </c>
      <c r="E64" s="350" t="str">
        <f>CHOOSE(jezyk,n!A528,n!B528,n!C528,n!D528)</f>
        <v>Kredyty i pożyczki</v>
      </c>
      <c r="H64" s="349"/>
      <c r="I64" s="9"/>
      <c r="J64" s="9"/>
    </row>
    <row r="65" spans="2:10">
      <c r="D65" s="1" t="s">
        <v>782</v>
      </c>
      <c r="E65" s="350" t="str">
        <f>CHOOSE(jezyk,n!A529,n!B529,n!C529,n!D529)</f>
        <v>Emisja dłużnych papierów wartościowych</v>
      </c>
      <c r="H65" s="349"/>
      <c r="I65" s="9"/>
      <c r="J65" s="9"/>
    </row>
    <row r="66" spans="2:10">
      <c r="D66" s="1" t="s">
        <v>1452</v>
      </c>
      <c r="E66" s="350" t="str">
        <f>CHOOSE(jezyk,n!A530,n!B530,n!C530,n!D530)</f>
        <v>Inne wpływy finansowe</v>
      </c>
      <c r="H66" s="349"/>
      <c r="I66" s="9"/>
      <c r="J66" s="9"/>
    </row>
    <row r="67" spans="2:10">
      <c r="E67" s="350"/>
      <c r="H67" s="349"/>
      <c r="I67" s="11"/>
      <c r="J67" s="11"/>
    </row>
    <row r="68" spans="2:10" s="340" customFormat="1">
      <c r="C68" s="340" t="s">
        <v>1449</v>
      </c>
      <c r="D68" s="351" t="str">
        <f>CHOOSE(jezyk,n!A518,n!B518,n!C518,n!D518)</f>
        <v>Wydatki</v>
      </c>
      <c r="H68" s="342"/>
      <c r="I68" s="6">
        <f>SUM(I70:I78)</f>
        <v>0</v>
      </c>
      <c r="J68" s="6">
        <f>SUM(J70:J78)</f>
        <v>0</v>
      </c>
    </row>
    <row r="69" spans="2:10" s="340" customFormat="1">
      <c r="D69" s="351"/>
      <c r="H69" s="342"/>
      <c r="I69" s="7"/>
      <c r="J69" s="7"/>
    </row>
    <row r="70" spans="2:10">
      <c r="D70" s="1" t="s">
        <v>1448</v>
      </c>
      <c r="E70" s="350" t="str">
        <f>CHOOSE(jezyk,n!A531,n!B531,n!C531,n!D531)</f>
        <v>Nabycie udziałów (akcji) własnych</v>
      </c>
      <c r="H70" s="349"/>
      <c r="I70" s="9"/>
      <c r="J70" s="9"/>
    </row>
    <row r="71" spans="2:10">
      <c r="D71" s="1" t="s">
        <v>1450</v>
      </c>
      <c r="E71" s="350" t="str">
        <f>CHOOSE(jezyk,n!A532,n!B532,n!C532,n!D532)</f>
        <v>Dywidendy i inne wypłaty na rzecz właścicieli</v>
      </c>
      <c r="H71" s="349"/>
      <c r="I71" s="9"/>
      <c r="J71" s="9"/>
    </row>
    <row r="72" spans="2:10">
      <c r="D72" s="1" t="s">
        <v>782</v>
      </c>
      <c r="E72" s="350" t="str">
        <f>CHOOSE(jezyk,n!A533,n!B533,n!C533,n!D533)</f>
        <v>Inne, niż wypłaty na rzecz właścicieli, wydatki z tytułu podziału zysku</v>
      </c>
      <c r="H72" s="349"/>
      <c r="I72" s="9"/>
      <c r="J72" s="9"/>
    </row>
    <row r="73" spans="2:10">
      <c r="D73" s="1" t="s">
        <v>1452</v>
      </c>
      <c r="E73" s="350" t="str">
        <f>CHOOSE(jezyk,n!A534,n!B534,n!C534,n!D534)</f>
        <v>Spłaty kredytów i pożyczek</v>
      </c>
      <c r="H73" s="349"/>
      <c r="I73" s="9"/>
      <c r="J73" s="9"/>
    </row>
    <row r="74" spans="2:10">
      <c r="D74" s="1" t="s">
        <v>1453</v>
      </c>
      <c r="E74" s="350" t="str">
        <f>CHOOSE(jezyk,n!A535,n!B535,n!C535,n!D535)</f>
        <v>Wykup dłużnych papierów wartościowych</v>
      </c>
      <c r="G74" s="340"/>
      <c r="H74" s="349"/>
      <c r="I74" s="9"/>
      <c r="J74" s="9"/>
    </row>
    <row r="75" spans="2:10">
      <c r="D75" s="1" t="s">
        <v>786</v>
      </c>
      <c r="E75" s="350" t="str">
        <f>CHOOSE(jezyk,n!A536,n!B536,n!C536,n!D536)</f>
        <v>Z tytułu innych zobowiązań finansowych</v>
      </c>
      <c r="H75" s="349"/>
      <c r="I75" s="9"/>
      <c r="J75" s="9"/>
    </row>
    <row r="76" spans="2:10">
      <c r="D76" s="1" t="s">
        <v>93</v>
      </c>
      <c r="E76" s="350" t="str">
        <f>CHOOSE(jezyk,n!A537,n!B537,n!C537,n!D537)</f>
        <v>Płatności zobowiązań z tytułu umów leasingu finansowego</v>
      </c>
      <c r="H76" s="349"/>
      <c r="I76" s="9"/>
      <c r="J76" s="9"/>
    </row>
    <row r="77" spans="2:10">
      <c r="B77" s="352"/>
      <c r="C77" s="352"/>
      <c r="D77" s="352" t="s">
        <v>1507</v>
      </c>
      <c r="E77" s="350" t="str">
        <f>CHOOSE(jezyk,n!A538,n!B538,n!C538,n!D538)</f>
        <v>Odsetki</v>
      </c>
      <c r="F77" s="352"/>
      <c r="G77" s="352"/>
      <c r="H77" s="349"/>
      <c r="I77" s="9"/>
      <c r="J77" s="9"/>
    </row>
    <row r="78" spans="2:10">
      <c r="B78" s="352"/>
      <c r="C78" s="352"/>
      <c r="D78" s="352" t="s">
        <v>1508</v>
      </c>
      <c r="E78" s="350" t="str">
        <f>CHOOSE(jezyk,n!A539,n!B539,n!C539,n!D539)</f>
        <v>Inne wydatki finansowe</v>
      </c>
      <c r="F78" s="352"/>
      <c r="G78" s="352"/>
      <c r="H78" s="349"/>
      <c r="I78" s="9"/>
      <c r="J78" s="9"/>
    </row>
    <row r="79" spans="2:10">
      <c r="B79" s="352"/>
      <c r="C79" s="352"/>
      <c r="D79" s="352"/>
      <c r="E79" s="350"/>
      <c r="F79" s="352"/>
      <c r="G79" s="352"/>
      <c r="H79" s="349"/>
      <c r="I79" s="11"/>
      <c r="J79" s="11"/>
    </row>
    <row r="80" spans="2:10" s="340" customFormat="1">
      <c r="B80" s="353"/>
      <c r="C80" s="354" t="s">
        <v>1451</v>
      </c>
      <c r="D80" s="1194" t="str">
        <f>CHOOSE(jezyk,n!A540,n!B540,n!C540,n!D540)</f>
        <v>Przepływy pieniężne netto z działalności finansowej</v>
      </c>
      <c r="E80" s="1194"/>
      <c r="F80" s="1194"/>
      <c r="G80" s="1194"/>
      <c r="H80" s="342"/>
      <c r="I80" s="6">
        <f>I61-I68</f>
        <v>0</v>
      </c>
      <c r="J80" s="6">
        <f>J61-J68</f>
        <v>0</v>
      </c>
    </row>
    <row r="81" spans="2:12" s="340" customFormat="1">
      <c r="B81" s="353"/>
      <c r="C81" s="353"/>
      <c r="D81" s="351"/>
      <c r="E81" s="353"/>
      <c r="F81" s="353"/>
      <c r="G81" s="353"/>
      <c r="H81" s="342"/>
      <c r="I81" s="7"/>
      <c r="J81" s="7"/>
    </row>
    <row r="82" spans="2:12" s="340" customFormat="1">
      <c r="B82" s="353" t="s">
        <v>1192</v>
      </c>
      <c r="C82" s="351" t="str">
        <f>CHOOSE(jezyk,n!A541,n!B541,n!C541,n!D541)</f>
        <v>Przepływy pieniężne netto razem</v>
      </c>
      <c r="D82" s="353"/>
      <c r="E82" s="353"/>
      <c r="F82" s="353"/>
      <c r="G82" s="353"/>
      <c r="H82" s="342"/>
      <c r="I82" s="6">
        <f>I28+I57+I80</f>
        <v>0</v>
      </c>
      <c r="J82" s="6">
        <f>J28+J57+J80</f>
        <v>0</v>
      </c>
    </row>
    <row r="83" spans="2:12" s="340" customFormat="1">
      <c r="B83" s="353"/>
      <c r="C83" s="351"/>
      <c r="D83" s="353"/>
      <c r="E83" s="353"/>
      <c r="F83" s="353"/>
      <c r="G83" s="353"/>
      <c r="H83" s="342"/>
      <c r="I83" s="7"/>
      <c r="J83" s="7"/>
      <c r="L83" s="355" t="str">
        <f>dzb</f>
        <v>31.12.2024</v>
      </c>
    </row>
    <row r="84" spans="2:12" s="340" customFormat="1">
      <c r="B84" s="353" t="s">
        <v>1193</v>
      </c>
      <c r="C84" s="351" t="str">
        <f>CHOOSE(jezyk,n!A542,n!B542,n!C542,n!D542)</f>
        <v>Bilansowa zmiana stanu środków pieniężnych, w tym:</v>
      </c>
      <c r="D84" s="353"/>
      <c r="E84" s="353"/>
      <c r="F84" s="353"/>
      <c r="G84" s="353"/>
      <c r="H84" s="342"/>
      <c r="I84" s="6">
        <f>Bilans!J127-Bilans!K127</f>
        <v>0</v>
      </c>
      <c r="J84" s="40"/>
      <c r="L84" s="356">
        <f>I84-(Bilans!J126-Bilans!K126)</f>
        <v>-273165.15999999997</v>
      </c>
    </row>
    <row r="85" spans="2:12" s="340" customFormat="1">
      <c r="B85" s="353"/>
      <c r="C85" s="351"/>
      <c r="D85" s="353"/>
      <c r="E85" s="353"/>
      <c r="F85" s="353"/>
      <c r="G85" s="353"/>
      <c r="H85" s="342"/>
      <c r="I85" s="7"/>
      <c r="J85" s="7"/>
    </row>
    <row r="86" spans="2:12">
      <c r="B86" s="352"/>
      <c r="C86" s="352" t="s">
        <v>533</v>
      </c>
      <c r="D86" s="350" t="str">
        <f>CHOOSE(jezyk,n!A543,n!B543,n!C543,n!D543)</f>
        <v>zmiana stanu środków pieniężnych z tytułu różnic kursowych</v>
      </c>
      <c r="E86" s="352"/>
      <c r="F86" s="352"/>
      <c r="G86" s="352"/>
      <c r="H86" s="342"/>
      <c r="I86" s="8"/>
      <c r="J86" s="8"/>
    </row>
    <row r="87" spans="2:12">
      <c r="B87" s="352"/>
      <c r="C87" s="352"/>
      <c r="D87" s="350"/>
      <c r="E87" s="352"/>
      <c r="F87" s="352"/>
      <c r="G87" s="352"/>
      <c r="H87" s="342"/>
      <c r="I87" s="7"/>
      <c r="J87" s="7"/>
    </row>
    <row r="88" spans="2:12" s="340" customFormat="1">
      <c r="B88" s="353" t="s">
        <v>1194</v>
      </c>
      <c r="C88" s="351" t="str">
        <f>CHOOSE(jezyk,n!A544,n!B544,n!C544,n!D544)</f>
        <v>Środki pieniężne na początek okresu</v>
      </c>
      <c r="D88" s="353"/>
      <c r="E88" s="353"/>
      <c r="F88" s="353"/>
      <c r="G88" s="353"/>
      <c r="H88" s="342"/>
      <c r="I88" s="6">
        <f>J91</f>
        <v>0</v>
      </c>
      <c r="J88" s="8"/>
    </row>
    <row r="89" spans="2:12" s="340" customFormat="1">
      <c r="B89" s="353"/>
      <c r="C89" s="351"/>
      <c r="D89" s="353"/>
      <c r="E89" s="353"/>
      <c r="F89" s="353"/>
      <c r="G89" s="353"/>
      <c r="H89" s="342"/>
      <c r="I89" s="7"/>
      <c r="J89" s="7"/>
    </row>
    <row r="90" spans="2:12" s="340" customFormat="1">
      <c r="B90" s="357"/>
      <c r="C90" s="358"/>
      <c r="D90" s="357"/>
      <c r="E90" s="357"/>
      <c r="F90" s="357"/>
      <c r="G90" s="357"/>
      <c r="H90" s="359"/>
      <c r="I90" s="15"/>
      <c r="J90" s="15"/>
    </row>
    <row r="91" spans="2:12" s="340" customFormat="1">
      <c r="B91" s="353" t="s">
        <v>1195</v>
      </c>
      <c r="C91" s="351" t="str">
        <f>CHOOSE(jezyk,n!A545,n!B545,n!C545,n!D545)</f>
        <v>Środki pieniężne na koniec okresu, w tym:</v>
      </c>
      <c r="D91" s="353"/>
      <c r="E91" s="353"/>
      <c r="F91" s="353"/>
      <c r="G91" s="353"/>
      <c r="H91" s="342"/>
      <c r="I91" s="6">
        <f>I88+I82</f>
        <v>0</v>
      </c>
      <c r="J91" s="8"/>
      <c r="K91" s="343"/>
    </row>
    <row r="92" spans="2:12" s="340" customFormat="1">
      <c r="B92" s="353"/>
      <c r="C92" s="351"/>
      <c r="D92" s="353"/>
      <c r="E92" s="353"/>
      <c r="F92" s="353"/>
      <c r="G92" s="353"/>
      <c r="H92" s="342"/>
      <c r="I92" s="7"/>
      <c r="J92" s="7"/>
    </row>
    <row r="93" spans="2:12">
      <c r="B93" s="352"/>
      <c r="C93" s="352" t="s">
        <v>533</v>
      </c>
      <c r="D93" s="350" t="str">
        <f>CHOOSE(jezyk,n!A546,n!B546,n!C546,n!D546)</f>
        <v>o ograniczonej możliwości dysponowania</v>
      </c>
      <c r="E93" s="352"/>
      <c r="F93" s="352"/>
      <c r="G93" s="352"/>
      <c r="H93" s="342"/>
      <c r="I93" s="8"/>
      <c r="J93" s="8"/>
    </row>
    <row r="94" spans="2:12" ht="13.5" thickBot="1">
      <c r="B94" s="360"/>
      <c r="C94" s="360"/>
      <c r="D94" s="360"/>
      <c r="E94" s="360"/>
      <c r="F94" s="360"/>
      <c r="G94" s="360"/>
      <c r="H94" s="361"/>
      <c r="I94" s="362"/>
      <c r="J94" s="362"/>
    </row>
    <row r="95" spans="2:12" ht="13.5" thickTop="1">
      <c r="H95" s="696"/>
    </row>
    <row r="96" spans="2:12" ht="12.75" customHeight="1">
      <c r="B96" s="363" t="str">
        <f>siedziba&amp;", "&amp;GA!D53</f>
        <v>Warszawa, 28.02.2025</v>
      </c>
      <c r="C96" s="2"/>
      <c r="D96" s="2"/>
      <c r="E96" s="2"/>
      <c r="F96" s="2"/>
      <c r="H96" s="1192"/>
      <c r="I96" s="1192"/>
      <c r="J96" s="1192"/>
    </row>
    <row r="97" spans="2:10" ht="12.75" customHeight="1">
      <c r="B97" s="363"/>
      <c r="C97" s="2"/>
      <c r="D97" s="2"/>
      <c r="E97" s="2"/>
      <c r="F97" s="2"/>
      <c r="G97" s="364" t="str">
        <f>CHOOSE(jezyk,n!A412,n!B412,n!C412,n!D412)</f>
        <v>Osoba sporządzająca:</v>
      </c>
      <c r="H97" s="696"/>
      <c r="I97" s="365" t="str">
        <f>CHOOSE(jezyk,n!A413,n!B413,n!C413,n!D413)</f>
        <v>Zarząd:</v>
      </c>
      <c r="J97" s="696"/>
    </row>
    <row r="98" spans="2:10">
      <c r="G98" s="3"/>
      <c r="H98" s="1193"/>
      <c r="I98" s="1193"/>
      <c r="J98" s="1193"/>
    </row>
    <row r="251" spans="27:27">
      <c r="AA251" s="66"/>
    </row>
  </sheetData>
  <sheetProtection formatCells="0" formatColumns="0" formatRows="0" insertRows="0" insertHyperlinks="0" sort="0" autoFilter="0" pivotTables="0"/>
  <mergeCells count="9">
    <mergeCell ref="B1:J1"/>
    <mergeCell ref="B3:J3"/>
    <mergeCell ref="H96:J96"/>
    <mergeCell ref="H98:J98"/>
    <mergeCell ref="B6:J6"/>
    <mergeCell ref="D80:G80"/>
    <mergeCell ref="B5:J5"/>
    <mergeCell ref="B4:J4"/>
    <mergeCell ref="E63:H63"/>
  </mergeCells>
  <phoneticPr fontId="0" type="noConversion"/>
  <hyperlinks>
    <hyperlink ref="B1:J1" location="'spis treści'!A1" display="SPIS TREŚCI" xr:uid="{00000000-0004-0000-1F00-000000000000}"/>
  </hyperlinks>
  <printOptions horizontalCentered="1"/>
  <pageMargins left="0.78740157480314965" right="0.78740157480314965" top="0.35433070866141736" bottom="0.98425196850393704" header="0.27559055118110237" footer="0.51181102362204722"/>
  <pageSetup paperSize="8" scale="92" orientation="portrait" blackAndWhite="1"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9">
    <tabColor rgb="FFFFC000"/>
    <pageSetUpPr fitToPage="1"/>
  </sheetPr>
  <dimension ref="A1:M97"/>
  <sheetViews>
    <sheetView showGridLines="0" view="pageBreakPreview" topLeftCell="A26" zoomScale="85" zoomScaleNormal="100" zoomScaleSheetLayoutView="85" workbookViewId="0">
      <selection activeCell="L14" sqref="L14"/>
    </sheetView>
  </sheetViews>
  <sheetFormatPr defaultColWidth="9.140625" defaultRowHeight="12.75"/>
  <cols>
    <col min="1" max="1" width="18.28515625" style="317" bestFit="1" customWidth="1"/>
    <col min="2" max="3" width="3.140625" style="66" customWidth="1"/>
    <col min="4" max="4" width="3.42578125" style="66" customWidth="1"/>
    <col min="5" max="6" width="3.5703125" style="66" customWidth="1"/>
    <col min="7" max="7" width="62.28515625" style="66" customWidth="1"/>
    <col min="8" max="8" width="3.140625" style="66" customWidth="1"/>
    <col min="9" max="10" width="14.7109375" style="66" customWidth="1"/>
    <col min="11" max="11" width="12" style="66" customWidth="1"/>
    <col min="12" max="12" width="11.7109375" style="66" bestFit="1" customWidth="1"/>
    <col min="13" max="16384" width="9.140625" style="66"/>
  </cols>
  <sheetData>
    <row r="1" spans="1:12">
      <c r="B1" s="773" t="s">
        <v>1257</v>
      </c>
      <c r="C1" s="773"/>
      <c r="D1" s="773"/>
      <c r="E1" s="773"/>
      <c r="F1" s="773"/>
      <c r="G1" s="773"/>
      <c r="H1" s="773"/>
      <c r="I1" s="773"/>
      <c r="J1" s="773"/>
    </row>
    <row r="2" spans="1:12" ht="42" customHeight="1">
      <c r="B2" s="397"/>
      <c r="C2" s="397"/>
      <c r="D2" s="397"/>
      <c r="E2" s="397"/>
      <c r="F2" s="397"/>
      <c r="G2" s="397"/>
      <c r="H2" s="397"/>
      <c r="I2" s="397"/>
      <c r="J2" s="397"/>
    </row>
    <row r="3" spans="1:12">
      <c r="B3" s="774" t="str">
        <f>nazwa_spolki&amp;", " &amp;siedziba</f>
        <v>Rhenus Digital Workforce Sp. z o.o., Warszawa</v>
      </c>
      <c r="C3" s="774"/>
      <c r="D3" s="774"/>
      <c r="E3" s="774"/>
      <c r="F3" s="774"/>
      <c r="G3" s="774"/>
      <c r="H3" s="774"/>
      <c r="I3" s="774"/>
      <c r="J3" s="774"/>
    </row>
    <row r="4" spans="1:12">
      <c r="B4" s="774" t="str">
        <f>CHOOSE(jezyk,n!A489,n!B489,n!C489,n!D489)</f>
        <v>Rachunek przepływów pieniężnych</v>
      </c>
      <c r="C4" s="774"/>
      <c r="D4" s="774"/>
      <c r="E4" s="774"/>
      <c r="F4" s="774"/>
      <c r="G4" s="774"/>
      <c r="H4" s="774"/>
      <c r="I4" s="774"/>
      <c r="J4" s="774"/>
    </row>
    <row r="5" spans="1:12">
      <c r="B5" s="774" t="str">
        <f>CHOOSE(jezyk,n!A418,n!B418,n!C418,n!D418)</f>
        <v>za rok obrotowy od 19.10.2023 do 31.12.2024</v>
      </c>
      <c r="C5" s="774"/>
      <c r="D5" s="774"/>
      <c r="E5" s="774"/>
      <c r="F5" s="774"/>
      <c r="G5" s="774"/>
      <c r="H5" s="774"/>
      <c r="I5" s="774"/>
      <c r="J5" s="774"/>
    </row>
    <row r="6" spans="1:12">
      <c r="B6" s="774" t="str">
        <f>CHOOSE(jezyk,n!A490,n!B490,n!C490,n!D490)</f>
        <v>(metoda pośrednia)</v>
      </c>
      <c r="C6" s="774"/>
      <c r="D6" s="774"/>
      <c r="E6" s="774"/>
      <c r="F6" s="774"/>
      <c r="G6" s="774"/>
      <c r="H6" s="774"/>
      <c r="I6" s="774"/>
      <c r="J6" s="774"/>
    </row>
    <row r="7" spans="1:12">
      <c r="B7" s="336"/>
      <c r="C7" s="336"/>
      <c r="D7" s="336"/>
      <c r="E7" s="336"/>
      <c r="F7" s="336"/>
      <c r="G7" s="336"/>
      <c r="H7" s="336"/>
      <c r="I7" s="336"/>
      <c r="J7" s="336"/>
    </row>
    <row r="8" spans="1:12">
      <c r="J8" s="134" t="str">
        <f>IF(GA!D51="nie","",CHOOSE(jezyk,n!A289,n!B289,n!C289,n!D289))</f>
        <v/>
      </c>
    </row>
    <row r="9" spans="1:12">
      <c r="I9" s="296" t="str">
        <f>CHOOSE(jezyk,n!A287,n!B287,n!C287,n!D287)</f>
        <v>Rok bieżący</v>
      </c>
      <c r="J9" s="108" t="str">
        <f>IF(GA!D51="nie",CHOOSE(jezyk,n!A288,n!B288,n!C288,n!D288),CHOOSE(jezyk,n!A290,n!B290,n!C290,n!D290))</f>
        <v>Rok poprzedni</v>
      </c>
    </row>
    <row r="10" spans="1:12">
      <c r="B10" s="154"/>
      <c r="C10" s="154"/>
      <c r="D10" s="154"/>
      <c r="E10" s="154"/>
      <c r="F10" s="154"/>
      <c r="G10" s="154"/>
      <c r="H10" s="154"/>
      <c r="I10" s="337" t="s">
        <v>35</v>
      </c>
      <c r="J10" s="337" t="s">
        <v>35</v>
      </c>
    </row>
    <row r="11" spans="1:12" ht="9.9499999999999993" customHeight="1"/>
    <row r="12" spans="1:12" ht="12.75" customHeight="1">
      <c r="B12" s="111" t="s">
        <v>1446</v>
      </c>
      <c r="C12" s="1197" t="str">
        <f>CHOOSE(jezyk,n!A491,n!B491,n!C491,n!D491)</f>
        <v>Przepływy środków pieniężnych z działalności operacyjnej</v>
      </c>
      <c r="D12" s="1082"/>
      <c r="E12" s="1082"/>
      <c r="F12" s="1082"/>
      <c r="G12" s="1082"/>
      <c r="I12" s="38"/>
      <c r="J12" s="38"/>
      <c r="K12" s="162" t="s">
        <v>5963</v>
      </c>
    </row>
    <row r="13" spans="1:12" ht="9.9499999999999993" customHeight="1">
      <c r="B13" s="111"/>
      <c r="C13" s="338"/>
      <c r="D13" s="317"/>
      <c r="E13" s="317"/>
      <c r="F13" s="317"/>
      <c r="G13" s="317"/>
      <c r="I13" s="38"/>
      <c r="J13" s="38"/>
      <c r="K13" s="65">
        <f>rok</f>
        <v>2024</v>
      </c>
      <c r="L13" s="65">
        <f>IF(LEN(ro)&gt;4,_xlfn.TEXTBEFORE(ro,"/")-1&amp;"/"&amp;_xlfn.TEXTAFTER(ro,"/")-1,ro-1)</f>
        <v>2023</v>
      </c>
    </row>
    <row r="14" spans="1:12" s="243" customFormat="1">
      <c r="A14" s="338"/>
      <c r="C14" s="243" t="s">
        <v>1447</v>
      </c>
      <c r="D14" s="243" t="str">
        <f>CHOOSE(jezyk,n!A492,n!B492,n!C492,n!D492)</f>
        <v>Zysk (strata) netto</v>
      </c>
      <c r="I14" s="300">
        <f>'RZiS Por. '!E81</f>
        <v>364172.37000000081</v>
      </c>
      <c r="J14" s="300">
        <f>'RZiS Por. '!F81</f>
        <v>1E-4</v>
      </c>
      <c r="K14" s="148">
        <f>I14-'RZiS Por. '!E81</f>
        <v>0</v>
      </c>
      <c r="L14" s="148">
        <f>J14-'RZiS Por. '!F81</f>
        <v>0</v>
      </c>
    </row>
    <row r="15" spans="1:12" s="243" customFormat="1" ht="9.9499999999999993" customHeight="1">
      <c r="A15" s="338"/>
      <c r="I15" s="182"/>
      <c r="J15" s="182"/>
    </row>
    <row r="16" spans="1:12" s="243" customFormat="1">
      <c r="A16" s="338"/>
      <c r="C16" s="243" t="s">
        <v>1449</v>
      </c>
      <c r="D16" s="243" t="str">
        <f>CHOOSE(jezyk,n!A493,n!B493,n!C493,n!D493)</f>
        <v>Korekty razem</v>
      </c>
      <c r="I16" s="300">
        <f>SUM(I18:I27)</f>
        <v>107432.19</v>
      </c>
      <c r="J16" s="300">
        <f>SUM(J18:J27)</f>
        <v>0</v>
      </c>
    </row>
    <row r="17" spans="1:12" s="243" customFormat="1" ht="9.9499999999999993" customHeight="1">
      <c r="A17" s="338"/>
      <c r="I17" s="182"/>
      <c r="J17" s="182"/>
      <c r="K17" s="65">
        <f>rok</f>
        <v>2024</v>
      </c>
      <c r="L17" s="65">
        <f>IF(LEN(ro)&gt;4,_xlfn.TEXTBEFORE(ro,"/")-1&amp;"/"&amp;_xlfn.TEXTAFTER(ro,"/")-1,ro-1)</f>
        <v>2023</v>
      </c>
    </row>
    <row r="18" spans="1:12">
      <c r="D18" s="66" t="s">
        <v>1448</v>
      </c>
      <c r="E18" s="862" t="str">
        <f>CHOOSE(jezyk,n!A494,n!B494,n!C494,n!D494)</f>
        <v>Amortyzacja</v>
      </c>
      <c r="F18" s="862"/>
      <c r="G18" s="862"/>
      <c r="I18" s="314">
        <f>'RZiS Por. '!E22</f>
        <v>107432.19</v>
      </c>
      <c r="J18" s="314">
        <f>'RZiS Por. '!F22</f>
        <v>0</v>
      </c>
      <c r="K18" s="148">
        <f>I18-'RZiS Por. '!E22</f>
        <v>0</v>
      </c>
      <c r="L18" s="148">
        <f>J18-'RZiS Por. '!F22</f>
        <v>0</v>
      </c>
    </row>
    <row r="19" spans="1:12">
      <c r="D19" s="66" t="s">
        <v>1450</v>
      </c>
      <c r="E19" s="862" t="str">
        <f>CHOOSE(jezyk,n!A495,n!B495,n!C495,n!D495)</f>
        <v>Zyski (straty) z tytułu różnic kursowych</v>
      </c>
      <c r="F19" s="862"/>
      <c r="G19" s="862"/>
      <c r="I19" s="303">
        <v>0</v>
      </c>
      <c r="J19" s="309">
        <v>0</v>
      </c>
    </row>
    <row r="20" spans="1:12">
      <c r="D20" s="66" t="s">
        <v>782</v>
      </c>
      <c r="E20" s="862" t="str">
        <f>CHOOSE(jezyk,n!A496,n!B496,n!C496,n!D496)</f>
        <v>Odsetki i udziały w zyskach (dywidendy)</v>
      </c>
      <c r="F20" s="862"/>
      <c r="G20" s="862"/>
      <c r="I20" s="303">
        <v>0</v>
      </c>
      <c r="J20" s="309">
        <v>0</v>
      </c>
    </row>
    <row r="21" spans="1:12">
      <c r="D21" s="66" t="s">
        <v>1452</v>
      </c>
      <c r="E21" s="862" t="str">
        <f>CHOOSE(jezyk,n!A497,n!B497,n!C497,n!D497)</f>
        <v>Zysk (strata) z działalności inwestycyjnej</v>
      </c>
      <c r="F21" s="862"/>
      <c r="G21" s="862"/>
      <c r="I21" s="303">
        <v>0</v>
      </c>
      <c r="J21" s="309">
        <v>0</v>
      </c>
      <c r="K21" s="38"/>
    </row>
    <row r="22" spans="1:12">
      <c r="D22" s="66" t="s">
        <v>1453</v>
      </c>
      <c r="E22" s="862" t="str">
        <f>CHOOSE(jezyk,n!A498,n!B498,n!C498,n!D498)</f>
        <v>Zmiana stanu rezerw</v>
      </c>
      <c r="F22" s="862"/>
      <c r="G22" s="862"/>
      <c r="I22" s="303">
        <v>0</v>
      </c>
      <c r="J22" s="309">
        <v>0</v>
      </c>
    </row>
    <row r="23" spans="1:12">
      <c r="D23" s="66" t="s">
        <v>786</v>
      </c>
      <c r="E23" s="862" t="str">
        <f>CHOOSE(jezyk,n!A499,n!B499,n!C499,n!D499)</f>
        <v>Zmiana stanu zapasów</v>
      </c>
      <c r="F23" s="862"/>
      <c r="G23" s="862"/>
      <c r="I23" s="303">
        <v>0</v>
      </c>
      <c r="J23" s="309">
        <v>0</v>
      </c>
    </row>
    <row r="24" spans="1:12">
      <c r="D24" s="66" t="s">
        <v>93</v>
      </c>
      <c r="E24" s="862" t="str">
        <f>CHOOSE(jezyk,n!A500,n!B500,n!C500,n!D500)</f>
        <v>Zmiana stanu należności</v>
      </c>
      <c r="F24" s="862"/>
      <c r="G24" s="862"/>
      <c r="I24" s="303">
        <v>0</v>
      </c>
      <c r="J24" s="309">
        <v>0</v>
      </c>
      <c r="K24" s="38"/>
    </row>
    <row r="25" spans="1:12" ht="12.75" customHeight="1">
      <c r="D25" s="72" t="s">
        <v>1507</v>
      </c>
      <c r="E25" s="1082" t="str">
        <f>CHOOSE(jezyk,n!A501,n!B501,n!C501,n!D501)</f>
        <v>Zmiana stanu zobowiązań krótkoterminowych, z wyjątkiem pożyczek i kredytów</v>
      </c>
      <c r="F25" s="1082"/>
      <c r="G25" s="1082"/>
      <c r="I25" s="303">
        <v>0</v>
      </c>
      <c r="J25" s="309">
        <v>0</v>
      </c>
    </row>
    <row r="26" spans="1:12">
      <c r="D26" s="66" t="s">
        <v>1508</v>
      </c>
      <c r="E26" s="862" t="str">
        <f>CHOOSE(jezyk,n!A502,n!B502,n!C502,n!D502)</f>
        <v>Zmiana stanu rozliczeń międzyokresowych</v>
      </c>
      <c r="F26" s="862"/>
      <c r="G26" s="862"/>
      <c r="I26" s="303">
        <v>0</v>
      </c>
      <c r="J26" s="309">
        <v>0</v>
      </c>
    </row>
    <row r="27" spans="1:12">
      <c r="D27" s="66" t="s">
        <v>94</v>
      </c>
      <c r="E27" s="862" t="str">
        <f>CHOOSE(jezyk,n!A503,n!B503,n!C503,n!D503)</f>
        <v>Inne korekty</v>
      </c>
      <c r="F27" s="862"/>
      <c r="G27" s="862"/>
      <c r="I27" s="303">
        <v>0</v>
      </c>
      <c r="J27" s="309">
        <v>0</v>
      </c>
    </row>
    <row r="28" spans="1:12" ht="9.9499999999999993" customHeight="1">
      <c r="I28" s="38"/>
      <c r="J28" s="38"/>
    </row>
    <row r="29" spans="1:12" s="243" customFormat="1">
      <c r="A29" s="338"/>
      <c r="C29" s="243" t="s">
        <v>1451</v>
      </c>
      <c r="D29" s="243" t="str">
        <f>CHOOSE(jezyk,n!A504,n!B504,n!C504,n!D504)</f>
        <v>Przepływy pieniężne netto z działalności operacyjnej</v>
      </c>
      <c r="I29" s="300">
        <f>SUM(I14:I16)</f>
        <v>471604.56000000081</v>
      </c>
      <c r="J29" s="300">
        <f>SUM(J14:J16)</f>
        <v>1E-4</v>
      </c>
    </row>
    <row r="30" spans="1:12" s="243" customFormat="1" ht="9.9499999999999993" customHeight="1">
      <c r="A30" s="338"/>
      <c r="I30" s="182"/>
      <c r="J30" s="182"/>
    </row>
    <row r="31" spans="1:12">
      <c r="B31" s="111" t="s">
        <v>1458</v>
      </c>
      <c r="C31" s="1197" t="str">
        <f>CHOOSE(jezyk,n!A505,n!B505,n!C505,n!D505)</f>
        <v>Przepływy środków pieniężnych z działalności inwestycyjnej</v>
      </c>
      <c r="D31" s="1082"/>
      <c r="E31" s="1082"/>
      <c r="F31" s="1082"/>
      <c r="G31" s="1082"/>
      <c r="I31" s="38"/>
      <c r="J31" s="38"/>
    </row>
    <row r="32" spans="1:12" ht="9.9499999999999993" customHeight="1">
      <c r="B32" s="111"/>
      <c r="C32" s="338"/>
      <c r="D32" s="317"/>
      <c r="E32" s="317"/>
      <c r="F32" s="317"/>
      <c r="G32" s="317"/>
      <c r="I32" s="38"/>
      <c r="J32" s="38"/>
    </row>
    <row r="33" spans="1:11" s="243" customFormat="1">
      <c r="A33" s="338"/>
      <c r="C33" s="243" t="s">
        <v>1447</v>
      </c>
      <c r="D33" s="243" t="str">
        <f>CHOOSE(jezyk,n!A506,n!B506,n!C506,n!D506)</f>
        <v>Wpływy</v>
      </c>
      <c r="I33" s="300">
        <f>SUM(I35:I37,I45)</f>
        <v>0</v>
      </c>
      <c r="J33" s="300">
        <f>SUM(J35:J37,J45)</f>
        <v>0</v>
      </c>
    </row>
    <row r="34" spans="1:11" s="243" customFormat="1" ht="9.9499999999999993" customHeight="1">
      <c r="A34" s="338"/>
      <c r="I34" s="182"/>
      <c r="J34" s="182"/>
    </row>
    <row r="35" spans="1:11" ht="12.75" customHeight="1">
      <c r="D35" s="72" t="s">
        <v>1448</v>
      </c>
      <c r="E35" s="746" t="str">
        <f>CHOOSE(jezyk,n!A507,n!B507,n!C507,n!D507)</f>
        <v>Zbycie wartości niematerialnych i prawnych oraz rzeczowych aktywów trwałych</v>
      </c>
      <c r="F35" s="746"/>
      <c r="G35" s="746"/>
      <c r="H35" s="746"/>
      <c r="I35" s="303">
        <v>0</v>
      </c>
      <c r="J35" s="309">
        <v>0</v>
      </c>
    </row>
    <row r="36" spans="1:11" ht="12.75" customHeight="1">
      <c r="D36" s="72" t="s">
        <v>1450</v>
      </c>
      <c r="E36" s="838" t="str">
        <f>CHOOSE(jezyk,n!A508,n!B508,n!C508,n!D508)</f>
        <v>Zbycie inwestycji w nieruchomości oraz wartości niematerialne i prawne</v>
      </c>
      <c r="F36" s="838"/>
      <c r="G36" s="838"/>
      <c r="I36" s="303">
        <v>0</v>
      </c>
      <c r="J36" s="309">
        <v>0</v>
      </c>
    </row>
    <row r="37" spans="1:11">
      <c r="D37" s="66" t="s">
        <v>782</v>
      </c>
      <c r="E37" s="838" t="str">
        <f>CHOOSE(jezyk,n!A509,n!B509,n!C509,n!D509)</f>
        <v>Z aktywów finansowych, w tym:</v>
      </c>
      <c r="F37" s="838"/>
      <c r="G37" s="838"/>
      <c r="I37" s="314">
        <f>SUM(I38:I39)</f>
        <v>0</v>
      </c>
      <c r="J37" s="314">
        <f>SUM(J38:J39)</f>
        <v>0</v>
      </c>
    </row>
    <row r="38" spans="1:11">
      <c r="E38" s="66" t="s">
        <v>1459</v>
      </c>
      <c r="F38" s="66" t="str">
        <f>CHOOSE(jezyk,n!A510,n!B510,n!C510,n!D510)</f>
        <v>w jednostkach powiązanych</v>
      </c>
      <c r="I38" s="303">
        <v>0</v>
      </c>
      <c r="J38" s="309">
        <v>0</v>
      </c>
    </row>
    <row r="39" spans="1:11">
      <c r="E39" s="66" t="s">
        <v>1460</v>
      </c>
      <c r="F39" s="66" t="str">
        <f>CHOOSE(jezyk,n!A511,n!B511,n!C511,n!D511)</f>
        <v>w pozostałych jednostkach</v>
      </c>
      <c r="I39" s="314">
        <f>SUM(I40:I44)</f>
        <v>0</v>
      </c>
      <c r="J39" s="314">
        <f>SUM(J40:J44)</f>
        <v>0</v>
      </c>
    </row>
    <row r="40" spans="1:11">
      <c r="F40" s="66" t="s">
        <v>533</v>
      </c>
      <c r="G40" s="66" t="str">
        <f>CHOOSE(jezyk,n!A512,n!B512,n!C512,n!D512)</f>
        <v>zbycie aktywów finansowych</v>
      </c>
      <c r="I40" s="303">
        <v>0</v>
      </c>
      <c r="J40" s="309">
        <v>0</v>
      </c>
    </row>
    <row r="41" spans="1:11">
      <c r="F41" s="66" t="s">
        <v>533</v>
      </c>
      <c r="G41" s="66" t="str">
        <f>CHOOSE(jezyk,n!A513,n!B513,n!C513,n!D513)</f>
        <v>dywidendy i udziały w zyskach</v>
      </c>
      <c r="I41" s="303">
        <v>0</v>
      </c>
      <c r="J41" s="309">
        <v>0</v>
      </c>
      <c r="K41" s="38"/>
    </row>
    <row r="42" spans="1:11">
      <c r="F42" s="72" t="s">
        <v>533</v>
      </c>
      <c r="G42" s="66" t="str">
        <f>CHOOSE(jezyk,n!A514,n!B514,n!C514,n!D514)</f>
        <v>spłata udzielonych pożyczek długoterminowych</v>
      </c>
      <c r="I42" s="303">
        <v>0</v>
      </c>
      <c r="J42" s="309">
        <v>0</v>
      </c>
    </row>
    <row r="43" spans="1:11">
      <c r="F43" s="66" t="s">
        <v>533</v>
      </c>
      <c r="G43" s="66" t="str">
        <f>CHOOSE(jezyk,n!A515,n!B515,n!C515,n!D515)</f>
        <v>odsetki</v>
      </c>
      <c r="I43" s="303">
        <v>0</v>
      </c>
      <c r="J43" s="309">
        <v>0</v>
      </c>
    </row>
    <row r="44" spans="1:11">
      <c r="F44" s="66" t="s">
        <v>533</v>
      </c>
      <c r="G44" s="66" t="str">
        <f>CHOOSE(jezyk,n!A516,n!B516,n!C516,n!D516)</f>
        <v>inne wpływy z aktywów finansowych</v>
      </c>
      <c r="I44" s="303">
        <v>0</v>
      </c>
      <c r="J44" s="309">
        <v>0</v>
      </c>
    </row>
    <row r="45" spans="1:11">
      <c r="D45" s="66" t="s">
        <v>1452</v>
      </c>
      <c r="E45" s="66" t="str">
        <f>CHOOSE(jezyk,n!A517,n!B517,n!C517,n!D517)</f>
        <v>Inne wpływy inwestycyjne</v>
      </c>
      <c r="I45" s="303">
        <v>0</v>
      </c>
      <c r="J45" s="309">
        <v>0</v>
      </c>
    </row>
    <row r="46" spans="1:11" ht="9.9499999999999993" customHeight="1">
      <c r="I46" s="38"/>
      <c r="J46" s="38"/>
    </row>
    <row r="47" spans="1:11" s="243" customFormat="1">
      <c r="A47" s="338"/>
      <c r="C47" s="243" t="s">
        <v>1449</v>
      </c>
      <c r="D47" s="243" t="str">
        <f>CHOOSE(jezyk,n!A518,n!B518,n!C518,n!D518)</f>
        <v>Wydatki</v>
      </c>
      <c r="I47" s="300">
        <f>SUM(I49:I51,I56)</f>
        <v>0</v>
      </c>
      <c r="J47" s="300">
        <f>SUM(J49:J51,J56)</f>
        <v>0</v>
      </c>
    </row>
    <row r="48" spans="1:11" s="243" customFormat="1" ht="9.9499999999999993" customHeight="1">
      <c r="A48" s="338"/>
      <c r="I48" s="182"/>
      <c r="J48" s="182"/>
    </row>
    <row r="49" spans="1:10" ht="12.75" customHeight="1">
      <c r="D49" s="72" t="s">
        <v>1448</v>
      </c>
      <c r="E49" s="746" t="str">
        <f>CHOOSE(jezyk,n!A519,n!B519,n!C519,n!D519)</f>
        <v>Nabycie wartości niematerialnych i prawnych oraz rzeczowych aktywów trwałych</v>
      </c>
      <c r="F49" s="746"/>
      <c r="G49" s="746"/>
      <c r="H49" s="746"/>
      <c r="I49" s="303">
        <v>0</v>
      </c>
      <c r="J49" s="309">
        <v>0</v>
      </c>
    </row>
    <row r="50" spans="1:10" ht="12.75" customHeight="1">
      <c r="D50" s="72" t="s">
        <v>1450</v>
      </c>
      <c r="E50" s="838" t="str">
        <f>CHOOSE(jezyk,n!A520,n!B520,n!C520,n!D520)</f>
        <v>Inwestycje w nieruchomości oraz wartości niematerialne i prawne</v>
      </c>
      <c r="F50" s="838"/>
      <c r="G50" s="838"/>
      <c r="I50" s="303">
        <v>0</v>
      </c>
      <c r="J50" s="309">
        <v>0</v>
      </c>
    </row>
    <row r="51" spans="1:10">
      <c r="D51" s="66" t="s">
        <v>782</v>
      </c>
      <c r="E51" s="838" t="str">
        <f>CHOOSE(jezyk,n!A521,n!B521,n!C521,n!D521)</f>
        <v>Na aktywa finansowe, w tym:</v>
      </c>
      <c r="F51" s="838"/>
      <c r="G51" s="838"/>
      <c r="I51" s="314">
        <f>SUM(I52:I53)</f>
        <v>0</v>
      </c>
      <c r="J51" s="314">
        <f>SUM(J52:J53)</f>
        <v>0</v>
      </c>
    </row>
    <row r="52" spans="1:10">
      <c r="E52" s="66" t="s">
        <v>1459</v>
      </c>
      <c r="F52" s="66" t="str">
        <f>CHOOSE(jezyk,n!A510,n!B510,n!C510,n!D510)</f>
        <v>w jednostkach powiązanych</v>
      </c>
      <c r="I52" s="303">
        <v>0</v>
      </c>
      <c r="J52" s="309">
        <v>0</v>
      </c>
    </row>
    <row r="53" spans="1:10">
      <c r="E53" s="66" t="s">
        <v>1460</v>
      </c>
      <c r="F53" s="66" t="str">
        <f>CHOOSE(jezyk,n!A511,n!B511,n!C511,n!D511)</f>
        <v>w pozostałych jednostkach</v>
      </c>
      <c r="I53" s="314">
        <f>SUM(I54:I55)</f>
        <v>0</v>
      </c>
      <c r="J53" s="314">
        <f>SUM(J54:J55)</f>
        <v>0</v>
      </c>
    </row>
    <row r="54" spans="1:10">
      <c r="F54" s="66" t="s">
        <v>533</v>
      </c>
      <c r="G54" s="66" t="str">
        <f>CHOOSE(jezyk,n!A522,n!B522,n!C522,n!D522)</f>
        <v>nabycie aktywów finansowych</v>
      </c>
      <c r="I54" s="303">
        <v>0</v>
      </c>
      <c r="J54" s="309">
        <v>0</v>
      </c>
    </row>
    <row r="55" spans="1:10">
      <c r="F55" s="66" t="s">
        <v>533</v>
      </c>
      <c r="G55" s="66" t="str">
        <f>CHOOSE(jezyk,n!A523,n!B523,n!C523,n!D523)</f>
        <v>udzielone pożyczki długoterminowe</v>
      </c>
      <c r="I55" s="303">
        <v>0</v>
      </c>
      <c r="J55" s="309">
        <v>0</v>
      </c>
    </row>
    <row r="56" spans="1:10">
      <c r="D56" s="66" t="s">
        <v>1452</v>
      </c>
      <c r="E56" s="66" t="str">
        <f>CHOOSE(jezyk,n!A524,n!B524,n!C524,n!D524)</f>
        <v>Inne wydatki inwestycyjne</v>
      </c>
      <c r="I56" s="303">
        <v>0</v>
      </c>
      <c r="J56" s="309">
        <v>0</v>
      </c>
    </row>
    <row r="57" spans="1:10" ht="9.9499999999999993" customHeight="1">
      <c r="I57" s="38"/>
      <c r="J57" s="38"/>
    </row>
    <row r="58" spans="1:10" s="243" customFormat="1" ht="12" customHeight="1">
      <c r="A58" s="338"/>
      <c r="C58" s="243" t="s">
        <v>1451</v>
      </c>
      <c r="D58" s="243" t="str">
        <f>CHOOSE(jezyk,n!A525,n!B525,n!C525,n!D525)</f>
        <v>Przepływy pieniężne netto z działalności inwestycyjnej</v>
      </c>
      <c r="I58" s="300">
        <f>I33-I47</f>
        <v>0</v>
      </c>
      <c r="J58" s="300">
        <f>J33-J47</f>
        <v>0</v>
      </c>
    </row>
    <row r="59" spans="1:10" s="243" customFormat="1" ht="9.9499999999999993" customHeight="1">
      <c r="A59" s="338"/>
      <c r="I59" s="182"/>
      <c r="J59" s="182"/>
    </row>
    <row r="60" spans="1:10">
      <c r="B60" s="111" t="s">
        <v>1191</v>
      </c>
      <c r="C60" s="1197" t="str">
        <f>CHOOSE(jezyk,n!A526,n!B526,n!C526,n!D526)</f>
        <v>Przepływy środków pieniężnych z działalności finansowej</v>
      </c>
      <c r="D60" s="1082"/>
      <c r="E60" s="1082"/>
      <c r="F60" s="1082"/>
      <c r="G60" s="1082"/>
      <c r="I60" s="38"/>
      <c r="J60" s="38"/>
    </row>
    <row r="61" spans="1:10" ht="9.9499999999999993" customHeight="1">
      <c r="B61" s="111"/>
      <c r="C61" s="338"/>
      <c r="D61" s="317"/>
      <c r="E61" s="317"/>
      <c r="F61" s="317"/>
      <c r="G61" s="317"/>
      <c r="I61" s="38"/>
      <c r="J61" s="38"/>
    </row>
    <row r="62" spans="1:10" s="243" customFormat="1">
      <c r="A62" s="338"/>
      <c r="C62" s="243" t="s">
        <v>1447</v>
      </c>
      <c r="D62" s="243" t="str">
        <f>CHOOSE(jezyk,n!A506,n!B506,n!C506,n!D506)</f>
        <v>Wpływy</v>
      </c>
      <c r="I62" s="300">
        <f>SUM(I64:I67)</f>
        <v>0</v>
      </c>
      <c r="J62" s="300">
        <f>SUM(J64:J67)</f>
        <v>0</v>
      </c>
    </row>
    <row r="63" spans="1:10" s="243" customFormat="1" ht="9.9499999999999993" customHeight="1">
      <c r="A63" s="338"/>
      <c r="I63" s="182"/>
      <c r="J63" s="182"/>
    </row>
    <row r="64" spans="1:10" ht="27" customHeight="1">
      <c r="A64" s="66"/>
      <c r="D64" s="72" t="s">
        <v>1448</v>
      </c>
      <c r="E64" s="746" t="str">
        <f>CHOOSE(jezyk,n!A527,n!B527,n!C527,n!D527)</f>
        <v>Wpływy netto z wydania udziałów (emisji akcji) i innych instrumentów kapitałowych oraz dopłat do kapitału</v>
      </c>
      <c r="F64" s="746"/>
      <c r="G64" s="746"/>
      <c r="H64" s="746"/>
      <c r="I64" s="119">
        <v>0</v>
      </c>
      <c r="J64" s="115">
        <v>0</v>
      </c>
    </row>
    <row r="65" spans="1:10">
      <c r="D65" s="66" t="s">
        <v>1450</v>
      </c>
      <c r="E65" s="838" t="str">
        <f>CHOOSE(jezyk,n!A528,n!B528,n!C528,n!D528)</f>
        <v>Kredyty i pożyczki</v>
      </c>
      <c r="F65" s="838"/>
      <c r="G65" s="838"/>
      <c r="I65" s="119">
        <v>0</v>
      </c>
      <c r="J65" s="309">
        <v>0</v>
      </c>
    </row>
    <row r="66" spans="1:10">
      <c r="D66" s="66" t="s">
        <v>782</v>
      </c>
      <c r="E66" s="838" t="str">
        <f>CHOOSE(jezyk,n!A529,n!B529,n!C529,n!D529)</f>
        <v>Emisja dłużnych papierów wartościowych</v>
      </c>
      <c r="F66" s="838"/>
      <c r="G66" s="838"/>
      <c r="I66" s="119">
        <v>0</v>
      </c>
      <c r="J66" s="309">
        <v>0</v>
      </c>
    </row>
    <row r="67" spans="1:10">
      <c r="D67" s="66" t="s">
        <v>1452</v>
      </c>
      <c r="E67" s="838" t="str">
        <f>CHOOSE(jezyk,n!A530,n!B530,n!C530,n!D530)</f>
        <v>Inne wpływy finansowe</v>
      </c>
      <c r="F67" s="838"/>
      <c r="G67" s="838"/>
      <c r="I67" s="119">
        <v>0</v>
      </c>
      <c r="J67" s="309">
        <v>0</v>
      </c>
    </row>
    <row r="68" spans="1:10" ht="9.9499999999999993" customHeight="1">
      <c r="I68" s="38"/>
      <c r="J68" s="38"/>
    </row>
    <row r="69" spans="1:10" s="243" customFormat="1">
      <c r="A69" s="338"/>
      <c r="C69" s="243" t="s">
        <v>1449</v>
      </c>
      <c r="D69" s="243" t="str">
        <f>CHOOSE(jezyk,n!A518,n!B518,n!C518,n!D518)</f>
        <v>Wydatki</v>
      </c>
      <c r="I69" s="300">
        <f>SUM(I71:I79)</f>
        <v>0</v>
      </c>
      <c r="J69" s="300">
        <f>SUM(J71:J79)</f>
        <v>0</v>
      </c>
    </row>
    <row r="70" spans="1:10" s="243" customFormat="1" ht="9.9499999999999993" customHeight="1">
      <c r="A70" s="338"/>
      <c r="I70" s="182"/>
      <c r="J70" s="182"/>
    </row>
    <row r="71" spans="1:10">
      <c r="D71" s="66" t="s">
        <v>1448</v>
      </c>
      <c r="E71" s="66" t="str">
        <f>CHOOSE(jezyk,n!A531,n!B531,n!C531,n!D531)</f>
        <v>Nabycie udziałów (akcji) własnych</v>
      </c>
      <c r="I71" s="303">
        <v>0</v>
      </c>
      <c r="J71" s="309">
        <v>0</v>
      </c>
    </row>
    <row r="72" spans="1:10">
      <c r="D72" s="66" t="s">
        <v>1450</v>
      </c>
      <c r="E72" s="66" t="str">
        <f>CHOOSE(jezyk,n!A532,n!B532,n!C532,n!D532)</f>
        <v>Dywidendy i inne wypłaty na rzecz właścicieli</v>
      </c>
      <c r="I72" s="303">
        <v>0</v>
      </c>
      <c r="J72" s="309">
        <v>0</v>
      </c>
    </row>
    <row r="73" spans="1:10" ht="12.75" customHeight="1">
      <c r="D73" s="66" t="s">
        <v>782</v>
      </c>
      <c r="E73" s="66" t="str">
        <f>CHOOSE(jezyk,n!A533,n!B533,n!C533,n!D533)</f>
        <v>Inne, niż wypłaty na rzecz właścicieli, wydatki z tytułu podziału zysku</v>
      </c>
      <c r="F73" s="406"/>
      <c r="G73" s="406"/>
      <c r="I73" s="303">
        <v>0</v>
      </c>
      <c r="J73" s="309">
        <v>0</v>
      </c>
    </row>
    <row r="74" spans="1:10">
      <c r="D74" s="66" t="s">
        <v>1452</v>
      </c>
      <c r="E74" s="66" t="str">
        <f>CHOOSE(jezyk,n!A534,n!B534,n!C534,n!D534)</f>
        <v>Spłaty kredytów i pożyczek</v>
      </c>
      <c r="I74" s="303">
        <v>0</v>
      </c>
      <c r="J74" s="309">
        <v>0</v>
      </c>
    </row>
    <row r="75" spans="1:10">
      <c r="D75" s="66" t="s">
        <v>1453</v>
      </c>
      <c r="E75" s="66" t="str">
        <f>CHOOSE(jezyk,n!A535,n!B535,n!C535,n!D535)</f>
        <v>Wykup dłużnych papierów wartościowych</v>
      </c>
      <c r="I75" s="303">
        <v>0</v>
      </c>
      <c r="J75" s="309">
        <v>0</v>
      </c>
    </row>
    <row r="76" spans="1:10">
      <c r="D76" s="66" t="s">
        <v>786</v>
      </c>
      <c r="E76" s="66" t="str">
        <f>CHOOSE(jezyk,n!A536,n!B536,n!C536,n!D536)</f>
        <v>Z tytułu innych zobowiązań finansowych</v>
      </c>
      <c r="I76" s="303">
        <v>0</v>
      </c>
      <c r="J76" s="309">
        <v>0</v>
      </c>
    </row>
    <row r="77" spans="1:10" ht="12.75" customHeight="1">
      <c r="D77" s="66" t="s">
        <v>93</v>
      </c>
      <c r="E77" s="66" t="str">
        <f>CHOOSE(jezyk,n!A537,n!B537,n!C537,n!D537)</f>
        <v>Płatności zobowiązań z tytułu umów leasingu finansowego</v>
      </c>
      <c r="F77" s="406"/>
      <c r="G77" s="406"/>
      <c r="I77" s="303">
        <v>0</v>
      </c>
      <c r="J77" s="309">
        <v>0</v>
      </c>
    </row>
    <row r="78" spans="1:10">
      <c r="D78" s="66" t="s">
        <v>1507</v>
      </c>
      <c r="E78" s="66" t="str">
        <f>CHOOSE(jezyk,n!A538,n!B538,n!C538,n!D538)</f>
        <v>Odsetki</v>
      </c>
      <c r="I78" s="303">
        <v>0</v>
      </c>
      <c r="J78" s="309">
        <v>0</v>
      </c>
    </row>
    <row r="79" spans="1:10">
      <c r="D79" s="66" t="s">
        <v>1508</v>
      </c>
      <c r="E79" s="66" t="str">
        <f>CHOOSE(jezyk,n!A539,n!B539,n!C539,n!D539)</f>
        <v>Inne wydatki finansowe</v>
      </c>
      <c r="I79" s="303">
        <v>0</v>
      </c>
      <c r="J79" s="309">
        <v>0</v>
      </c>
    </row>
    <row r="80" spans="1:10" ht="9.9499999999999993" customHeight="1">
      <c r="I80" s="38"/>
      <c r="J80" s="38"/>
    </row>
    <row r="81" spans="1:13" s="243" customFormat="1">
      <c r="A81" s="338"/>
      <c r="C81" s="243" t="s">
        <v>1451</v>
      </c>
      <c r="D81" s="243" t="str">
        <f>CHOOSE(jezyk,n!A540,n!B540,n!C540,n!D540)</f>
        <v>Przepływy pieniężne netto z działalności finansowej</v>
      </c>
      <c r="I81" s="300">
        <f>I62-I69</f>
        <v>0</v>
      </c>
      <c r="J81" s="300">
        <f>J62-J69</f>
        <v>0</v>
      </c>
    </row>
    <row r="82" spans="1:13" s="243" customFormat="1" ht="9.9499999999999993" customHeight="1">
      <c r="A82" s="338"/>
      <c r="I82" s="182"/>
      <c r="J82" s="182"/>
      <c r="K82" s="339" t="str">
        <f>dzb</f>
        <v>31.12.2024</v>
      </c>
    </row>
    <row r="83" spans="1:13">
      <c r="B83" s="243" t="s">
        <v>1192</v>
      </c>
      <c r="C83" s="243" t="str">
        <f>CHOOSE(jezyk,n!A541,n!B541,n!C541,n!D541)</f>
        <v>Przepływy pieniężne netto razem</v>
      </c>
      <c r="I83" s="314">
        <f>SUM(I29,I58,I81)</f>
        <v>471604.56000000081</v>
      </c>
      <c r="J83" s="314">
        <f>SUM(J29,J58,J81)</f>
        <v>1E-4</v>
      </c>
      <c r="K83" s="181">
        <f>I83-(Bilans!J126-Bilans!K126)</f>
        <v>198439.40000000084</v>
      </c>
      <c r="L83" s="108"/>
      <c r="M83" s="38"/>
    </row>
    <row r="84" spans="1:13" ht="9.9499999999999993" customHeight="1">
      <c r="B84" s="243"/>
      <c r="C84" s="243"/>
      <c r="I84" s="38"/>
      <c r="J84" s="38"/>
      <c r="K84" s="38"/>
      <c r="L84" s="108"/>
    </row>
    <row r="85" spans="1:13">
      <c r="B85" s="243" t="s">
        <v>1193</v>
      </c>
      <c r="C85" s="243" t="str">
        <f>CHOOSE(jezyk,n!A542,n!B542,n!C542,n!D542)</f>
        <v>Bilansowa zmiana stanu środków pieniężnych, w tym:</v>
      </c>
      <c r="I85" s="314">
        <f>Bilans!J127-Bilans!K127</f>
        <v>0</v>
      </c>
      <c r="J85" s="303">
        <v>0</v>
      </c>
      <c r="K85" s="148">
        <f>I85-(Bilans!J126-Bilans!K126)</f>
        <v>-273165.15999999997</v>
      </c>
    </row>
    <row r="86" spans="1:13" ht="9.9499999999999993" customHeight="1">
      <c r="B86" s="243"/>
      <c r="C86" s="243"/>
      <c r="I86" s="38"/>
      <c r="J86" s="38"/>
    </row>
    <row r="87" spans="1:13">
      <c r="C87" s="72" t="s">
        <v>533</v>
      </c>
      <c r="D87" s="1082" t="str">
        <f>CHOOSE(jezyk,n!A543,n!B543,n!C543,n!D543)</f>
        <v>zmiana stanu środków pieniężnych z tytułu różnic kursowych</v>
      </c>
      <c r="E87" s="1082"/>
      <c r="F87" s="1082"/>
      <c r="G87" s="1082"/>
      <c r="I87" s="303">
        <v>0</v>
      </c>
      <c r="J87" s="309">
        <v>0</v>
      </c>
      <c r="K87" s="38"/>
    </row>
    <row r="88" spans="1:13" ht="9.9499999999999993" customHeight="1">
      <c r="C88" s="72"/>
      <c r="D88" s="317"/>
      <c r="E88" s="317"/>
      <c r="F88" s="317"/>
      <c r="G88" s="317"/>
      <c r="I88" s="38"/>
      <c r="J88" s="38"/>
    </row>
    <row r="89" spans="1:13">
      <c r="B89" s="243" t="s">
        <v>1194</v>
      </c>
      <c r="C89" s="243" t="str">
        <f>CHOOSE(jezyk,n!A544,n!B544,n!C544,n!D544)</f>
        <v>Środki pieniężne na początek okresu</v>
      </c>
      <c r="I89" s="314">
        <f>J92</f>
        <v>0</v>
      </c>
      <c r="J89" s="309">
        <v>0</v>
      </c>
    </row>
    <row r="90" spans="1:13" ht="9.9499999999999993" customHeight="1">
      <c r="B90" s="320"/>
      <c r="C90" s="320"/>
      <c r="D90" s="154"/>
      <c r="E90" s="154"/>
      <c r="F90" s="154"/>
      <c r="G90" s="154"/>
      <c r="H90" s="154"/>
      <c r="I90" s="250"/>
      <c r="J90" s="250"/>
    </row>
    <row r="91" spans="1:13" ht="9.9499999999999993" customHeight="1">
      <c r="B91" s="243"/>
      <c r="C91" s="243"/>
      <c r="I91" s="38"/>
      <c r="J91" s="38"/>
    </row>
    <row r="92" spans="1:13">
      <c r="B92" s="243" t="s">
        <v>1195</v>
      </c>
      <c r="C92" s="243" t="str">
        <f>CHOOSE(jezyk,n!A545,n!B545,n!C545,n!D545)</f>
        <v>Środki pieniężne na koniec okresu, w tym:</v>
      </c>
      <c r="I92" s="314">
        <f>I89+I83</f>
        <v>471604.56000000081</v>
      </c>
      <c r="J92" s="309">
        <v>0</v>
      </c>
    </row>
    <row r="93" spans="1:13">
      <c r="C93" s="66" t="s">
        <v>533</v>
      </c>
      <c r="D93" s="66" t="str">
        <f>CHOOSE(jezyk,n!A546,n!B546,n!C546,n!D546)</f>
        <v>o ograniczonej możliwości dysponowania</v>
      </c>
      <c r="I93" s="303">
        <v>0</v>
      </c>
      <c r="J93" s="309">
        <v>0</v>
      </c>
    </row>
    <row r="94" spans="1:13" ht="13.5" thickBot="1">
      <c r="B94" s="322"/>
      <c r="C94" s="322"/>
      <c r="D94" s="322"/>
      <c r="E94" s="322"/>
      <c r="F94" s="322"/>
      <c r="G94" s="322"/>
      <c r="H94" s="322"/>
      <c r="I94" s="322"/>
      <c r="J94" s="322"/>
    </row>
    <row r="96" spans="1:13">
      <c r="B96" s="66" t="str">
        <f>siedziba&amp;", "&amp;GA!D53</f>
        <v>Warszawa, 28.02.2025</v>
      </c>
      <c r="F96" s="38"/>
      <c r="G96" s="38"/>
    </row>
    <row r="97" spans="7:9">
      <c r="G97" s="253" t="str">
        <f>CHOOSE(jezyk,n!A412,n!B412,n!C412,n!D412)</f>
        <v>Osoba sporządzająca:</v>
      </c>
      <c r="I97" s="331" t="str">
        <f>CHOOSE(jezyk,n!A413,n!B413,n!C413,n!D413)</f>
        <v>Zarząd:</v>
      </c>
    </row>
  </sheetData>
  <sheetProtection formatCells="0" formatColumns="0" formatRows="0" insertRows="0" insertHyperlinks="0" sort="0" autoFilter="0" pivotTables="0"/>
  <mergeCells count="29">
    <mergeCell ref="E25:G25"/>
    <mergeCell ref="E26:G26"/>
    <mergeCell ref="E27:G27"/>
    <mergeCell ref="B1:J1"/>
    <mergeCell ref="E18:G18"/>
    <mergeCell ref="E19:G19"/>
    <mergeCell ref="E20:G20"/>
    <mergeCell ref="E21:G21"/>
    <mergeCell ref="B3:J3"/>
    <mergeCell ref="B4:J4"/>
    <mergeCell ref="B5:J5"/>
    <mergeCell ref="B6:J6"/>
    <mergeCell ref="C12:G12"/>
    <mergeCell ref="C31:G31"/>
    <mergeCell ref="E22:G22"/>
    <mergeCell ref="E35:H35"/>
    <mergeCell ref="D87:G87"/>
    <mergeCell ref="E65:G65"/>
    <mergeCell ref="E66:G66"/>
    <mergeCell ref="E67:G67"/>
    <mergeCell ref="E36:G36"/>
    <mergeCell ref="E50:G50"/>
    <mergeCell ref="C60:G60"/>
    <mergeCell ref="E37:G37"/>
    <mergeCell ref="E51:G51"/>
    <mergeCell ref="E64:H64"/>
    <mergeCell ref="E49:H49"/>
    <mergeCell ref="E23:G23"/>
    <mergeCell ref="E24:G24"/>
  </mergeCells>
  <phoneticPr fontId="0" type="noConversion"/>
  <hyperlinks>
    <hyperlink ref="B1:J1" location="'spis treści'!A1" display="SPIS TREŚCI" xr:uid="{00000000-0004-0000-1E00-000000000000}"/>
  </hyperlinks>
  <printOptions horizontalCentered="1"/>
  <pageMargins left="0.78740157480314965" right="0.78740157480314965" top="0.35433070866141736" bottom="0.98425196850393704" header="0.27559055118110237" footer="0.51181102362204722"/>
  <pageSetup paperSize="9" scale="65"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31"/>
  <dimension ref="B1:AB244"/>
  <sheetViews>
    <sheetView showGridLines="0" view="pageBreakPreview"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8" width="3.7109375" style="66" customWidth="1"/>
    <col min="9" max="9" width="10.7109375" style="66" customWidth="1"/>
    <col min="10"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7109375" style="66" customWidth="1"/>
    <col min="23" max="23" width="9.140625" style="66"/>
    <col min="24" max="24" width="11.7109375" style="66" customWidth="1"/>
    <col min="25" max="16384" width="9.140625" style="66"/>
  </cols>
  <sheetData>
    <row r="1" spans="2:28">
      <c r="B1" s="773" t="s">
        <v>1257</v>
      </c>
      <c r="C1" s="773"/>
      <c r="D1" s="773"/>
      <c r="E1" s="773"/>
      <c r="F1" s="773"/>
      <c r="G1" s="773"/>
      <c r="H1" s="773"/>
      <c r="I1" s="773"/>
      <c r="J1" s="773"/>
      <c r="K1" s="773"/>
      <c r="L1" s="773"/>
      <c r="M1" s="773"/>
      <c r="N1" s="773"/>
      <c r="O1" s="773"/>
      <c r="P1" s="773"/>
      <c r="Q1" s="773"/>
      <c r="R1" s="773"/>
      <c r="S1" s="773"/>
      <c r="T1" s="773"/>
      <c r="U1" s="773"/>
      <c r="V1" s="773"/>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06" t="str">
        <f>CHOOSE(jezyk,n!A1475,n!B1475,n!C1475,n!D1471)</f>
        <v>SPRAWOZDANIE ZARZĄDU Z DZIAŁALNOŚCI JEDNOSTKI</v>
      </c>
      <c r="I21" s="1206"/>
      <c r="J21" s="1206"/>
      <c r="K21" s="1206"/>
      <c r="L21" s="1206"/>
      <c r="M21" s="1206"/>
      <c r="N21" s="1206"/>
      <c r="O21" s="1206"/>
      <c r="P21" s="1206"/>
      <c r="Q21" s="1206"/>
      <c r="R21" s="1206"/>
      <c r="S21" s="1206"/>
      <c r="T21" s="574"/>
      <c r="U21" s="574"/>
      <c r="V21" s="575"/>
      <c r="Y21" s="577"/>
      <c r="Z21" s="577"/>
      <c r="AA21" s="577"/>
      <c r="AB21" s="577"/>
    </row>
    <row r="22" spans="2:28" s="576" customFormat="1">
      <c r="B22" s="573"/>
      <c r="C22" s="574"/>
      <c r="D22" s="574"/>
      <c r="E22" s="574"/>
      <c r="F22" s="574"/>
      <c r="G22" s="574"/>
      <c r="H22" s="1207" t="str">
        <f>GA!D16</f>
        <v>Rhenus Digital Workforce Sp. z o.o.</v>
      </c>
      <c r="I22" s="1206"/>
      <c r="J22" s="1206"/>
      <c r="K22" s="1206"/>
      <c r="L22" s="1206"/>
      <c r="M22" s="1206"/>
      <c r="N22" s="1206"/>
      <c r="O22" s="1206"/>
      <c r="P22" s="1206"/>
      <c r="Q22" s="1206"/>
      <c r="R22" s="1206"/>
      <c r="S22" s="1206"/>
      <c r="T22" s="574"/>
      <c r="U22" s="574"/>
      <c r="V22" s="575"/>
      <c r="W22" s="578"/>
      <c r="Y22" s="577"/>
      <c r="Z22" s="577"/>
      <c r="AA22" s="577"/>
      <c r="AB22" s="577"/>
    </row>
    <row r="23" spans="2:28" s="576" customFormat="1">
      <c r="B23" s="573"/>
      <c r="C23" s="574"/>
      <c r="D23" s="574"/>
      <c r="E23" s="574"/>
      <c r="F23" s="574"/>
      <c r="G23" s="574"/>
      <c r="H23" s="1206" t="str">
        <f>CHOOSE(jezyk,n!A1476,n!B1476,n!C1476,n!D1472)</f>
        <v>ZA OKRES OD 19.10.2023 DO 31.12.2024</v>
      </c>
      <c r="I23" s="1206"/>
      <c r="J23" s="1206"/>
      <c r="K23" s="1206"/>
      <c r="L23" s="1206"/>
      <c r="M23" s="1206"/>
      <c r="N23" s="1206"/>
      <c r="O23" s="1206"/>
      <c r="P23" s="1206"/>
      <c r="Q23" s="1206"/>
      <c r="R23" s="1206"/>
      <c r="S23" s="1206"/>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5.5"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4" t="str">
        <f>CHOOSE(jezyk,n!A1477,n!B1477,n!C1477,n!D1473)</f>
        <v>Spis treści</v>
      </c>
      <c r="C47" s="1204"/>
      <c r="D47" s="1204"/>
      <c r="E47" s="1204"/>
      <c r="F47" s="574"/>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28"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28"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28"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28"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28"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28" s="583" customFormat="1">
      <c r="B54" s="573"/>
      <c r="C54" s="582" t="s">
        <v>1448</v>
      </c>
      <c r="D54" s="1205" t="str">
        <f>CHOOSE(jezyk,n!A1480,n!B1480,n!C1480,n!D1476)</f>
        <v>WIZYTÓWKA SPÓŁKI</v>
      </c>
      <c r="E54" s="1205"/>
      <c r="F54" s="1205"/>
      <c r="G54" s="1205"/>
      <c r="H54" s="1205"/>
      <c r="I54" s="1205"/>
      <c r="J54" s="1205"/>
      <c r="K54" s="1205"/>
      <c r="L54" s="1205"/>
      <c r="M54" s="1205"/>
      <c r="N54" s="574"/>
      <c r="O54" s="574"/>
      <c r="P54" s="574"/>
      <c r="Q54" s="574"/>
      <c r="R54" s="574"/>
      <c r="S54" s="574"/>
      <c r="T54" s="574"/>
      <c r="U54" s="582">
        <f>W73</f>
        <v>3</v>
      </c>
      <c r="V54" s="574"/>
    </row>
    <row r="55" spans="2:28" s="580" customFormat="1" ht="18.75" customHeight="1">
      <c r="B55" s="573"/>
      <c r="C55" s="574"/>
      <c r="D55" s="574"/>
      <c r="E55" s="574"/>
      <c r="F55" s="574"/>
      <c r="G55" s="574"/>
      <c r="H55" s="574"/>
      <c r="I55" s="574"/>
      <c r="J55" s="574"/>
      <c r="K55" s="574"/>
      <c r="L55" s="574"/>
      <c r="M55" s="574"/>
      <c r="N55" s="574"/>
      <c r="O55" s="574"/>
      <c r="P55" s="574"/>
      <c r="Q55" s="574"/>
      <c r="R55" s="574"/>
      <c r="S55" s="574"/>
      <c r="T55" s="574"/>
      <c r="U55" s="582"/>
      <c r="V55" s="574"/>
    </row>
    <row r="56" spans="2:28" s="580" customFormat="1">
      <c r="B56" s="573"/>
      <c r="C56" s="582" t="s">
        <v>1450</v>
      </c>
      <c r="D56" s="1200" t="str">
        <f>CHOOSE(jezyk,n!A1481,n!B1481,n!C1481,n!D1477)</f>
        <v>SPRZEDAŻ</v>
      </c>
      <c r="E56" s="1200"/>
      <c r="F56" s="1200"/>
      <c r="G56" s="1200"/>
      <c r="H56" s="1200"/>
      <c r="I56" s="584"/>
      <c r="J56" s="584"/>
      <c r="K56" s="584"/>
      <c r="L56" s="584"/>
      <c r="M56" s="584"/>
      <c r="N56" s="584"/>
      <c r="O56" s="574"/>
      <c r="P56" s="574"/>
      <c r="Q56" s="574"/>
      <c r="R56" s="574"/>
      <c r="S56" s="574"/>
      <c r="T56" s="574"/>
      <c r="U56" s="582">
        <f>W150</f>
        <v>5</v>
      </c>
      <c r="V56" s="574"/>
    </row>
    <row r="57" spans="2:28" s="576" customFormat="1" ht="18.75" customHeight="1">
      <c r="B57" s="573"/>
      <c r="C57" s="574"/>
      <c r="D57" s="584"/>
      <c r="E57" s="584"/>
      <c r="F57" s="584"/>
      <c r="G57" s="584"/>
      <c r="H57" s="584"/>
      <c r="I57" s="584"/>
      <c r="J57" s="584"/>
      <c r="K57" s="584"/>
      <c r="L57" s="584"/>
      <c r="M57" s="584"/>
      <c r="N57" s="584"/>
      <c r="O57" s="574"/>
      <c r="P57" s="574"/>
      <c r="Q57" s="574"/>
      <c r="R57" s="574"/>
      <c r="S57" s="574"/>
      <c r="T57" s="574"/>
      <c r="U57" s="582"/>
      <c r="V57" s="574"/>
      <c r="Y57" s="577"/>
      <c r="Z57" s="577"/>
      <c r="AA57" s="577"/>
      <c r="AB57" s="577"/>
    </row>
    <row r="58" spans="2:28" s="576" customFormat="1">
      <c r="B58" s="573"/>
      <c r="C58" s="582" t="s">
        <v>782</v>
      </c>
      <c r="D58" s="1200" t="str">
        <f>CHOOSE(jezyk,n!A1482,n!B1482,n!C1482,n!D1478)</f>
        <v>PERSONEL</v>
      </c>
      <c r="E58" s="1200"/>
      <c r="F58" s="1200"/>
      <c r="G58" s="1200"/>
      <c r="H58" s="1200"/>
      <c r="I58" s="1200"/>
      <c r="J58" s="1200"/>
      <c r="K58" s="1200"/>
      <c r="L58" s="1200"/>
      <c r="M58" s="1200"/>
      <c r="N58" s="1200"/>
      <c r="O58" s="574"/>
      <c r="P58" s="574"/>
      <c r="Q58" s="574"/>
      <c r="R58" s="574"/>
      <c r="S58" s="574"/>
      <c r="T58" s="574"/>
      <c r="U58" s="582">
        <f>W161</f>
        <v>5</v>
      </c>
      <c r="V58" s="574"/>
      <c r="Y58" s="577"/>
      <c r="Z58" s="577"/>
      <c r="AA58" s="577"/>
      <c r="AB58" s="577"/>
    </row>
    <row r="59" spans="2:28" s="576" customFormat="1" ht="18.75" customHeight="1">
      <c r="B59" s="573"/>
      <c r="C59" s="574"/>
      <c r="D59" s="584"/>
      <c r="E59" s="584"/>
      <c r="F59" s="584"/>
      <c r="G59" s="584"/>
      <c r="H59" s="584"/>
      <c r="I59" s="584"/>
      <c r="J59" s="584"/>
      <c r="K59" s="584"/>
      <c r="L59" s="584"/>
      <c r="M59" s="584"/>
      <c r="N59" s="584"/>
      <c r="O59" s="574"/>
      <c r="P59" s="574"/>
      <c r="Q59" s="574"/>
      <c r="R59" s="574"/>
      <c r="S59" s="574"/>
      <c r="T59" s="574"/>
      <c r="U59" s="582"/>
      <c r="V59" s="574"/>
      <c r="Y59" s="577"/>
      <c r="Z59" s="577"/>
      <c r="AA59" s="577"/>
      <c r="AB59" s="577"/>
    </row>
    <row r="60" spans="2:28" s="576" customFormat="1">
      <c r="B60" s="573"/>
      <c r="C60" s="582" t="s">
        <v>1452</v>
      </c>
      <c r="D60" s="1200" t="str">
        <f>CHOOSE(jezyk,n!A1483,n!B1483,n!C1483,n!D1479)</f>
        <v>ANALIZA FINANSOWA</v>
      </c>
      <c r="E60" s="1200"/>
      <c r="F60" s="1200"/>
      <c r="G60" s="1200"/>
      <c r="H60" s="1200"/>
      <c r="I60" s="1200"/>
      <c r="J60" s="1200"/>
      <c r="K60" s="1200"/>
      <c r="L60" s="1200"/>
      <c r="M60" s="1200"/>
      <c r="N60" s="1200"/>
      <c r="O60" s="574"/>
      <c r="P60" s="574"/>
      <c r="Q60" s="574"/>
      <c r="R60" s="574"/>
      <c r="S60" s="574"/>
      <c r="T60" s="574"/>
      <c r="U60" s="582">
        <f>W180</f>
        <v>5</v>
      </c>
      <c r="V60" s="574"/>
      <c r="Y60" s="577"/>
      <c r="Z60" s="577"/>
      <c r="AA60" s="577"/>
      <c r="AB60" s="577"/>
    </row>
    <row r="61" spans="2:28" s="576" customFormat="1" ht="18.75" customHeight="1">
      <c r="B61" s="573"/>
      <c r="C61" s="574"/>
      <c r="D61" s="584"/>
      <c r="E61" s="584"/>
      <c r="F61" s="584"/>
      <c r="G61" s="584"/>
      <c r="H61" s="584"/>
      <c r="I61" s="584"/>
      <c r="J61" s="584"/>
      <c r="K61" s="584"/>
      <c r="L61" s="584"/>
      <c r="M61" s="584"/>
      <c r="N61" s="584"/>
      <c r="O61" s="574"/>
      <c r="P61" s="574"/>
      <c r="Q61" s="574"/>
      <c r="R61" s="574"/>
      <c r="S61" s="574"/>
      <c r="T61" s="574"/>
      <c r="U61" s="582"/>
      <c r="V61" s="574"/>
      <c r="Y61" s="577"/>
      <c r="Z61" s="577"/>
      <c r="AA61" s="577"/>
      <c r="AB61" s="577"/>
    </row>
    <row r="62" spans="2:28" s="576" customFormat="1" ht="15" customHeight="1">
      <c r="B62" s="573"/>
      <c r="C62" s="582" t="s">
        <v>1453</v>
      </c>
      <c r="D62" s="1200" t="str">
        <f>CHOOSE(jezyk,n!A1484,n!B1484,n!C1484,n!D1480)</f>
        <v>PRZEWIDYWANY ROZWÓJ SPÓŁKI</v>
      </c>
      <c r="E62" s="1200"/>
      <c r="F62" s="1200"/>
      <c r="G62" s="1200"/>
      <c r="H62" s="1200"/>
      <c r="I62" s="1200"/>
      <c r="J62" s="1200"/>
      <c r="K62" s="1200"/>
      <c r="L62" s="1200"/>
      <c r="M62" s="1200"/>
      <c r="N62" s="1200"/>
      <c r="O62" s="1200"/>
      <c r="P62" s="1200"/>
      <c r="Q62" s="1200"/>
      <c r="R62" s="1200"/>
      <c r="S62" s="585"/>
      <c r="T62" s="585"/>
      <c r="U62" s="586">
        <f>W188</f>
        <v>5</v>
      </c>
      <c r="V62" s="587"/>
      <c r="Y62" s="577"/>
      <c r="Z62" s="577"/>
      <c r="AA62" s="577"/>
      <c r="AB62" s="577"/>
    </row>
    <row r="63" spans="2:28" s="576" customFormat="1" ht="15" customHeight="1">
      <c r="B63" s="573"/>
      <c r="C63" s="582"/>
      <c r="D63" s="588"/>
      <c r="E63" s="585"/>
      <c r="F63" s="585"/>
      <c r="G63" s="585"/>
      <c r="H63" s="585"/>
      <c r="I63" s="585"/>
      <c r="J63" s="585"/>
      <c r="K63" s="585"/>
      <c r="L63" s="585"/>
      <c r="M63" s="585"/>
      <c r="N63" s="585"/>
      <c r="O63" s="585"/>
      <c r="P63" s="585"/>
      <c r="Q63" s="585"/>
      <c r="R63" s="585"/>
      <c r="S63" s="585"/>
      <c r="T63" s="585"/>
      <c r="U63" s="586"/>
      <c r="V63" s="587"/>
      <c r="Y63" s="577"/>
      <c r="Z63" s="577"/>
      <c r="AA63" s="577"/>
      <c r="AB63" s="577"/>
    </row>
    <row r="64" spans="2:28" s="576" customFormat="1" ht="15" customHeight="1">
      <c r="B64" s="573"/>
      <c r="C64" s="582" t="s">
        <v>786</v>
      </c>
      <c r="D64" s="1208" t="str">
        <f>CHOOSE(jezyk,n!A1485,n!B1485,n!C1485,n!D1481)</f>
        <v>CZYNNIKI RYZYKA ZWIĄZANE Z PROWADZONĄ DZIAŁALNOŚCIĄ,  W TYM W ZAKRESIE INSTRUMENTÓW FINANSOWYCH</v>
      </c>
      <c r="E64" s="1208"/>
      <c r="F64" s="1208"/>
      <c r="G64" s="1208"/>
      <c r="H64" s="1208"/>
      <c r="I64" s="1208"/>
      <c r="J64" s="1208"/>
      <c r="K64" s="1208"/>
      <c r="L64" s="1208"/>
      <c r="M64" s="1208"/>
      <c r="N64" s="1208"/>
      <c r="O64" s="1208"/>
      <c r="P64" s="1208"/>
      <c r="Q64" s="1208"/>
      <c r="R64" s="1208"/>
      <c r="S64" s="585"/>
      <c r="T64" s="585"/>
      <c r="U64" s="586">
        <f>W198</f>
        <v>6</v>
      </c>
      <c r="V64" s="587"/>
      <c r="Y64" s="577"/>
      <c r="Z64" s="577"/>
      <c r="AA64" s="577"/>
      <c r="AB64" s="577"/>
    </row>
    <row r="65" spans="2:28" s="576" customFormat="1" ht="15" customHeight="1">
      <c r="B65" s="573"/>
      <c r="C65" s="582"/>
      <c r="D65" s="588"/>
      <c r="E65" s="585"/>
      <c r="F65" s="585"/>
      <c r="G65" s="585"/>
      <c r="H65" s="585"/>
      <c r="I65" s="585"/>
      <c r="J65" s="585"/>
      <c r="K65" s="585"/>
      <c r="L65" s="585"/>
      <c r="M65" s="585"/>
      <c r="N65" s="585"/>
      <c r="O65" s="585"/>
      <c r="P65" s="585"/>
      <c r="Q65" s="585"/>
      <c r="R65" s="585"/>
      <c r="S65" s="585"/>
      <c r="T65" s="585"/>
      <c r="U65" s="586"/>
      <c r="V65" s="587"/>
      <c r="Y65" s="577"/>
      <c r="Z65" s="577"/>
      <c r="AA65" s="577"/>
      <c r="AB65" s="577"/>
    </row>
    <row r="66" spans="2:28" s="576" customFormat="1" ht="15" customHeight="1">
      <c r="B66" s="573"/>
      <c r="C66" s="582" t="s">
        <v>93</v>
      </c>
      <c r="D66" s="1208" t="str">
        <f>CHOOSE(jezyk,n!A1487,n!B1487,n!C1487,n!D1482)</f>
        <v>WAŻNIEJSZE OSIĄGNIĘCIA W DZIEDZINIE BADAŃ I ROZWOJU</v>
      </c>
      <c r="E66" s="1208"/>
      <c r="F66" s="1208"/>
      <c r="G66" s="1208"/>
      <c r="H66" s="1208"/>
      <c r="I66" s="1208"/>
      <c r="J66" s="1208"/>
      <c r="K66" s="1208"/>
      <c r="L66" s="1208"/>
      <c r="M66" s="1208"/>
      <c r="N66" s="1208"/>
      <c r="O66" s="1208"/>
      <c r="P66" s="1208"/>
      <c r="Q66" s="1208"/>
      <c r="R66" s="1208"/>
      <c r="S66" s="585"/>
      <c r="T66" s="585"/>
      <c r="U66" s="586">
        <f>W209</f>
        <v>6</v>
      </c>
      <c r="V66" s="587"/>
      <c r="Y66" s="577"/>
      <c r="Z66" s="577"/>
      <c r="AA66" s="577"/>
      <c r="AB66" s="577"/>
    </row>
    <row r="67" spans="2:28" s="576" customFormat="1" ht="15" customHeight="1">
      <c r="B67" s="573"/>
      <c r="C67" s="582"/>
      <c r="D67" s="589"/>
      <c r="E67" s="589"/>
      <c r="F67" s="589"/>
      <c r="G67" s="589"/>
      <c r="H67" s="589"/>
      <c r="I67" s="589"/>
      <c r="J67" s="589"/>
      <c r="K67" s="589"/>
      <c r="L67" s="589"/>
      <c r="M67" s="589"/>
      <c r="N67" s="589"/>
      <c r="O67" s="589"/>
      <c r="P67" s="589"/>
      <c r="Q67" s="589"/>
      <c r="R67" s="589"/>
      <c r="S67" s="590"/>
      <c r="T67" s="590"/>
      <c r="U67" s="586"/>
      <c r="V67" s="591"/>
      <c r="Y67" s="577"/>
      <c r="Z67" s="577"/>
      <c r="AA67" s="577"/>
      <c r="AB67" s="577"/>
    </row>
    <row r="68" spans="2:28" s="576" customFormat="1" ht="15" customHeight="1">
      <c r="B68" s="573"/>
      <c r="C68" s="582" t="s">
        <v>1507</v>
      </c>
      <c r="D68" s="1208" t="str">
        <f>CHOOSE(jezyk,n!A1488,n!B1488,n!C1488,n!D1483)</f>
        <v>INFORMACJE O NABYCIU UDZIAŁÓW (AKCJI) WŁASNYCH</v>
      </c>
      <c r="E68" s="1208"/>
      <c r="F68" s="1208"/>
      <c r="G68" s="1208"/>
      <c r="H68" s="1208"/>
      <c r="I68" s="1208"/>
      <c r="J68" s="1208"/>
      <c r="K68" s="1208"/>
      <c r="L68" s="1208"/>
      <c r="M68" s="1208"/>
      <c r="N68" s="1208"/>
      <c r="O68" s="1208"/>
      <c r="P68" s="1208"/>
      <c r="Q68" s="1208"/>
      <c r="R68" s="1208"/>
      <c r="S68" s="590"/>
      <c r="T68" s="590"/>
      <c r="U68" s="586">
        <f>W219</f>
        <v>6</v>
      </c>
      <c r="V68" s="591"/>
      <c r="Y68" s="577"/>
      <c r="Z68" s="577"/>
      <c r="AA68" s="577"/>
      <c r="AB68" s="577"/>
    </row>
    <row r="69" spans="2:28" s="576" customFormat="1" ht="15" customHeight="1">
      <c r="B69" s="573"/>
      <c r="C69" s="582"/>
      <c r="D69" s="592"/>
      <c r="E69" s="592"/>
      <c r="F69" s="592"/>
      <c r="G69" s="592"/>
      <c r="H69" s="592"/>
      <c r="I69" s="592"/>
      <c r="J69" s="592"/>
      <c r="K69" s="592"/>
      <c r="L69" s="592"/>
      <c r="M69" s="592"/>
      <c r="N69" s="592"/>
      <c r="O69" s="592"/>
      <c r="P69" s="592"/>
      <c r="Q69" s="592"/>
      <c r="R69" s="592"/>
      <c r="S69" s="593"/>
      <c r="T69" s="593"/>
      <c r="U69" s="586"/>
      <c r="V69" s="594"/>
      <c r="Y69" s="577"/>
      <c r="Z69" s="577"/>
      <c r="AA69" s="577"/>
      <c r="AB69" s="577"/>
    </row>
    <row r="70" spans="2:28" s="576" customFormat="1" ht="15" customHeight="1">
      <c r="B70" s="573"/>
      <c r="C70" s="582" t="s">
        <v>1508</v>
      </c>
      <c r="D70" s="1200" t="str">
        <f>CHOOSE(jezyk,n!A1490,n!B1490,n!C1490,n!D1486)</f>
        <v>PODSUMOWANIE</v>
      </c>
      <c r="E70" s="1200"/>
      <c r="F70" s="1200"/>
      <c r="G70" s="1200"/>
      <c r="H70" s="1200"/>
      <c r="I70" s="1200"/>
      <c r="J70" s="1200"/>
      <c r="K70" s="1200"/>
      <c r="L70" s="1200"/>
      <c r="M70" s="1200"/>
      <c r="N70" s="1200"/>
      <c r="O70" s="574"/>
      <c r="P70" s="574"/>
      <c r="Q70" s="574"/>
      <c r="R70" s="574"/>
      <c r="S70" s="574"/>
      <c r="T70" s="574"/>
      <c r="U70" s="582">
        <f>W227</f>
        <v>7</v>
      </c>
      <c r="V70" s="574"/>
      <c r="Y70" s="577"/>
      <c r="Z70" s="577"/>
      <c r="AA70" s="577"/>
      <c r="AB70" s="577"/>
    </row>
    <row r="71" spans="2:28" s="576" customFormat="1">
      <c r="B71" s="573"/>
      <c r="C71" s="574"/>
      <c r="D71" s="574"/>
      <c r="E71" s="574"/>
      <c r="F71" s="574"/>
      <c r="G71" s="574"/>
      <c r="H71" s="574"/>
      <c r="I71" s="574"/>
      <c r="J71" s="574"/>
      <c r="K71" s="574"/>
      <c r="L71" s="574"/>
      <c r="M71" s="574"/>
      <c r="N71" s="574"/>
      <c r="O71" s="574"/>
      <c r="P71" s="574"/>
      <c r="Q71" s="574"/>
      <c r="R71" s="574"/>
      <c r="S71" s="574"/>
      <c r="T71" s="574"/>
      <c r="U71" s="574"/>
      <c r="V71" s="574"/>
      <c r="Y71" s="577"/>
      <c r="Z71" s="577"/>
      <c r="AA71" s="577"/>
      <c r="AB71" s="577"/>
    </row>
    <row r="72" spans="2:28" s="576" customFormat="1">
      <c r="B72" s="573"/>
      <c r="C72" s="574"/>
      <c r="D72" s="574"/>
      <c r="E72" s="574"/>
      <c r="F72" s="574"/>
      <c r="G72" s="574"/>
      <c r="H72" s="574"/>
      <c r="I72" s="574"/>
      <c r="J72" s="574"/>
      <c r="K72" s="574"/>
      <c r="L72" s="574"/>
      <c r="M72" s="574"/>
      <c r="N72" s="574"/>
      <c r="O72" s="574"/>
      <c r="P72" s="574"/>
      <c r="Q72" s="574"/>
      <c r="R72" s="574"/>
      <c r="S72" s="574"/>
      <c r="T72" s="574"/>
      <c r="U72" s="574"/>
      <c r="V72" s="574"/>
      <c r="Y72" s="577"/>
      <c r="Z72" s="577"/>
      <c r="AA72" s="577"/>
      <c r="AB72" s="577"/>
    </row>
    <row r="73" spans="2:28" s="599" customFormat="1">
      <c r="B73" s="595" t="s">
        <v>1448</v>
      </c>
      <c r="C73" s="584" t="str">
        <f>CHOOSE(jezyk,n!A1480,n!B1480,n!C1480,n!D1476)</f>
        <v>WIZYTÓWKA SPÓŁKI</v>
      </c>
      <c r="D73" s="574"/>
      <c r="E73" s="574"/>
      <c r="F73" s="574"/>
      <c r="G73" s="574"/>
      <c r="H73" s="574"/>
      <c r="I73" s="574"/>
      <c r="J73" s="574"/>
      <c r="K73" s="574"/>
      <c r="L73" s="574"/>
      <c r="M73" s="574"/>
      <c r="N73" s="574"/>
      <c r="O73" s="574"/>
      <c r="P73" s="574"/>
      <c r="Q73" s="574"/>
      <c r="R73" s="574"/>
      <c r="S73" s="574"/>
      <c r="T73" s="574"/>
      <c r="U73" s="574"/>
      <c r="V73" s="574"/>
      <c r="W73" s="596">
        <v>3</v>
      </c>
      <c r="X73" s="597" t="s">
        <v>1526</v>
      </c>
      <c r="Y73" s="598"/>
      <c r="Z73" s="598"/>
      <c r="AA73" s="598"/>
      <c r="AB73" s="598"/>
    </row>
    <row r="74" spans="2:28"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28" s="576" customFormat="1">
      <c r="B75" s="573"/>
      <c r="C75" s="574"/>
      <c r="D75" s="574"/>
      <c r="E75" s="574"/>
      <c r="F75" s="574"/>
      <c r="G75" s="574"/>
      <c r="H75" s="574"/>
      <c r="I75" s="574"/>
      <c r="J75" s="574"/>
      <c r="K75" s="574"/>
      <c r="L75" s="574"/>
      <c r="M75" s="574"/>
      <c r="N75" s="574"/>
      <c r="O75" s="574"/>
      <c r="P75" s="574"/>
      <c r="Q75" s="574"/>
      <c r="R75" s="574"/>
      <c r="S75" s="574"/>
      <c r="T75" s="574"/>
      <c r="U75" s="574"/>
      <c r="V75" s="574"/>
      <c r="Y75" s="577"/>
      <c r="Z75" s="577"/>
      <c r="AA75" s="577"/>
      <c r="AB75" s="577"/>
    </row>
    <row r="76" spans="2:28" s="576" customFormat="1">
      <c r="B76" s="573"/>
      <c r="C76" s="574" t="str">
        <f>CHOOSE(jezyk,n!A1491,n!B1491,n!C1491,n!D1487)</f>
        <v>Spółka jest zarejestrowana pod firmą:</v>
      </c>
      <c r="D76" s="574"/>
      <c r="E76" s="574"/>
      <c r="F76" s="574"/>
      <c r="G76" s="574"/>
      <c r="H76" s="574"/>
      <c r="I76" s="574"/>
      <c r="J76" s="574"/>
      <c r="K76" s="574"/>
      <c r="L76" s="574"/>
      <c r="M76" s="574"/>
      <c r="N76" s="574"/>
      <c r="O76" s="600"/>
      <c r="P76" s="600"/>
      <c r="U76" s="600"/>
    </row>
    <row r="77" spans="2:28" s="576" customFormat="1">
      <c r="B77" s="573"/>
      <c r="C77" s="574"/>
      <c r="D77" s="574"/>
      <c r="E77" s="574"/>
      <c r="F77" s="574"/>
      <c r="G77" s="574"/>
      <c r="H77" s="574"/>
      <c r="I77" s="574"/>
      <c r="J77" s="574"/>
      <c r="K77" s="574"/>
      <c r="L77" s="574"/>
      <c r="M77" s="574"/>
      <c r="N77" s="574"/>
      <c r="O77" s="600"/>
      <c r="P77" s="600"/>
      <c r="U77" s="600"/>
      <c r="W77" s="601"/>
    </row>
    <row r="78" spans="2:28" s="576" customFormat="1">
      <c r="B78" s="573"/>
      <c r="C78" s="584" t="str">
        <f>nazwa_spolki</f>
        <v>Rhenus Digital Workforce Sp. z o.o.</v>
      </c>
      <c r="D78" s="574"/>
      <c r="E78" s="574"/>
      <c r="F78" s="574"/>
      <c r="G78" s="574"/>
      <c r="H78" s="574"/>
      <c r="I78" s="574"/>
      <c r="J78" s="574"/>
      <c r="K78" s="574"/>
      <c r="L78" s="574"/>
      <c r="M78" s="574"/>
      <c r="N78" s="574"/>
      <c r="O78" s="600"/>
      <c r="P78" s="600"/>
      <c r="U78" s="600"/>
    </row>
    <row r="79" spans="2:28" s="576" customFormat="1">
      <c r="B79" s="573"/>
      <c r="C79" s="574"/>
      <c r="D79" s="574"/>
      <c r="E79" s="574"/>
      <c r="F79" s="574"/>
      <c r="G79" s="574"/>
      <c r="H79" s="574"/>
      <c r="I79" s="574"/>
      <c r="J79" s="574"/>
      <c r="K79" s="574"/>
      <c r="L79" s="574"/>
      <c r="M79" s="574"/>
      <c r="N79" s="574"/>
      <c r="O79" s="600"/>
      <c r="P79" s="600"/>
      <c r="U79" s="600"/>
    </row>
    <row r="80" spans="2:28" s="576" customFormat="1" ht="25.5" customHeight="1">
      <c r="B80" s="573"/>
      <c r="C80" s="1202" t="str">
        <f>CHOOSE(jezyk,n!A1657,n!B1657,n!C1657,n!D1653)</f>
        <v xml:space="preserve">w Sądzie Rejonowym dla ……………., ………... Wydział Gospodarczy Krajowego Rejestru Sądowego, numer rejestru ………….. </v>
      </c>
      <c r="D80" s="1202"/>
      <c r="E80" s="1202"/>
      <c r="F80" s="1202"/>
      <c r="G80" s="1202"/>
      <c r="H80" s="1202"/>
      <c r="I80" s="1202"/>
      <c r="J80" s="1202"/>
      <c r="K80" s="1202"/>
      <c r="L80" s="1202"/>
      <c r="M80" s="1202"/>
      <c r="N80" s="1202"/>
      <c r="O80" s="1202"/>
      <c r="P80" s="1202"/>
      <c r="Q80" s="1202"/>
      <c r="R80" s="1202"/>
      <c r="S80" s="1202"/>
      <c r="T80" s="1202"/>
      <c r="U80" s="1202"/>
      <c r="V80" s="1202"/>
    </row>
    <row r="81" spans="2:28" s="576" customFormat="1">
      <c r="B81" s="573"/>
      <c r="C81" s="574"/>
      <c r="D81" s="574"/>
      <c r="E81" s="574"/>
      <c r="F81" s="574"/>
      <c r="G81" s="574"/>
      <c r="H81" s="574"/>
      <c r="I81" s="574"/>
      <c r="J81" s="574"/>
      <c r="K81" s="574"/>
      <c r="L81" s="574"/>
      <c r="M81" s="574"/>
      <c r="N81" s="574"/>
      <c r="O81" s="600"/>
      <c r="P81" s="600"/>
      <c r="U81" s="600"/>
    </row>
    <row r="82" spans="2:28" s="576" customFormat="1">
      <c r="B82" s="573"/>
      <c r="C82" s="106" t="str">
        <f>CHOOSE(jezyk,n!A1492,n!B1492,n!C1492,n!D1488)</f>
        <v>Siedzibą Spółki jest Warszawa 02-595, ul. ul. Puławska 99</v>
      </c>
      <c r="D82" s="574"/>
      <c r="E82" s="574"/>
      <c r="F82" s="574"/>
      <c r="G82" s="574"/>
      <c r="H82" s="574"/>
      <c r="I82" s="574"/>
      <c r="J82" s="574"/>
      <c r="K82" s="574"/>
      <c r="L82" s="574"/>
      <c r="M82" s="574"/>
      <c r="N82" s="574"/>
      <c r="O82" s="600"/>
      <c r="P82" s="600"/>
      <c r="U82" s="600"/>
    </row>
    <row r="83" spans="2:28" s="576" customFormat="1">
      <c r="B83" s="573"/>
      <c r="C83" s="574"/>
      <c r="D83" s="574"/>
      <c r="E83" s="574"/>
      <c r="F83" s="574"/>
      <c r="G83" s="574"/>
      <c r="H83" s="574"/>
      <c r="I83" s="574"/>
      <c r="J83" s="574"/>
      <c r="K83" s="574"/>
      <c r="L83" s="574"/>
      <c r="M83" s="574"/>
      <c r="N83" s="574"/>
      <c r="O83" s="600"/>
      <c r="P83" s="600"/>
      <c r="U83" s="600"/>
    </row>
    <row r="84" spans="2:28" s="576" customFormat="1" ht="38.25" customHeight="1">
      <c r="B84" s="573"/>
      <c r="C84" s="1201" t="str">
        <f>CHOOSE(jezyk,n!A1658,n!B1658,n!C1658,n!D1654)</f>
        <v>Podstawą działalności Spółki jest umowa Spółki z dnia ……………..,  sporządzona w (nawa kancelarii) w (miasto) pod sygnaturą akt Repertorium ……………. wraz z późniejszymi zmianami.</v>
      </c>
      <c r="D84" s="1201"/>
      <c r="E84" s="1201"/>
      <c r="F84" s="1201"/>
      <c r="G84" s="1201"/>
      <c r="H84" s="1201"/>
      <c r="I84" s="1201"/>
      <c r="J84" s="1201"/>
      <c r="K84" s="1201"/>
      <c r="L84" s="1201"/>
      <c r="M84" s="1201"/>
      <c r="N84" s="1201"/>
      <c r="O84" s="1201"/>
      <c r="P84" s="1201"/>
      <c r="Q84" s="1201"/>
      <c r="R84" s="1201"/>
      <c r="S84" s="1201"/>
      <c r="T84" s="1201"/>
      <c r="U84" s="1201"/>
      <c r="V84" s="1201"/>
      <c r="Y84" s="577"/>
      <c r="Z84" s="577"/>
      <c r="AA84" s="577"/>
      <c r="AB84" s="577"/>
    </row>
    <row r="85" spans="2:28" s="576" customFormat="1" ht="12.75" customHeight="1">
      <c r="B85" s="602"/>
      <c r="C85" s="602"/>
      <c r="D85" s="602"/>
      <c r="E85" s="602"/>
      <c r="F85" s="602"/>
      <c r="G85" s="602"/>
      <c r="H85" s="602"/>
      <c r="I85" s="602"/>
      <c r="J85" s="602"/>
      <c r="K85" s="602"/>
      <c r="L85" s="602"/>
      <c r="M85" s="602"/>
      <c r="N85" s="602"/>
      <c r="O85" s="602"/>
      <c r="P85" s="602"/>
      <c r="Q85" s="602"/>
      <c r="R85" s="602"/>
      <c r="S85" s="602"/>
      <c r="T85" s="602"/>
      <c r="U85" s="602"/>
      <c r="V85" s="602"/>
      <c r="Y85" s="577"/>
      <c r="Z85" s="577"/>
      <c r="AA85" s="577"/>
      <c r="AB85" s="577"/>
    </row>
    <row r="86" spans="2:28" s="576" customFormat="1">
      <c r="B86" s="595" t="str">
        <f>CHOOSE(jezyk,n!A1493,n!B1493,n!C1493,n!D1489)</f>
        <v>Kapitał zakładowy</v>
      </c>
      <c r="C86" s="574"/>
      <c r="D86" s="574"/>
      <c r="E86" s="574"/>
      <c r="F86" s="574"/>
      <c r="G86" s="574"/>
      <c r="H86" s="574"/>
      <c r="I86" s="574"/>
      <c r="J86" s="574"/>
      <c r="K86" s="574"/>
      <c r="L86" s="574"/>
      <c r="M86" s="574"/>
      <c r="N86" s="574"/>
      <c r="O86" s="600"/>
      <c r="P86" s="600"/>
      <c r="U86" s="600"/>
    </row>
    <row r="87" spans="2:28" s="576" customFormat="1">
      <c r="B87" s="573"/>
      <c r="C87" s="574"/>
      <c r="D87" s="574"/>
      <c r="E87" s="574"/>
      <c r="F87" s="574"/>
      <c r="G87" s="574"/>
      <c r="H87" s="574"/>
      <c r="I87" s="574"/>
      <c r="J87" s="574"/>
      <c r="K87" s="574"/>
      <c r="L87" s="574"/>
      <c r="M87" s="574"/>
      <c r="N87" s="574"/>
      <c r="O87" s="574"/>
      <c r="P87" s="574"/>
      <c r="Q87" s="574"/>
      <c r="R87" s="574"/>
      <c r="S87" s="574"/>
      <c r="T87" s="574"/>
      <c r="U87" s="574"/>
      <c r="V87" s="574"/>
      <c r="Y87" s="577"/>
      <c r="Z87" s="577"/>
      <c r="AA87" s="577"/>
      <c r="AB87" s="577"/>
    </row>
    <row r="88" spans="2:28" s="576" customFormat="1" ht="25.5" customHeight="1">
      <c r="B88" s="573"/>
      <c r="C88" s="1201" t="str">
        <f>CHOOSE(jezyk,n!A1659,n!B1659,n!C1659,n!D1655)</f>
        <v>Kapitał zakładowy Spółki  wynosi PLN ………….... Składa się z ………. udziałów o wartości nominalnej PLN ………. każdy.</v>
      </c>
      <c r="D88" s="1201"/>
      <c r="E88" s="1201"/>
      <c r="F88" s="1201"/>
      <c r="G88" s="1201"/>
      <c r="H88" s="1201"/>
      <c r="I88" s="1201"/>
      <c r="J88" s="1201"/>
      <c r="K88" s="1201"/>
      <c r="L88" s="1201"/>
      <c r="M88" s="1201"/>
      <c r="N88" s="1201"/>
      <c r="O88" s="1201"/>
      <c r="P88" s="1201"/>
      <c r="Q88" s="1201"/>
      <c r="R88" s="1201"/>
      <c r="S88" s="1201"/>
      <c r="T88" s="1201"/>
      <c r="U88" s="1201"/>
      <c r="V88" s="1201"/>
      <c r="Y88" s="577"/>
      <c r="Z88" s="577"/>
      <c r="AA88" s="577"/>
      <c r="AB88" s="577"/>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38.25" customHeight="1">
      <c r="B90" s="573"/>
      <c r="C90" s="1201" t="s">
        <v>901</v>
      </c>
      <c r="D90" s="1201"/>
      <c r="E90" s="1201"/>
      <c r="F90" s="1201"/>
      <c r="G90" s="1201"/>
      <c r="H90" s="1201"/>
      <c r="I90" s="1201"/>
      <c r="J90" s="1201"/>
      <c r="K90" s="1201"/>
      <c r="L90" s="1201"/>
      <c r="M90" s="1201"/>
      <c r="N90" s="1201"/>
      <c r="O90" s="1201"/>
      <c r="P90" s="1201"/>
      <c r="Q90" s="1201"/>
      <c r="R90" s="1201"/>
      <c r="S90" s="1201"/>
      <c r="T90" s="1201"/>
      <c r="U90" s="1201"/>
      <c r="V90" s="1201"/>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c r="B92" s="595" t="str">
        <f>CHOOSE(jezyk,n!A1494,n!B1494,n!C1494,n!D1490)</f>
        <v>Zarząd i przedstawicielstwo</v>
      </c>
      <c r="C92" s="574"/>
      <c r="D92" s="574"/>
      <c r="E92" s="574"/>
      <c r="F92" s="574"/>
      <c r="G92" s="574"/>
      <c r="H92" s="574"/>
      <c r="I92" s="574"/>
      <c r="J92" s="574"/>
      <c r="K92" s="574"/>
      <c r="L92" s="574"/>
      <c r="M92" s="574"/>
      <c r="N92" s="574"/>
      <c r="O92" s="600"/>
      <c r="P92" s="600"/>
      <c r="U92" s="600"/>
    </row>
    <row r="93" spans="2:28" s="576" customFormat="1">
      <c r="B93" s="573"/>
      <c r="C93" s="574"/>
      <c r="D93" s="574"/>
      <c r="E93" s="574"/>
      <c r="F93" s="574"/>
      <c r="G93" s="574"/>
      <c r="H93" s="574"/>
      <c r="I93" s="574"/>
      <c r="J93" s="574"/>
      <c r="K93" s="574"/>
      <c r="L93" s="574"/>
      <c r="M93" s="574"/>
      <c r="N93" s="574"/>
      <c r="O93" s="600"/>
      <c r="P93" s="600"/>
      <c r="U93" s="600"/>
    </row>
    <row r="94" spans="2:28" s="576" customFormat="1">
      <c r="B94" s="573"/>
      <c r="C94" s="574" t="str">
        <f>CHOOSE(jezyk,n!A1495,n!B1495,n!C1495,n!D1491)</f>
        <v>W okresie sprawozdawczym Zarząd sprawowali:</v>
      </c>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c r="D96" s="574"/>
      <c r="E96" s="1198" t="str">
        <f>CHOOSE(jezyk,n!A1662,n!B1662,n!C1662,n!D1658)</f>
        <v>Pan/Pani</v>
      </c>
      <c r="F96" s="1198"/>
      <c r="G96" s="1198"/>
      <c r="H96" s="1198"/>
      <c r="I96" s="1198"/>
      <c r="J96" s="1198"/>
      <c r="K96" s="1198"/>
      <c r="L96" s="1198"/>
      <c r="M96" s="1198"/>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198" t="str">
        <f>CHOOSE(jezyk,n!A1662,n!B1662,n!C1662,n!D1658)</f>
        <v>Pan/Pani</v>
      </c>
      <c r="F98" s="1198"/>
      <c r="G98" s="1198"/>
      <c r="H98" s="1198"/>
      <c r="I98" s="1198"/>
      <c r="J98" s="1198"/>
      <c r="K98" s="1198"/>
      <c r="L98" s="1198"/>
      <c r="M98" s="1198"/>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95" t="str">
        <f>CHOOSE(jezyk,n!A1496,n!B1496,n!C1496,n!D1492)</f>
        <v>Rada Nadzorcza</v>
      </c>
      <c r="C100" s="574"/>
      <c r="D100" s="574"/>
      <c r="E100" s="574"/>
      <c r="F100" s="574"/>
      <c r="G100" s="574"/>
      <c r="H100" s="574"/>
      <c r="I100" s="574"/>
      <c r="J100" s="574"/>
      <c r="K100" s="574"/>
      <c r="L100" s="574"/>
      <c r="M100" s="574"/>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73"/>
      <c r="C102" s="574" t="str">
        <f>CHOOSE(jezyk,n!A1497,n!B1497,n!C1497,n!D1493)</f>
        <v>W Radzie Nadzorczej zasiadają:</v>
      </c>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c r="D104" s="574"/>
      <c r="E104" s="1198" t="str">
        <f>CHOOSE(jezyk,n!A1662,n!B1662,n!C1662,n!D1658)</f>
        <v>Pan/Pani</v>
      </c>
      <c r="F104" s="1198"/>
      <c r="G104" s="1198"/>
      <c r="H104" s="1198"/>
      <c r="I104" s="1198"/>
      <c r="J104" s="1198"/>
      <c r="K104" s="1198"/>
      <c r="L104" s="1198"/>
      <c r="M104" s="1198"/>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198" t="str">
        <f>CHOOSE(jezyk,n!A1662,n!B1662,n!C1662,n!D1658)</f>
        <v>Pan/Pani</v>
      </c>
      <c r="F106" s="1198"/>
      <c r="G106" s="1198"/>
      <c r="H106" s="1198"/>
      <c r="I106" s="1198"/>
      <c r="J106" s="1198"/>
      <c r="K106" s="1198"/>
      <c r="L106" s="1198"/>
      <c r="M106" s="1198"/>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198" t="str">
        <f>CHOOSE(jezyk,n!A1662,n!B1662,n!C1662,n!D1658)</f>
        <v>Pan/Pani</v>
      </c>
      <c r="F108" s="1198"/>
      <c r="G108" s="1198"/>
      <c r="H108" s="1198"/>
      <c r="I108" s="1198"/>
      <c r="J108" s="1198"/>
      <c r="K108" s="1198"/>
      <c r="L108" s="1198"/>
      <c r="M108" s="1198"/>
      <c r="N108" s="574"/>
      <c r="O108" s="600"/>
      <c r="P108" s="600"/>
      <c r="U108" s="600"/>
    </row>
    <row r="109" spans="2:21" s="576" customFormat="1">
      <c r="B109" s="573"/>
      <c r="C109" s="574"/>
      <c r="D109" s="574"/>
      <c r="N109" s="574"/>
      <c r="O109" s="600"/>
      <c r="P109" s="600"/>
      <c r="U109" s="600"/>
    </row>
    <row r="110" spans="2:21" s="576" customFormat="1">
      <c r="B110" s="573"/>
      <c r="C110" s="574"/>
      <c r="D110" s="574"/>
      <c r="E110" s="574"/>
      <c r="F110" s="574"/>
      <c r="G110" s="574"/>
      <c r="H110" s="574"/>
      <c r="I110" s="574"/>
      <c r="J110" s="574"/>
      <c r="K110" s="574"/>
      <c r="L110" s="574"/>
      <c r="M110" s="574"/>
      <c r="N110" s="574"/>
      <c r="O110" s="600"/>
      <c r="P110" s="600"/>
      <c r="U110" s="600"/>
    </row>
    <row r="111" spans="2:21" s="576" customFormat="1">
      <c r="B111" s="595" t="str">
        <f>CHOOSE(jezyk,n!A1498,n!B1498,n!C1498,n!D1494)</f>
        <v>Przedmiot działalności jednostki</v>
      </c>
      <c r="C111" s="574"/>
      <c r="D111" s="574"/>
      <c r="E111" s="574"/>
      <c r="F111" s="574"/>
      <c r="G111" s="574"/>
      <c r="H111" s="574"/>
      <c r="I111" s="574"/>
      <c r="J111" s="574"/>
      <c r="K111" s="574"/>
      <c r="L111" s="574"/>
      <c r="M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8" s="576" customFormat="1">
      <c r="B113" s="573"/>
      <c r="C113" s="574" t="str">
        <f>CHOOSE(jezyk,n!A1499,n!B1499,n!C1499,n!D1495)</f>
        <v>Przedmiotem działalności jednostki jest:</v>
      </c>
      <c r="D113" s="574"/>
      <c r="E113" s="574"/>
      <c r="F113" s="574"/>
      <c r="G113" s="574"/>
      <c r="H113" s="574"/>
      <c r="I113" s="574"/>
      <c r="J113" s="574"/>
      <c r="K113" s="574"/>
      <c r="L113" s="574"/>
      <c r="M113" s="574"/>
      <c r="N113" s="574"/>
      <c r="O113" s="600"/>
      <c r="P113" s="600"/>
      <c r="U113" s="600"/>
      <c r="W113" s="601"/>
    </row>
    <row r="114" spans="2:28" s="576" customFormat="1" ht="14.25" customHeight="1">
      <c r="B114" s="573"/>
      <c r="C114" s="574"/>
      <c r="D114" s="574"/>
      <c r="E114" s="574"/>
      <c r="F114" s="574"/>
      <c r="G114" s="574"/>
      <c r="H114" s="574"/>
      <c r="I114" s="574"/>
      <c r="J114" s="574"/>
      <c r="K114" s="574"/>
      <c r="L114" s="574"/>
      <c r="M114" s="574"/>
      <c r="N114" s="574"/>
      <c r="O114" s="600"/>
      <c r="P114" s="600"/>
      <c r="U114" s="600"/>
    </row>
    <row r="115" spans="2:28" s="576" customFormat="1">
      <c r="B115" s="573"/>
      <c r="C115" s="603" t="s">
        <v>533</v>
      </c>
      <c r="D115" s="1203"/>
      <c r="E115" s="1203"/>
      <c r="F115" s="1203"/>
      <c r="G115" s="1203"/>
      <c r="H115" s="1203"/>
      <c r="I115" s="1203"/>
      <c r="J115" s="1203"/>
      <c r="K115" s="1203"/>
      <c r="L115" s="1203"/>
      <c r="M115" s="1203"/>
      <c r="N115" s="1203"/>
      <c r="O115" s="1203"/>
      <c r="P115" s="1203"/>
      <c r="Q115" s="1203"/>
      <c r="R115" s="1203"/>
      <c r="S115" s="1203"/>
    </row>
    <row r="116" spans="2:28" s="576" customFormat="1" ht="14.25" customHeight="1">
      <c r="B116" s="573"/>
      <c r="C116" s="574"/>
      <c r="D116" s="574"/>
      <c r="E116" s="574"/>
      <c r="F116" s="574"/>
      <c r="G116" s="574"/>
      <c r="H116" s="574"/>
      <c r="I116" s="574"/>
      <c r="J116" s="574"/>
      <c r="K116" s="574"/>
      <c r="L116" s="574"/>
      <c r="M116" s="574"/>
      <c r="N116" s="574"/>
      <c r="O116" s="600"/>
      <c r="P116" s="600"/>
      <c r="U116" s="600"/>
    </row>
    <row r="117" spans="2:28" s="576" customFormat="1">
      <c r="B117" s="573"/>
      <c r="C117" s="603" t="s">
        <v>533</v>
      </c>
      <c r="D117" s="1203"/>
      <c r="E117" s="1203"/>
      <c r="F117" s="1203"/>
      <c r="G117" s="1203"/>
      <c r="H117" s="1203"/>
      <c r="I117" s="1203"/>
      <c r="J117" s="1203"/>
      <c r="K117" s="1203"/>
      <c r="L117" s="1203"/>
      <c r="M117" s="1203"/>
      <c r="N117" s="1203"/>
      <c r="O117" s="1203"/>
      <c r="P117" s="1203"/>
      <c r="Q117" s="1203"/>
      <c r="R117" s="1203"/>
      <c r="S117" s="1203"/>
      <c r="U117" s="600"/>
    </row>
    <row r="118" spans="2:28" s="576" customFormat="1" ht="14.25" customHeight="1">
      <c r="B118" s="573"/>
      <c r="C118" s="574"/>
      <c r="D118" s="574"/>
      <c r="E118" s="574"/>
      <c r="F118" s="574"/>
      <c r="G118" s="574"/>
      <c r="H118" s="574"/>
      <c r="I118" s="574"/>
      <c r="J118" s="574"/>
      <c r="K118" s="574"/>
      <c r="L118" s="574"/>
      <c r="M118" s="574"/>
      <c r="N118" s="574"/>
      <c r="O118" s="600"/>
      <c r="P118" s="600"/>
      <c r="U118" s="600"/>
    </row>
    <row r="119" spans="2:28" s="576" customFormat="1">
      <c r="B119" s="573"/>
      <c r="C119" s="603" t="s">
        <v>533</v>
      </c>
      <c r="D119" s="1203"/>
      <c r="E119" s="1203"/>
      <c r="F119" s="1203"/>
      <c r="G119" s="1203"/>
      <c r="H119" s="1203"/>
      <c r="I119" s="1203"/>
      <c r="J119" s="1203"/>
      <c r="K119" s="1203"/>
      <c r="L119" s="1203"/>
      <c r="M119" s="1203"/>
      <c r="N119" s="1203"/>
      <c r="O119" s="1203"/>
      <c r="P119" s="1203"/>
      <c r="Q119" s="1203"/>
      <c r="R119" s="1203"/>
      <c r="S119" s="1203"/>
      <c r="U119" s="600"/>
    </row>
    <row r="120" spans="2:28" s="576" customFormat="1" ht="14.25" customHeight="1">
      <c r="B120" s="573"/>
      <c r="C120" s="574"/>
      <c r="D120" s="574"/>
      <c r="E120" s="574"/>
      <c r="F120" s="574"/>
      <c r="G120" s="574"/>
      <c r="H120" s="574"/>
      <c r="I120" s="574"/>
      <c r="J120" s="574"/>
      <c r="K120" s="574"/>
      <c r="L120" s="574"/>
      <c r="M120" s="574"/>
      <c r="N120" s="574"/>
      <c r="O120" s="600"/>
      <c r="P120" s="600"/>
      <c r="U120" s="600"/>
    </row>
    <row r="121" spans="2:28" s="576" customFormat="1">
      <c r="B121" s="573"/>
      <c r="C121" s="604" t="s">
        <v>533</v>
      </c>
      <c r="D121" s="1199"/>
      <c r="E121" s="1199"/>
      <c r="F121" s="1199"/>
      <c r="G121" s="1199"/>
      <c r="H121" s="1199"/>
      <c r="I121" s="1199"/>
      <c r="J121" s="1199"/>
      <c r="K121" s="1199"/>
      <c r="L121" s="1199"/>
      <c r="M121" s="1199"/>
      <c r="N121" s="1199"/>
      <c r="O121" s="1199"/>
      <c r="P121" s="1199"/>
      <c r="Q121" s="1199"/>
      <c r="R121" s="1199"/>
      <c r="S121" s="1199"/>
      <c r="T121" s="605"/>
      <c r="U121" s="605"/>
      <c r="V121" s="605"/>
    </row>
    <row r="122" spans="2:28" s="576" customFormat="1" ht="14.25" customHeight="1">
      <c r="B122" s="573"/>
      <c r="C122" s="574"/>
      <c r="D122" s="574"/>
      <c r="E122" s="574"/>
      <c r="F122" s="574"/>
      <c r="G122" s="574"/>
      <c r="H122" s="574"/>
      <c r="I122" s="574"/>
      <c r="J122" s="574"/>
      <c r="K122" s="574"/>
      <c r="L122" s="574"/>
      <c r="M122" s="574"/>
      <c r="N122" s="574"/>
      <c r="O122" s="600"/>
      <c r="P122" s="600"/>
      <c r="U122" s="600"/>
    </row>
    <row r="123" spans="2:28" s="576" customFormat="1">
      <c r="B123" s="573"/>
      <c r="C123" s="603" t="s">
        <v>533</v>
      </c>
      <c r="D123" s="1203"/>
      <c r="E123" s="1203"/>
      <c r="F123" s="1203"/>
      <c r="G123" s="1203"/>
      <c r="H123" s="1203"/>
      <c r="I123" s="1203"/>
      <c r="J123" s="1203"/>
      <c r="K123" s="1203"/>
      <c r="L123" s="1203"/>
      <c r="M123" s="1203"/>
      <c r="N123" s="1203"/>
      <c r="O123" s="1203"/>
      <c r="P123" s="1203"/>
      <c r="Q123" s="1203"/>
      <c r="R123" s="1203"/>
      <c r="S123" s="1203"/>
      <c r="U123" s="600"/>
    </row>
    <row r="124" spans="2:28" s="576" customFormat="1" ht="14.25" customHeight="1">
      <c r="B124" s="573"/>
      <c r="C124" s="574"/>
      <c r="D124" s="574"/>
      <c r="E124" s="574"/>
      <c r="F124" s="574"/>
      <c r="G124" s="574"/>
      <c r="H124" s="574"/>
      <c r="I124" s="574"/>
      <c r="J124" s="574"/>
      <c r="K124" s="574"/>
      <c r="L124" s="574"/>
      <c r="M124" s="574"/>
      <c r="N124" s="574"/>
      <c r="O124" s="600"/>
      <c r="P124" s="600"/>
      <c r="U124" s="600"/>
    </row>
    <row r="125" spans="2:28" s="576" customFormat="1">
      <c r="B125" s="573"/>
      <c r="C125" s="603" t="s">
        <v>533</v>
      </c>
      <c r="D125" s="1198"/>
      <c r="E125" s="1198"/>
      <c r="F125" s="1198"/>
      <c r="G125" s="1198"/>
      <c r="H125" s="1198"/>
      <c r="I125" s="1198"/>
      <c r="J125" s="1198"/>
      <c r="K125" s="1198"/>
      <c r="L125" s="1198"/>
      <c r="M125" s="1198"/>
      <c r="N125" s="1198"/>
      <c r="O125" s="1198"/>
      <c r="P125" s="1198"/>
      <c r="Q125" s="1198"/>
      <c r="R125" s="1198"/>
      <c r="S125" s="1198"/>
      <c r="U125" s="600"/>
    </row>
    <row r="126" spans="2:28" s="576" customFormat="1" ht="14.25" customHeight="1">
      <c r="B126" s="573"/>
      <c r="C126" s="574"/>
      <c r="D126" s="574"/>
      <c r="E126" s="574"/>
      <c r="F126" s="574"/>
      <c r="G126" s="574"/>
      <c r="H126" s="574"/>
      <c r="I126" s="574"/>
      <c r="J126" s="574"/>
      <c r="K126" s="574"/>
      <c r="L126" s="574"/>
      <c r="M126" s="574"/>
      <c r="N126" s="574"/>
      <c r="O126" s="600"/>
      <c r="P126" s="600"/>
      <c r="U126" s="600"/>
    </row>
    <row r="127" spans="2:28" s="576" customFormat="1">
      <c r="B127" s="573"/>
      <c r="C127" s="603" t="s">
        <v>533</v>
      </c>
      <c r="D127" s="1198"/>
      <c r="E127" s="1198"/>
      <c r="F127" s="1198"/>
      <c r="G127" s="1198"/>
      <c r="H127" s="1198"/>
      <c r="I127" s="1198"/>
      <c r="J127" s="1198"/>
      <c r="K127" s="1198"/>
      <c r="L127" s="1198"/>
      <c r="M127" s="1198"/>
      <c r="N127" s="1198"/>
      <c r="O127" s="1198"/>
      <c r="P127" s="1198"/>
      <c r="Q127" s="1198"/>
      <c r="R127" s="1198"/>
      <c r="S127" s="1198"/>
      <c r="U127" s="600"/>
    </row>
    <row r="128" spans="2:28" s="576" customFormat="1" ht="14.25" customHeight="1">
      <c r="B128" s="1214"/>
      <c r="C128" s="1214"/>
      <c r="D128" s="1214"/>
      <c r="E128" s="1214"/>
      <c r="F128" s="1214"/>
      <c r="G128" s="1214"/>
      <c r="H128" s="1214"/>
      <c r="I128" s="1214"/>
      <c r="J128" s="1214"/>
      <c r="K128" s="1214"/>
      <c r="L128" s="1214"/>
      <c r="M128" s="1214"/>
      <c r="N128" s="1214"/>
      <c r="O128" s="1214"/>
      <c r="P128" s="1214"/>
      <c r="Q128" s="1214"/>
      <c r="R128" s="1214"/>
      <c r="S128" s="1214"/>
      <c r="T128" s="1214"/>
      <c r="U128" s="1214"/>
      <c r="V128" s="1214"/>
      <c r="Y128" s="577"/>
      <c r="Z128" s="577"/>
      <c r="AA128" s="577"/>
      <c r="AB128" s="577"/>
    </row>
    <row r="129" spans="2:28" s="576" customFormat="1">
      <c r="B129" s="595" t="str">
        <f>CHOOSE(jezyk,n!A1500,n!B1500,n!C1500,n!D1496)</f>
        <v>Oddziały Spółki</v>
      </c>
      <c r="C129" s="574"/>
      <c r="D129" s="574"/>
      <c r="E129" s="574"/>
      <c r="F129" s="574"/>
      <c r="G129" s="574"/>
      <c r="H129" s="574"/>
      <c r="I129" s="574"/>
      <c r="J129" s="574"/>
      <c r="K129" s="574"/>
      <c r="L129" s="574"/>
      <c r="M129" s="574"/>
      <c r="N129" s="574"/>
      <c r="O129" s="600"/>
      <c r="P129" s="600"/>
      <c r="U129" s="600"/>
    </row>
    <row r="130" spans="2:28" s="576" customFormat="1">
      <c r="B130" s="573"/>
      <c r="C130" s="574"/>
      <c r="D130" s="574"/>
      <c r="E130" s="574"/>
      <c r="F130" s="574"/>
      <c r="G130" s="574"/>
      <c r="H130" s="574"/>
      <c r="I130" s="574"/>
      <c r="J130" s="574"/>
      <c r="K130" s="574"/>
      <c r="L130" s="574"/>
      <c r="M130" s="574"/>
      <c r="N130" s="574"/>
      <c r="O130" s="600"/>
      <c r="P130" s="600"/>
      <c r="U130" s="600"/>
    </row>
    <row r="131" spans="2:28" s="576" customFormat="1">
      <c r="B131" s="573"/>
      <c r="C131" s="603" t="s">
        <v>533</v>
      </c>
      <c r="D131" s="1198" t="str">
        <f>CHOOSE(jezyk,n!A1663,n!B1663,n!C1663,n!D1659)</f>
        <v>Nazwa oddziału</v>
      </c>
      <c r="E131" s="1198"/>
      <c r="F131" s="1198"/>
      <c r="G131" s="1198"/>
      <c r="H131" s="1198"/>
      <c r="I131" s="1198"/>
      <c r="J131" s="1198"/>
      <c r="K131" s="1198"/>
      <c r="L131" s="1198"/>
      <c r="M131" s="1198"/>
      <c r="N131" s="1198"/>
      <c r="O131" s="1198"/>
      <c r="P131" s="1198"/>
      <c r="Q131" s="1198"/>
      <c r="R131" s="1198"/>
      <c r="S131" s="1198"/>
      <c r="U131" s="600"/>
    </row>
    <row r="132" spans="2:28" s="576" customFormat="1">
      <c r="B132" s="573"/>
      <c r="C132" s="574"/>
      <c r="D132" s="1198" t="str">
        <f>CHOOSE(jezyk,n!A1664,n!B1664,n!C1664,n!D1660)</f>
        <v>Adres oddziału</v>
      </c>
      <c r="E132" s="1198"/>
      <c r="F132" s="1198"/>
      <c r="G132" s="1198"/>
      <c r="H132" s="1198"/>
      <c r="I132" s="1198"/>
      <c r="J132" s="1198"/>
      <c r="K132" s="1198"/>
      <c r="L132" s="1198"/>
      <c r="M132" s="1198"/>
      <c r="N132" s="1198"/>
      <c r="O132" s="1198"/>
      <c r="P132" s="1198"/>
      <c r="Q132" s="1198"/>
      <c r="R132" s="1198"/>
      <c r="S132" s="1198"/>
      <c r="T132" s="574"/>
      <c r="U132" s="574"/>
      <c r="V132" s="574"/>
      <c r="Y132" s="577"/>
      <c r="Z132" s="577"/>
      <c r="AA132" s="577"/>
      <c r="AB132" s="577"/>
    </row>
    <row r="133" spans="2:28" s="576" customFormat="1">
      <c r="B133" s="573"/>
      <c r="C133" s="574"/>
      <c r="D133" s="574"/>
      <c r="E133" s="574"/>
      <c r="F133" s="574"/>
      <c r="G133" s="574"/>
      <c r="H133" s="574"/>
      <c r="I133" s="574"/>
      <c r="J133" s="574"/>
      <c r="K133" s="574"/>
      <c r="L133" s="574"/>
      <c r="M133" s="574"/>
      <c r="N133" s="574"/>
      <c r="O133" s="574"/>
      <c r="P133" s="574"/>
      <c r="Q133" s="574"/>
      <c r="R133" s="574"/>
      <c r="S133" s="574"/>
      <c r="T133" s="574"/>
      <c r="U133" s="574"/>
      <c r="V133" s="574"/>
      <c r="Y133" s="577"/>
      <c r="Z133" s="577"/>
      <c r="AA133" s="577"/>
      <c r="AB133" s="577"/>
    </row>
    <row r="134" spans="2:28" s="576" customFormat="1">
      <c r="B134" s="573"/>
      <c r="C134" s="603" t="s">
        <v>533</v>
      </c>
      <c r="D134" s="1198" t="str">
        <f>CHOOSE(jezyk,n!A1663,n!B1663,n!C1663,n!D1659)</f>
        <v>Nazwa oddziału</v>
      </c>
      <c r="E134" s="1198"/>
      <c r="F134" s="1198"/>
      <c r="G134" s="1198"/>
      <c r="H134" s="1198"/>
      <c r="I134" s="1198"/>
      <c r="J134" s="1198"/>
      <c r="K134" s="1198"/>
      <c r="L134" s="1198"/>
      <c r="M134" s="1198"/>
      <c r="N134" s="1198"/>
      <c r="O134" s="1198"/>
      <c r="P134" s="1198"/>
      <c r="Q134" s="1198"/>
      <c r="R134" s="1198"/>
      <c r="S134" s="1198"/>
      <c r="T134" s="574"/>
      <c r="U134" s="574"/>
      <c r="V134" s="574"/>
      <c r="Y134" s="577"/>
      <c r="Z134" s="577"/>
      <c r="AA134" s="577"/>
      <c r="AB134" s="577"/>
    </row>
    <row r="135" spans="2:28" s="576" customFormat="1">
      <c r="B135" s="573"/>
      <c r="C135" s="574"/>
      <c r="D135" s="1198" t="str">
        <f>CHOOSE(jezyk,n!A1664,n!B1664,n!C1664,n!D1660)</f>
        <v>Adres oddziału</v>
      </c>
      <c r="E135" s="1198"/>
      <c r="F135" s="1198"/>
      <c r="G135" s="1198"/>
      <c r="H135" s="1198"/>
      <c r="I135" s="1198"/>
      <c r="J135" s="1198"/>
      <c r="K135" s="1198"/>
      <c r="L135" s="1198"/>
      <c r="M135" s="1198"/>
      <c r="N135" s="1198"/>
      <c r="O135" s="1198"/>
      <c r="P135" s="1198"/>
      <c r="Q135" s="1198"/>
      <c r="R135" s="1198"/>
      <c r="S135" s="1198"/>
      <c r="T135" s="574"/>
      <c r="U135" s="574"/>
      <c r="V135" s="574"/>
      <c r="Y135" s="577"/>
      <c r="Z135" s="577"/>
      <c r="AA135" s="577"/>
      <c r="AB135" s="577"/>
    </row>
    <row r="136" spans="2:28" s="576" customFormat="1">
      <c r="B136" s="573"/>
      <c r="C136" s="574"/>
      <c r="D136" s="574"/>
      <c r="E136" s="574"/>
      <c r="F136" s="574"/>
      <c r="G136" s="574"/>
      <c r="H136" s="574"/>
      <c r="I136" s="574"/>
      <c r="J136" s="574"/>
      <c r="K136" s="574"/>
      <c r="L136" s="574"/>
      <c r="M136" s="574"/>
      <c r="N136" s="574"/>
      <c r="O136" s="574"/>
      <c r="P136" s="574"/>
      <c r="Q136" s="574"/>
      <c r="R136" s="574"/>
      <c r="S136" s="574"/>
      <c r="T136" s="574"/>
      <c r="U136" s="574"/>
      <c r="V136" s="574"/>
      <c r="Y136" s="577"/>
      <c r="Z136" s="577"/>
      <c r="AA136" s="577"/>
      <c r="AB136" s="577"/>
    </row>
    <row r="137" spans="2:28" s="576" customFormat="1">
      <c r="B137" s="573"/>
      <c r="C137" s="603" t="s">
        <v>533</v>
      </c>
      <c r="D137" s="1198" t="str">
        <f>CHOOSE(jezyk,n!A1663,n!B1663,n!C1663,n!D1659)</f>
        <v>Nazwa oddziału</v>
      </c>
      <c r="E137" s="1198"/>
      <c r="F137" s="1198"/>
      <c r="G137" s="1198"/>
      <c r="H137" s="1198"/>
      <c r="I137" s="1198"/>
      <c r="J137" s="1198"/>
      <c r="K137" s="1198"/>
      <c r="L137" s="1198"/>
      <c r="M137" s="1198"/>
      <c r="N137" s="1198"/>
      <c r="O137" s="1198"/>
      <c r="P137" s="1198"/>
      <c r="Q137" s="1198"/>
      <c r="R137" s="1198"/>
      <c r="S137" s="1198"/>
      <c r="T137" s="574"/>
      <c r="U137" s="574"/>
      <c r="V137" s="574"/>
      <c r="Y137" s="577"/>
      <c r="Z137" s="577"/>
      <c r="AA137" s="577"/>
      <c r="AB137" s="577"/>
    </row>
    <row r="138" spans="2:28" s="576" customFormat="1">
      <c r="B138" s="573"/>
      <c r="C138" s="574"/>
      <c r="D138" s="1198" t="str">
        <f>CHOOSE(jezyk,n!A1664,n!B1664,n!C1664,n!D1660)</f>
        <v>Adres oddziału</v>
      </c>
      <c r="E138" s="1198"/>
      <c r="F138" s="1198"/>
      <c r="G138" s="1198"/>
      <c r="H138" s="1198"/>
      <c r="I138" s="1198"/>
      <c r="J138" s="1198"/>
      <c r="K138" s="1198"/>
      <c r="L138" s="1198"/>
      <c r="M138" s="1198"/>
      <c r="N138" s="1198"/>
      <c r="O138" s="1198"/>
      <c r="P138" s="1198"/>
      <c r="Q138" s="1198"/>
      <c r="R138" s="1198"/>
      <c r="S138" s="1198"/>
      <c r="T138" s="574"/>
      <c r="U138" s="574"/>
      <c r="V138" s="574"/>
      <c r="Y138" s="577"/>
      <c r="Z138" s="577"/>
      <c r="AA138" s="577"/>
      <c r="AB138" s="577"/>
    </row>
    <row r="139" spans="2:28" s="576" customFormat="1">
      <c r="B139" s="573"/>
      <c r="C139" s="574"/>
      <c r="D139" s="574"/>
      <c r="E139" s="574"/>
      <c r="F139" s="574"/>
      <c r="G139" s="574"/>
      <c r="H139" s="574"/>
      <c r="I139" s="574"/>
      <c r="J139" s="574"/>
      <c r="K139" s="574"/>
      <c r="L139" s="574"/>
      <c r="M139" s="574"/>
      <c r="N139" s="574"/>
      <c r="O139" s="574"/>
      <c r="P139" s="574"/>
      <c r="Q139" s="574"/>
      <c r="R139" s="574"/>
      <c r="S139" s="574"/>
      <c r="T139" s="574"/>
      <c r="U139" s="574"/>
      <c r="V139" s="574"/>
      <c r="Y139" s="577"/>
      <c r="Z139" s="577"/>
      <c r="AA139" s="577"/>
      <c r="AB139" s="577"/>
    </row>
    <row r="140" spans="2:28" s="576" customFormat="1">
      <c r="B140" s="573"/>
      <c r="C140" s="603" t="s">
        <v>533</v>
      </c>
      <c r="D140" s="1198" t="str">
        <f>CHOOSE(jezyk,n!A1663,n!B1663,n!C1663,n!D1659)</f>
        <v>Nazwa oddziału</v>
      </c>
      <c r="E140" s="1198"/>
      <c r="F140" s="1198"/>
      <c r="G140" s="1198"/>
      <c r="H140" s="1198"/>
      <c r="I140" s="1198"/>
      <c r="J140" s="1198"/>
      <c r="K140" s="1198"/>
      <c r="L140" s="1198"/>
      <c r="M140" s="1198"/>
      <c r="N140" s="1198"/>
      <c r="O140" s="1198"/>
      <c r="P140" s="1198"/>
      <c r="Q140" s="1198"/>
      <c r="R140" s="1198"/>
      <c r="S140" s="1198"/>
      <c r="T140" s="574"/>
      <c r="U140" s="574"/>
      <c r="V140" s="574"/>
      <c r="Y140" s="577"/>
      <c r="Z140" s="577"/>
      <c r="AA140" s="577"/>
      <c r="AB140" s="577"/>
    </row>
    <row r="141" spans="2:28" s="576" customFormat="1">
      <c r="B141" s="573"/>
      <c r="C141" s="574"/>
      <c r="D141" s="1198" t="str">
        <f>CHOOSE(jezyk,n!A1664,n!B1664,n!C1664,n!D1660)</f>
        <v>Adres oddziału</v>
      </c>
      <c r="E141" s="1198"/>
      <c r="F141" s="1198"/>
      <c r="G141" s="1198"/>
      <c r="H141" s="1198"/>
      <c r="I141" s="1198"/>
      <c r="J141" s="1198"/>
      <c r="K141" s="1198"/>
      <c r="L141" s="1198"/>
      <c r="M141" s="1198"/>
      <c r="N141" s="1198"/>
      <c r="O141" s="1198"/>
      <c r="P141" s="1198"/>
      <c r="Q141" s="1198"/>
      <c r="R141" s="1198"/>
      <c r="S141" s="1198"/>
      <c r="T141" s="574"/>
      <c r="U141" s="574"/>
      <c r="V141" s="574"/>
      <c r="Y141" s="577"/>
      <c r="Z141" s="577"/>
      <c r="AA141" s="577"/>
      <c r="AB141" s="577"/>
    </row>
    <row r="142" spans="2:28" s="576" customFormat="1">
      <c r="B142" s="573"/>
      <c r="C142" s="574"/>
      <c r="D142" s="574"/>
      <c r="E142" s="574"/>
      <c r="F142" s="574"/>
      <c r="G142" s="574"/>
      <c r="H142" s="574"/>
      <c r="I142" s="574"/>
      <c r="J142" s="574"/>
      <c r="K142" s="574"/>
      <c r="L142" s="574"/>
      <c r="M142" s="574"/>
      <c r="N142" s="574"/>
      <c r="O142" s="574"/>
      <c r="P142" s="574"/>
      <c r="Q142" s="574"/>
      <c r="R142" s="574"/>
      <c r="S142" s="574"/>
      <c r="T142" s="574"/>
      <c r="U142" s="574"/>
      <c r="V142" s="574"/>
      <c r="Y142" s="577"/>
      <c r="Z142" s="577"/>
      <c r="AA142" s="577"/>
      <c r="AB142" s="577"/>
    </row>
    <row r="143" spans="2:28" s="576" customFormat="1">
      <c r="B143" s="573"/>
      <c r="C143" s="574"/>
      <c r="D143" s="574"/>
      <c r="E143" s="574"/>
      <c r="F143" s="574"/>
      <c r="G143" s="574"/>
      <c r="H143" s="574"/>
      <c r="I143" s="574"/>
      <c r="J143" s="574"/>
      <c r="K143" s="574"/>
      <c r="L143" s="574"/>
      <c r="M143" s="574"/>
      <c r="N143" s="574"/>
      <c r="O143" s="574"/>
      <c r="P143" s="574"/>
      <c r="Q143" s="574"/>
      <c r="R143" s="574"/>
      <c r="S143" s="574"/>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95" t="s">
        <v>1450</v>
      </c>
      <c r="C150" s="584" t="str">
        <f>CHOOSE(jezyk,n!A1481,n!B1481,n!C1481,n!D1477)</f>
        <v>SPRZEDAŻ</v>
      </c>
      <c r="D150" s="574"/>
      <c r="E150" s="574"/>
      <c r="F150" s="574"/>
      <c r="G150" s="574"/>
      <c r="H150" s="574"/>
      <c r="I150" s="574"/>
      <c r="J150" s="574"/>
      <c r="K150" s="574"/>
      <c r="L150" s="574"/>
      <c r="M150" s="574"/>
      <c r="N150" s="574"/>
      <c r="O150" s="574"/>
      <c r="P150" s="574"/>
      <c r="Q150" s="574"/>
      <c r="R150" s="574"/>
      <c r="S150" s="574"/>
      <c r="T150" s="574"/>
      <c r="U150" s="574"/>
      <c r="V150" s="574"/>
      <c r="W150" s="596">
        <v>5</v>
      </c>
      <c r="X150" s="597" t="s">
        <v>1526</v>
      </c>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73"/>
      <c r="C152" s="574"/>
      <c r="D152" s="574"/>
      <c r="E152" s="574"/>
      <c r="F152" s="574"/>
      <c r="G152" s="574"/>
      <c r="H152" s="574"/>
      <c r="I152" s="574"/>
      <c r="J152" s="574"/>
      <c r="K152" s="574"/>
      <c r="L152" s="574"/>
      <c r="M152" s="574"/>
      <c r="N152" s="574"/>
      <c r="O152" s="574"/>
      <c r="P152" s="574"/>
      <c r="Q152" s="574"/>
      <c r="R152" s="574"/>
      <c r="S152" s="574"/>
      <c r="T152" s="574"/>
      <c r="U152" s="574"/>
      <c r="V152" s="574"/>
      <c r="Y152" s="577"/>
      <c r="Z152" s="577"/>
      <c r="AA152" s="577"/>
      <c r="AB152" s="577"/>
    </row>
    <row r="153" spans="2:28" s="576" customFormat="1" ht="13.5" customHeight="1">
      <c r="B153" s="1201" t="str">
        <f>CHOOSE(jezyk,n!A1665,n!B1665,n!C1665,n!D1661)</f>
        <v>Spółka uzyskuje przychody ze sprzedaży usług na terenie kraju i/lub za granicą.</v>
      </c>
      <c r="C153" s="1201"/>
      <c r="D153" s="1201"/>
      <c r="E153" s="1201"/>
      <c r="F153" s="1201"/>
      <c r="G153" s="1201"/>
      <c r="H153" s="1201"/>
      <c r="I153" s="1201"/>
      <c r="J153" s="1201"/>
      <c r="K153" s="1201"/>
      <c r="L153" s="1201"/>
      <c r="M153" s="1201"/>
      <c r="N153" s="1201"/>
      <c r="O153" s="1201"/>
      <c r="P153" s="1201"/>
      <c r="Q153" s="1201"/>
      <c r="R153" s="1201"/>
      <c r="S153" s="1201"/>
      <c r="T153" s="1201"/>
      <c r="U153" s="1201"/>
      <c r="V153" s="1201"/>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9.25" customHeight="1">
      <c r="B155" s="1201" t="str">
        <f>CHOOSE(jezyk,n!A1666,n!B1666,n!C1666,n!D1662)</f>
        <v>Spółka uzyskała w analizowanym okresie wynik netto w wysokości PLN …………..., na który składa się w szczególności ………………….</v>
      </c>
      <c r="C155" s="1201"/>
      <c r="D155" s="1201"/>
      <c r="E155" s="1201"/>
      <c r="F155" s="1201"/>
      <c r="G155" s="1201"/>
      <c r="H155" s="1201"/>
      <c r="I155" s="1201"/>
      <c r="J155" s="1201"/>
      <c r="K155" s="1201"/>
      <c r="L155" s="1201"/>
      <c r="M155" s="1201"/>
      <c r="N155" s="1201"/>
      <c r="O155" s="1201"/>
      <c r="P155" s="1201"/>
      <c r="Q155" s="1201"/>
      <c r="R155" s="1201"/>
      <c r="S155" s="1201"/>
      <c r="T155" s="1201"/>
      <c r="U155" s="1201"/>
      <c r="V155" s="1201"/>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57.75" customHeight="1">
      <c r="B157" s="1201"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157" s="1201"/>
      <c r="D157" s="1201"/>
      <c r="E157" s="1201"/>
      <c r="F157" s="1201"/>
      <c r="G157" s="1201"/>
      <c r="H157" s="1201"/>
      <c r="I157" s="1201"/>
      <c r="J157" s="1201"/>
      <c r="K157" s="1201"/>
      <c r="L157" s="1201"/>
      <c r="M157" s="1201"/>
      <c r="N157" s="1201"/>
      <c r="O157" s="1201"/>
      <c r="P157" s="1201"/>
      <c r="Q157" s="1201"/>
      <c r="R157" s="1201"/>
      <c r="S157" s="1201"/>
      <c r="T157" s="1201"/>
      <c r="U157" s="1201"/>
      <c r="V157" s="1201"/>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573"/>
      <c r="C159" s="574"/>
      <c r="D159" s="574"/>
      <c r="E159" s="574"/>
      <c r="F159" s="574"/>
      <c r="G159" s="574"/>
      <c r="H159" s="574"/>
      <c r="I159" s="574"/>
      <c r="J159" s="574"/>
      <c r="K159" s="574"/>
      <c r="L159" s="574"/>
      <c r="M159" s="574"/>
      <c r="N159" s="574"/>
      <c r="O159" s="574"/>
      <c r="P159" s="574"/>
      <c r="Q159" s="574"/>
      <c r="R159" s="574"/>
      <c r="S159" s="574"/>
      <c r="T159" s="574"/>
      <c r="U159" s="574"/>
      <c r="V159" s="574"/>
      <c r="Y159" s="577"/>
      <c r="Z159" s="577"/>
      <c r="AA159" s="577"/>
      <c r="AB159" s="577"/>
    </row>
    <row r="160" spans="2:28" s="576" customFormat="1">
      <c r="B160" s="573"/>
      <c r="C160" s="574"/>
      <c r="D160" s="574"/>
      <c r="E160" s="574"/>
      <c r="F160" s="574"/>
      <c r="G160" s="574"/>
      <c r="H160" s="574"/>
      <c r="I160" s="574"/>
      <c r="J160" s="574"/>
      <c r="K160" s="574"/>
      <c r="L160" s="574"/>
      <c r="M160" s="574"/>
      <c r="N160" s="574"/>
      <c r="O160" s="600"/>
      <c r="P160" s="600"/>
      <c r="U160" s="600"/>
    </row>
    <row r="161" spans="2:24" s="576" customFormat="1">
      <c r="B161" s="595" t="s">
        <v>782</v>
      </c>
      <c r="C161" s="584" t="str">
        <f>CHOOSE(jezyk,n!A1482,n!B1482,n!C1482,n!D1478)</f>
        <v>PERSONEL</v>
      </c>
      <c r="D161" s="574"/>
      <c r="E161" s="574"/>
      <c r="F161" s="574"/>
      <c r="G161" s="574"/>
      <c r="H161" s="574"/>
      <c r="I161" s="574"/>
      <c r="J161" s="574"/>
      <c r="K161" s="574"/>
      <c r="L161" s="574"/>
      <c r="M161" s="574"/>
      <c r="N161" s="574"/>
      <c r="O161" s="600"/>
      <c r="P161" s="600"/>
      <c r="U161" s="600"/>
      <c r="W161" s="596">
        <v>5</v>
      </c>
      <c r="X161" s="597" t="s">
        <v>1526</v>
      </c>
    </row>
    <row r="162" spans="2:24" s="576" customFormat="1">
      <c r="B162" s="595"/>
      <c r="C162" s="584"/>
      <c r="D162" s="574"/>
      <c r="E162" s="574"/>
      <c r="F162" s="574"/>
      <c r="G162" s="574"/>
      <c r="H162" s="574"/>
      <c r="I162" s="574"/>
      <c r="J162" s="574"/>
      <c r="K162" s="574"/>
      <c r="L162" s="574"/>
      <c r="M162" s="574"/>
      <c r="N162" s="574"/>
      <c r="O162" s="600"/>
      <c r="P162" s="600"/>
      <c r="U162" s="600"/>
    </row>
    <row r="163" spans="2:24" s="576" customFormat="1">
      <c r="B163" s="573"/>
      <c r="C163" s="574"/>
      <c r="D163" s="574"/>
      <c r="E163" s="574"/>
      <c r="F163" s="574"/>
      <c r="G163" s="574"/>
      <c r="H163" s="574"/>
      <c r="I163" s="574"/>
      <c r="J163" s="574"/>
      <c r="K163" s="574"/>
      <c r="L163" s="574"/>
      <c r="M163" s="574"/>
      <c r="N163" s="574"/>
      <c r="O163" s="600"/>
      <c r="P163" s="600"/>
      <c r="U163" s="600"/>
      <c r="W163" s="578"/>
    </row>
    <row r="164" spans="2:24" s="576" customFormat="1">
      <c r="B164" s="1213" t="str">
        <f>CHOOSE(jezyk,n!A1667,n!B1667,n!C1667,n!D1663)</f>
        <v>Na dzień 31.12.2024 w Spółce zatrudnione były/była …………… osoby/ osoba</v>
      </c>
      <c r="C164" s="1213"/>
      <c r="D164" s="1213"/>
      <c r="E164" s="1213"/>
      <c r="F164" s="1213"/>
      <c r="G164" s="1213"/>
      <c r="H164" s="1213"/>
      <c r="I164" s="1213"/>
      <c r="J164" s="1213"/>
      <c r="K164" s="1213"/>
      <c r="L164" s="1213"/>
      <c r="M164" s="1213"/>
      <c r="N164" s="1213"/>
      <c r="O164" s="1213"/>
      <c r="P164" s="1213"/>
      <c r="Q164" s="1213"/>
      <c r="R164" s="1213"/>
      <c r="S164" s="1213"/>
      <c r="T164" s="1213"/>
      <c r="U164" s="1213"/>
      <c r="V164" s="1213"/>
      <c r="W164" s="578"/>
    </row>
    <row r="165" spans="2:24" s="576" customFormat="1" hidden="1">
      <c r="B165" s="573"/>
      <c r="C165" s="574"/>
      <c r="D165" s="574"/>
      <c r="E165" s="574"/>
      <c r="F165" s="574"/>
      <c r="G165" s="574"/>
      <c r="H165" s="574"/>
      <c r="I165" s="575"/>
      <c r="J165" s="575"/>
      <c r="K165" s="574"/>
      <c r="L165" s="574"/>
      <c r="M165" s="575"/>
      <c r="N165" s="575"/>
      <c r="O165" s="606"/>
      <c r="P165" s="606"/>
      <c r="Q165" s="577"/>
      <c r="R165" s="577"/>
      <c r="S165" s="577"/>
      <c r="U165" s="606"/>
      <c r="W165" s="578"/>
    </row>
    <row r="166" spans="2:24" s="576" customFormat="1" hidden="1">
      <c r="B166" s="573"/>
      <c r="C166" s="574"/>
      <c r="D166" s="574"/>
      <c r="E166" s="574"/>
      <c r="F166" s="574"/>
      <c r="G166" s="574"/>
      <c r="H166" s="574"/>
      <c r="I166" s="575"/>
      <c r="J166" s="575"/>
      <c r="K166" s="574"/>
      <c r="L166" s="574"/>
      <c r="M166" s="575"/>
      <c r="N166" s="575"/>
      <c r="O166" s="606"/>
      <c r="P166" s="606"/>
      <c r="Q166" s="577"/>
      <c r="R166" s="577"/>
      <c r="S166" s="577"/>
      <c r="U166" s="606"/>
      <c r="W166" s="578"/>
    </row>
    <row r="167" spans="2:24"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4"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4"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4"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4"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4"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4"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4"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4"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4"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c r="B178" s="573"/>
      <c r="C178" s="1216"/>
      <c r="D178" s="1216"/>
      <c r="E178" s="1216"/>
      <c r="F178" s="1216"/>
      <c r="G178" s="1216"/>
      <c r="H178" s="1216"/>
      <c r="I178" s="1216"/>
      <c r="J178" s="1216"/>
      <c r="K178" s="1216"/>
      <c r="L178" s="1216"/>
      <c r="M178" s="1216"/>
      <c r="N178" s="1216"/>
      <c r="O178" s="1216"/>
      <c r="P178" s="1216"/>
      <c r="Q178" s="1216"/>
      <c r="R178" s="1216"/>
      <c r="S178" s="1216"/>
      <c r="T178" s="1216"/>
      <c r="U178" s="1216"/>
      <c r="V178" s="1216"/>
    </row>
    <row r="179" spans="2:24" s="576" customFormat="1">
      <c r="B179" s="573"/>
      <c r="C179" s="574"/>
      <c r="D179" s="574"/>
      <c r="E179" s="574"/>
      <c r="F179" s="574"/>
      <c r="G179" s="574"/>
      <c r="H179" s="574"/>
      <c r="I179" s="575"/>
      <c r="J179" s="575"/>
      <c r="K179" s="574"/>
      <c r="L179" s="574"/>
      <c r="M179" s="575"/>
      <c r="N179" s="575"/>
      <c r="O179" s="606"/>
      <c r="P179" s="606"/>
      <c r="Q179" s="577"/>
      <c r="R179" s="577"/>
      <c r="S179" s="577"/>
      <c r="U179" s="606"/>
    </row>
    <row r="180" spans="2:24" s="576" customFormat="1" ht="12" customHeight="1">
      <c r="B180" s="595" t="s">
        <v>1452</v>
      </c>
      <c r="C180" s="584" t="str">
        <f>CHOOSE(jezyk,n!A1483,n!B1483,n!C1483,n!D1479)</f>
        <v>ANALIZA FINANSOWA</v>
      </c>
      <c r="D180" s="574"/>
      <c r="E180" s="574"/>
      <c r="F180" s="574"/>
      <c r="G180" s="574"/>
      <c r="H180" s="574"/>
      <c r="I180" s="575"/>
      <c r="J180" s="575"/>
      <c r="K180" s="574"/>
      <c r="L180" s="574"/>
      <c r="M180" s="575"/>
      <c r="N180" s="575"/>
      <c r="O180" s="606"/>
      <c r="P180" s="606"/>
      <c r="Q180" s="577"/>
      <c r="R180" s="577"/>
      <c r="S180" s="577"/>
      <c r="U180" s="606"/>
      <c r="W180" s="596">
        <v>5</v>
      </c>
      <c r="X180" s="597" t="s">
        <v>1526</v>
      </c>
    </row>
    <row r="181" spans="2:24" s="576" customFormat="1" ht="9" customHeigh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75" customHeight="1">
      <c r="B182" s="607"/>
      <c r="C182" s="607"/>
      <c r="D182" s="607"/>
      <c r="E182" s="607"/>
      <c r="F182" s="607"/>
      <c r="G182" s="607"/>
      <c r="H182" s="607"/>
      <c r="I182" s="607"/>
      <c r="J182" s="607"/>
      <c r="K182" s="607"/>
      <c r="L182" s="608"/>
      <c r="M182" s="608"/>
      <c r="N182" s="609"/>
      <c r="O182" s="609"/>
      <c r="P182" s="609"/>
      <c r="Q182" s="609"/>
      <c r="R182" s="609"/>
      <c r="S182" s="609"/>
      <c r="T182" s="609"/>
      <c r="U182" s="609"/>
      <c r="V182" s="609"/>
    </row>
    <row r="183" spans="2:24" s="576" customFormat="1">
      <c r="B183" s="1216"/>
      <c r="C183" s="1216"/>
      <c r="D183" s="1216"/>
      <c r="E183" s="1216"/>
      <c r="F183" s="1215"/>
      <c r="G183" s="1215"/>
      <c r="H183" s="1215"/>
      <c r="I183" s="1215"/>
      <c r="J183" s="1215"/>
      <c r="K183" s="1215"/>
      <c r="L183" s="1215"/>
      <c r="M183" s="1215"/>
      <c r="N183" s="1212"/>
      <c r="O183" s="1212"/>
      <c r="P183" s="1212"/>
      <c r="Q183" s="1212"/>
      <c r="R183" s="1212"/>
      <c r="S183" s="1212"/>
      <c r="T183" s="1212"/>
      <c r="U183" s="1212"/>
      <c r="V183" s="1212"/>
    </row>
    <row r="184" spans="2:24" s="576" customFormat="1" ht="42.75" customHeight="1">
      <c r="B184" s="1201" t="s">
        <v>1779</v>
      </c>
      <c r="C184" s="1201"/>
      <c r="D184" s="1201"/>
      <c r="E184" s="1201"/>
      <c r="F184" s="1201"/>
      <c r="G184" s="1201"/>
      <c r="H184" s="1201"/>
      <c r="I184" s="1201"/>
      <c r="J184" s="1201"/>
      <c r="K184" s="1201"/>
      <c r="L184" s="1201"/>
      <c r="M184" s="1201"/>
      <c r="N184" s="1201"/>
      <c r="O184" s="1201"/>
      <c r="P184" s="1201"/>
      <c r="Q184" s="1201"/>
      <c r="R184" s="1201"/>
      <c r="S184" s="1201"/>
      <c r="T184" s="1201"/>
      <c r="U184" s="1201"/>
      <c r="V184" s="1201"/>
    </row>
    <row r="185" spans="2:24" s="576" customFormat="1" ht="7.5" customHeight="1">
      <c r="B185" s="607"/>
      <c r="C185" s="607"/>
      <c r="D185" s="607"/>
      <c r="E185" s="607"/>
      <c r="F185" s="608"/>
      <c r="G185" s="608"/>
      <c r="H185" s="608"/>
      <c r="I185" s="608"/>
      <c r="J185" s="608"/>
      <c r="K185" s="608"/>
      <c r="L185" s="608"/>
      <c r="M185" s="608"/>
      <c r="N185" s="609"/>
      <c r="O185" s="609"/>
      <c r="P185" s="609"/>
      <c r="Q185" s="609"/>
      <c r="R185" s="609"/>
      <c r="S185" s="609"/>
      <c r="T185" s="609"/>
      <c r="U185" s="609"/>
      <c r="V185" s="609"/>
    </row>
    <row r="186" spans="2:24" s="576" customFormat="1" ht="14.25" customHeight="1">
      <c r="B186" s="605"/>
      <c r="C186" s="605"/>
      <c r="D186" s="605"/>
      <c r="E186" s="605"/>
      <c r="F186" s="605"/>
      <c r="G186" s="605"/>
      <c r="H186" s="605"/>
      <c r="I186" s="605"/>
      <c r="J186" s="605"/>
      <c r="K186" s="605"/>
      <c r="L186" s="605"/>
      <c r="M186" s="605"/>
      <c r="N186" s="605"/>
      <c r="O186" s="605"/>
      <c r="P186" s="605"/>
      <c r="Q186" s="605"/>
      <c r="R186" s="605"/>
      <c r="S186" s="605"/>
      <c r="T186" s="605"/>
      <c r="U186" s="605"/>
      <c r="V186" s="605"/>
      <c r="W186" s="597"/>
    </row>
    <row r="187" spans="2:24" s="576" customFormat="1">
      <c r="B187" s="573"/>
      <c r="C187" s="574"/>
      <c r="D187" s="574"/>
      <c r="E187" s="574"/>
      <c r="F187" s="574"/>
      <c r="G187" s="574"/>
      <c r="H187" s="574"/>
      <c r="I187" s="575"/>
      <c r="J187" s="575"/>
      <c r="K187" s="574"/>
      <c r="L187" s="574"/>
      <c r="M187" s="575"/>
      <c r="N187" s="575"/>
      <c r="O187" s="606"/>
      <c r="P187" s="606"/>
      <c r="Q187" s="577"/>
      <c r="R187" s="577"/>
      <c r="S187" s="577"/>
    </row>
    <row r="188" spans="2:24" s="576" customFormat="1">
      <c r="B188" s="595" t="s">
        <v>1774</v>
      </c>
      <c r="C188" s="584" t="str">
        <f>CHOOSE(jezyk,n!A1484,n!B1484,n!C1484,n!D1480)</f>
        <v>PRZEWIDYWANY ROZWÓJ SPÓŁKI</v>
      </c>
      <c r="D188" s="574"/>
      <c r="E188" s="574"/>
      <c r="F188" s="574"/>
      <c r="G188" s="574"/>
      <c r="H188" s="574"/>
      <c r="I188" s="575"/>
      <c r="J188" s="575"/>
      <c r="K188" s="574"/>
      <c r="L188" s="574"/>
      <c r="M188" s="575"/>
      <c r="N188" s="575"/>
      <c r="O188" s="606"/>
      <c r="P188" s="606"/>
      <c r="Q188" s="577"/>
      <c r="R188" s="577"/>
      <c r="S188" s="577"/>
      <c r="W188" s="596">
        <v>5</v>
      </c>
      <c r="X188" s="597" t="s">
        <v>1526</v>
      </c>
    </row>
    <row r="189" spans="2:24" s="576" customFormat="1">
      <c r="B189" s="573"/>
      <c r="C189" s="574"/>
      <c r="D189" s="574"/>
      <c r="E189" s="574"/>
      <c r="F189" s="574"/>
      <c r="G189" s="574"/>
      <c r="H189" s="574"/>
      <c r="I189" s="575"/>
      <c r="J189" s="575"/>
      <c r="K189" s="574"/>
      <c r="L189" s="574"/>
      <c r="M189" s="575"/>
      <c r="N189" s="575"/>
      <c r="O189" s="606"/>
      <c r="P189" s="606"/>
      <c r="Q189" s="577"/>
      <c r="R189" s="577"/>
      <c r="S189" s="577"/>
    </row>
    <row r="190" spans="2:24" s="576" customFormat="1">
      <c r="B190" s="573"/>
      <c r="C190" s="574"/>
      <c r="D190" s="574"/>
      <c r="E190" s="574"/>
      <c r="F190" s="574"/>
      <c r="G190" s="574"/>
      <c r="H190" s="574"/>
      <c r="I190" s="575"/>
      <c r="J190" s="575"/>
      <c r="K190" s="574"/>
      <c r="L190" s="574"/>
      <c r="M190" s="575"/>
      <c r="N190" s="575"/>
      <c r="O190" s="606"/>
      <c r="P190" s="606"/>
      <c r="Q190" s="577"/>
      <c r="R190" s="577"/>
      <c r="S190" s="577"/>
    </row>
    <row r="191" spans="2:24" s="576" customFormat="1" ht="38.25" customHeight="1">
      <c r="B191" s="1201"/>
      <c r="C191" s="1201"/>
      <c r="D191" s="1201"/>
      <c r="E191" s="1201"/>
      <c r="F191" s="1201"/>
      <c r="G191" s="1201"/>
      <c r="H191" s="1201"/>
      <c r="I191" s="1201"/>
      <c r="J191" s="1201"/>
      <c r="K191" s="1201"/>
      <c r="L191" s="1201"/>
      <c r="M191" s="1201"/>
      <c r="N191" s="1201"/>
      <c r="O191" s="1201"/>
      <c r="P191" s="1201"/>
      <c r="Q191" s="1201"/>
      <c r="R191" s="1201"/>
      <c r="S191" s="1201"/>
      <c r="T191" s="1201"/>
      <c r="U191" s="1201"/>
      <c r="V191" s="1201"/>
    </row>
    <row r="192" spans="2:24" s="576" customFormat="1">
      <c r="B192" s="573"/>
      <c r="C192" s="574"/>
      <c r="D192" s="574"/>
      <c r="E192" s="574"/>
      <c r="F192" s="574"/>
      <c r="G192" s="574"/>
      <c r="H192" s="574"/>
      <c r="I192" s="575"/>
      <c r="J192" s="575"/>
      <c r="K192" s="574"/>
      <c r="L192" s="574"/>
      <c r="M192" s="575"/>
      <c r="N192" s="575"/>
      <c r="O192" s="606"/>
      <c r="P192" s="606"/>
      <c r="Q192" s="577"/>
      <c r="R192" s="577"/>
      <c r="S192" s="577"/>
    </row>
    <row r="193" spans="2:24" s="576" customFormat="1" ht="38.25" customHeight="1">
      <c r="B193" s="1201"/>
      <c r="C193" s="1201"/>
      <c r="D193" s="1201"/>
      <c r="E193" s="1201"/>
      <c r="F193" s="1201"/>
      <c r="G193" s="1201"/>
      <c r="H193" s="1201"/>
      <c r="I193" s="1201"/>
      <c r="J193" s="1201"/>
      <c r="K193" s="1201"/>
      <c r="L193" s="1201"/>
      <c r="M193" s="1201"/>
      <c r="N193" s="1201"/>
      <c r="O193" s="1201"/>
      <c r="P193" s="1201"/>
      <c r="Q193" s="1201"/>
      <c r="R193" s="1201"/>
      <c r="S193" s="1201"/>
      <c r="T193" s="1201"/>
      <c r="U193" s="1201"/>
      <c r="V193" s="1201"/>
    </row>
    <row r="194" spans="2:24" s="576" customFormat="1">
      <c r="B194" s="573"/>
      <c r="C194" s="574"/>
      <c r="D194" s="574"/>
      <c r="E194" s="574"/>
      <c r="F194" s="574"/>
      <c r="G194" s="574"/>
      <c r="H194" s="574"/>
      <c r="I194" s="575"/>
      <c r="J194" s="575"/>
      <c r="K194" s="574"/>
      <c r="L194" s="574"/>
      <c r="M194" s="575"/>
      <c r="N194" s="575"/>
      <c r="O194" s="606"/>
      <c r="P194" s="606"/>
      <c r="Q194" s="577"/>
      <c r="R194" s="577"/>
      <c r="S194" s="577"/>
    </row>
    <row r="195" spans="2:24" s="576" customFormat="1" ht="38.25" customHeight="1">
      <c r="B195" s="1201"/>
      <c r="C195" s="1201"/>
      <c r="D195" s="1201"/>
      <c r="E195" s="1201"/>
      <c r="F195" s="1201"/>
      <c r="G195" s="1201"/>
      <c r="H195" s="1201"/>
      <c r="I195" s="1201"/>
      <c r="J195" s="1201"/>
      <c r="K195" s="1201"/>
      <c r="L195" s="1201"/>
      <c r="M195" s="1201"/>
      <c r="N195" s="1201"/>
      <c r="O195" s="1201"/>
      <c r="P195" s="1201"/>
      <c r="Q195" s="1201"/>
      <c r="R195" s="1201"/>
      <c r="S195" s="1201"/>
      <c r="T195" s="1201"/>
      <c r="U195" s="1201"/>
      <c r="V195" s="1201"/>
    </row>
    <row r="196" spans="2:24" s="576" customFormat="1">
      <c r="B196" s="573"/>
      <c r="C196" s="574"/>
      <c r="D196" s="574"/>
      <c r="E196" s="574"/>
      <c r="F196" s="574"/>
      <c r="G196" s="574"/>
      <c r="H196" s="574"/>
      <c r="I196" s="575"/>
      <c r="J196" s="575"/>
      <c r="K196" s="574"/>
      <c r="L196" s="574"/>
      <c r="M196" s="575"/>
      <c r="N196" s="575"/>
      <c r="O196" s="606"/>
      <c r="P196" s="606"/>
      <c r="Q196" s="577"/>
      <c r="R196" s="577"/>
      <c r="S196" s="577"/>
    </row>
    <row r="197" spans="2:24" s="576" customFormat="1">
      <c r="B197" s="573"/>
      <c r="D197" s="574"/>
      <c r="E197" s="574"/>
      <c r="F197" s="574"/>
      <c r="G197" s="574"/>
      <c r="H197" s="574"/>
      <c r="I197" s="575"/>
      <c r="J197" s="575"/>
      <c r="K197" s="574"/>
      <c r="L197" s="574"/>
      <c r="M197" s="575"/>
      <c r="N197" s="575"/>
      <c r="O197" s="606"/>
      <c r="P197" s="606"/>
      <c r="Q197" s="577"/>
      <c r="R197" s="577"/>
      <c r="S197" s="577"/>
    </row>
    <row r="198" spans="2:24" s="576" customFormat="1" ht="12" customHeight="1">
      <c r="B198" s="595" t="s">
        <v>786</v>
      </c>
      <c r="C198" s="1217" t="str">
        <f>CHOOSE(jezyk,n!A1485,n!B1485,n!C1485,n!D1483)</f>
        <v>CZYNNIKI RYZYKA ZWIĄZANE Z PROWADZONĄ DZIAŁALNOŚCIĄ,  W TYM W ZAKRESIE INSTRUMENTÓW FINANSOWYCH</v>
      </c>
      <c r="D198" s="1217"/>
      <c r="E198" s="1217"/>
      <c r="F198" s="1217"/>
      <c r="G198" s="1217"/>
      <c r="H198" s="1217"/>
      <c r="I198" s="1217"/>
      <c r="J198" s="1217"/>
      <c r="K198" s="1217"/>
      <c r="L198" s="1217"/>
      <c r="M198" s="1217"/>
      <c r="N198" s="1217"/>
      <c r="O198" s="1217"/>
      <c r="P198" s="1217"/>
      <c r="Q198" s="1217"/>
      <c r="R198" s="1217"/>
      <c r="S198" s="1217"/>
      <c r="T198" s="1217"/>
      <c r="U198" s="1217"/>
      <c r="V198" s="1217"/>
      <c r="W198" s="596">
        <v>6</v>
      </c>
      <c r="X198" s="597" t="s">
        <v>1526</v>
      </c>
    </row>
    <row r="199" spans="2:24" s="576" customFormat="1" ht="14.25" customHeight="1">
      <c r="B199" s="595"/>
      <c r="C199" s="1217"/>
      <c r="D199" s="1217"/>
      <c r="E199" s="1217"/>
      <c r="F199" s="1217"/>
      <c r="G199" s="1217"/>
      <c r="H199" s="1217"/>
      <c r="I199" s="1217"/>
      <c r="J199" s="1217"/>
      <c r="K199" s="1217"/>
      <c r="L199" s="1217"/>
      <c r="M199" s="1217"/>
      <c r="N199" s="1217"/>
      <c r="O199" s="1217"/>
      <c r="P199" s="1217"/>
      <c r="Q199" s="1217"/>
      <c r="R199" s="1217"/>
      <c r="S199" s="1217"/>
      <c r="T199" s="1217"/>
      <c r="U199" s="1217"/>
      <c r="V199" s="1217"/>
    </row>
    <row r="200" spans="2:24" s="576" customFormat="1" ht="14.25" customHeight="1">
      <c r="B200" s="573"/>
      <c r="C200" s="574"/>
      <c r="D200" s="574"/>
      <c r="E200" s="574"/>
      <c r="F200" s="574"/>
      <c r="G200" s="574"/>
      <c r="H200" s="574"/>
      <c r="I200" s="575"/>
      <c r="J200" s="575"/>
      <c r="K200" s="574"/>
      <c r="L200" s="574"/>
      <c r="M200" s="575"/>
      <c r="N200" s="575"/>
      <c r="O200" s="606"/>
      <c r="P200" s="606"/>
      <c r="Q200" s="577"/>
      <c r="R200" s="577"/>
      <c r="S200" s="577"/>
      <c r="U200" s="606"/>
    </row>
    <row r="201" spans="2:24" s="576" customFormat="1" ht="38.25" customHeight="1">
      <c r="B201" s="1216" t="s">
        <v>1775</v>
      </c>
      <c r="C201" s="1216"/>
      <c r="D201" s="1216"/>
      <c r="E201" s="1216"/>
      <c r="F201" s="1216"/>
      <c r="G201" s="1216"/>
      <c r="H201" s="1216"/>
      <c r="I201" s="1216"/>
      <c r="J201" s="1216"/>
      <c r="K201" s="1216"/>
      <c r="L201" s="1216"/>
      <c r="M201" s="1216"/>
      <c r="N201" s="1216"/>
      <c r="O201" s="1216"/>
      <c r="P201" s="1216"/>
      <c r="Q201" s="1216"/>
      <c r="R201" s="1216"/>
      <c r="S201" s="1216"/>
      <c r="T201" s="1216"/>
      <c r="U201" s="1216"/>
      <c r="V201" s="1216"/>
      <c r="W201" s="131" t="s">
        <v>2450</v>
      </c>
    </row>
    <row r="202" spans="2:24" s="576" customFormat="1" ht="38.25" customHeight="1">
      <c r="B202" s="1216" t="s">
        <v>1776</v>
      </c>
      <c r="C202" s="1216"/>
      <c r="D202" s="1216"/>
      <c r="E202" s="1216"/>
      <c r="F202" s="1216"/>
      <c r="G202" s="1216"/>
      <c r="H202" s="1216"/>
      <c r="I202" s="1216"/>
      <c r="J202" s="1216"/>
      <c r="K202" s="1216"/>
      <c r="L202" s="1216"/>
      <c r="M202" s="1216"/>
      <c r="N202" s="1216"/>
      <c r="O202" s="1216"/>
      <c r="P202" s="1216"/>
      <c r="Q202" s="1216"/>
      <c r="R202" s="1216"/>
      <c r="S202" s="1216"/>
      <c r="T202" s="1216"/>
      <c r="U202" s="1216"/>
      <c r="V202" s="1216"/>
      <c r="W202" s="131" t="s">
        <v>2450</v>
      </c>
    </row>
    <row r="203" spans="2:24" s="576" customFormat="1" ht="12.75" customHeight="1">
      <c r="B203" s="573"/>
      <c r="C203" s="574"/>
      <c r="D203" s="574"/>
      <c r="E203" s="574"/>
      <c r="F203" s="574"/>
      <c r="G203" s="574"/>
      <c r="H203" s="574"/>
      <c r="I203" s="575"/>
      <c r="J203" s="575"/>
      <c r="K203" s="574"/>
      <c r="L203" s="574"/>
      <c r="M203" s="575"/>
      <c r="N203" s="575"/>
      <c r="O203" s="606"/>
      <c r="P203" s="606"/>
      <c r="Q203" s="577"/>
      <c r="R203" s="577"/>
      <c r="S203" s="577"/>
      <c r="U203" s="606"/>
    </row>
    <row r="204" spans="2:24" s="576" customFormat="1" ht="38.25" customHeight="1">
      <c r="B204" s="1201"/>
      <c r="C204" s="1201"/>
      <c r="D204" s="1201"/>
      <c r="E204" s="1201"/>
      <c r="F204" s="1201"/>
      <c r="G204" s="1201"/>
      <c r="H204" s="1201"/>
      <c r="I204" s="1201"/>
      <c r="J204" s="1201"/>
      <c r="K204" s="1201"/>
      <c r="L204" s="1201"/>
      <c r="M204" s="1201"/>
      <c r="N204" s="1201"/>
      <c r="O204" s="1201"/>
      <c r="P204" s="1201"/>
      <c r="Q204" s="1201"/>
      <c r="R204" s="1201"/>
      <c r="S204" s="1201"/>
      <c r="T204" s="1201"/>
      <c r="U204" s="1201"/>
      <c r="V204" s="1201"/>
    </row>
    <row r="205" spans="2:24" s="576" customFormat="1">
      <c r="B205" s="607"/>
      <c r="C205" s="1216" t="str">
        <f>CHOOSE(jezyk,n!A1486,n!B1486,n!C1486,n!D1484)</f>
        <v>Czynniki ryzyka związane z instrumentami finansowymi</v>
      </c>
      <c r="D205" s="1216"/>
      <c r="E205" s="1216"/>
      <c r="F205" s="1216"/>
      <c r="G205" s="1216"/>
      <c r="H205" s="1216"/>
      <c r="I205" s="1216"/>
      <c r="J205" s="1216"/>
      <c r="K205" s="1216"/>
      <c r="L205" s="1216"/>
      <c r="M205" s="1216"/>
      <c r="N205" s="1216"/>
      <c r="O205" s="1216"/>
      <c r="P205" s="1216"/>
      <c r="Q205" s="1216"/>
      <c r="R205" s="1216"/>
      <c r="S205" s="1216"/>
      <c r="T205" s="1216"/>
      <c r="U205" s="1216"/>
      <c r="V205" s="1216"/>
    </row>
    <row r="206" spans="2:24" s="576" customFormat="1" ht="38.25" customHeight="1">
      <c r="B206" s="610"/>
      <c r="C206" s="610"/>
      <c r="D206" s="610"/>
      <c r="E206" s="610"/>
      <c r="F206" s="610"/>
      <c r="G206" s="610"/>
      <c r="H206" s="610"/>
      <c r="I206" s="610"/>
      <c r="J206" s="610"/>
      <c r="K206" s="610"/>
      <c r="L206" s="610"/>
      <c r="M206" s="610"/>
      <c r="N206" s="610"/>
      <c r="O206" s="610"/>
      <c r="P206" s="610"/>
      <c r="Q206" s="610"/>
      <c r="R206" s="610"/>
      <c r="S206" s="610"/>
      <c r="T206" s="610"/>
      <c r="U206" s="610"/>
      <c r="V206" s="610"/>
    </row>
    <row r="207" spans="2:24" s="576" customFormat="1" ht="12.75" customHeight="1">
      <c r="B207" s="607"/>
      <c r="C207" s="607"/>
      <c r="D207" s="607"/>
      <c r="E207" s="607"/>
      <c r="F207" s="607"/>
      <c r="G207" s="607"/>
      <c r="H207" s="607"/>
      <c r="I207" s="607"/>
      <c r="J207" s="607"/>
      <c r="K207" s="607"/>
      <c r="L207" s="607"/>
      <c r="M207" s="607"/>
      <c r="N207" s="607"/>
      <c r="O207" s="607"/>
      <c r="P207" s="607"/>
      <c r="Q207" s="607"/>
      <c r="R207" s="607"/>
      <c r="S207" s="607"/>
      <c r="T207" s="607"/>
      <c r="U207" s="607"/>
      <c r="V207" s="607"/>
    </row>
    <row r="208" spans="2:24" s="576" customFormat="1" ht="12.75" customHeight="1">
      <c r="B208" s="573"/>
      <c r="C208" s="574"/>
      <c r="D208" s="574"/>
      <c r="E208" s="574"/>
      <c r="F208" s="574"/>
      <c r="G208" s="574"/>
      <c r="H208" s="574"/>
      <c r="I208" s="575"/>
      <c r="J208" s="575"/>
      <c r="K208" s="574"/>
      <c r="L208" s="574"/>
      <c r="M208" s="575"/>
      <c r="N208" s="575"/>
      <c r="O208" s="606"/>
      <c r="P208" s="606"/>
      <c r="Q208" s="577"/>
      <c r="R208" s="577"/>
      <c r="S208" s="577"/>
      <c r="U208" s="606"/>
    </row>
    <row r="209" spans="2:24" s="576" customFormat="1" ht="12.75" customHeight="1">
      <c r="B209" s="595" t="s">
        <v>93</v>
      </c>
      <c r="C209" s="584" t="str">
        <f>CHOOSE(jezyk,n!A1487,n!B1487,n!C1487,n!D1482)</f>
        <v>WAŻNIEJSZE OSIĄGNIĘCIA W DZIEDZINIE BADAŃ I ROZWOJU</v>
      </c>
      <c r="D209" s="574"/>
      <c r="E209" s="574"/>
      <c r="F209" s="574"/>
      <c r="G209" s="574"/>
      <c r="H209" s="574"/>
      <c r="I209" s="575"/>
      <c r="J209" s="575"/>
      <c r="K209" s="574"/>
      <c r="L209" s="574"/>
      <c r="M209" s="575"/>
      <c r="N209" s="575"/>
      <c r="O209" s="606"/>
      <c r="P209" s="606"/>
      <c r="Q209" s="577"/>
      <c r="R209" s="577"/>
      <c r="S209" s="577"/>
      <c r="U209" s="606"/>
      <c r="W209" s="596">
        <v>6</v>
      </c>
      <c r="X209" s="597" t="s">
        <v>1526</v>
      </c>
    </row>
    <row r="210" spans="2:24" s="576" customFormat="1" ht="12.75" customHeight="1">
      <c r="B210" s="573"/>
      <c r="C210" s="574"/>
      <c r="D210" s="574"/>
      <c r="E210" s="574"/>
      <c r="F210" s="574"/>
      <c r="G210" s="574"/>
      <c r="H210" s="574"/>
      <c r="I210" s="575"/>
      <c r="J210" s="575"/>
      <c r="K210" s="574"/>
      <c r="L210" s="574"/>
      <c r="M210" s="575"/>
      <c r="N210" s="575"/>
      <c r="O210" s="606"/>
      <c r="P210" s="606"/>
      <c r="Q210" s="577"/>
      <c r="R210" s="577"/>
      <c r="S210" s="577"/>
      <c r="U210" s="606"/>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38.25" customHeight="1">
      <c r="B212" s="1201" t="s">
        <v>1777</v>
      </c>
      <c r="C212" s="1201"/>
      <c r="D212" s="1201"/>
      <c r="E212" s="1201"/>
      <c r="F212" s="1201"/>
      <c r="G212" s="1201"/>
      <c r="H212" s="1201"/>
      <c r="I212" s="1201"/>
      <c r="J212" s="1201"/>
      <c r="K212" s="1201"/>
      <c r="L212" s="1201"/>
      <c r="M212" s="1201"/>
      <c r="N212" s="1201"/>
      <c r="O212" s="1201"/>
      <c r="P212" s="1201"/>
      <c r="Q212" s="1201"/>
      <c r="R212" s="1201"/>
      <c r="S212" s="1201"/>
      <c r="T212" s="1201"/>
      <c r="U212" s="1201"/>
      <c r="V212" s="1201"/>
    </row>
    <row r="213" spans="2:24" s="576" customFormat="1" ht="12.75" customHeight="1">
      <c r="B213" s="573"/>
      <c r="C213" s="574"/>
      <c r="D213" s="574"/>
      <c r="E213" s="574"/>
      <c r="F213" s="574"/>
      <c r="G213" s="574"/>
      <c r="H213" s="574"/>
      <c r="I213" s="575"/>
      <c r="J213" s="575"/>
      <c r="K213" s="574"/>
      <c r="L213" s="574"/>
      <c r="M213" s="575"/>
      <c r="N213" s="575"/>
      <c r="O213" s="606"/>
      <c r="P213" s="606"/>
      <c r="Q213" s="577"/>
      <c r="R213" s="577"/>
      <c r="S213" s="577"/>
      <c r="U213" s="606"/>
    </row>
    <row r="214" spans="2:24" s="576" customFormat="1" ht="38.25" customHeight="1">
      <c r="B214" s="1201"/>
      <c r="C214" s="1201"/>
      <c r="D214" s="1201"/>
      <c r="E214" s="1201"/>
      <c r="F214" s="1201"/>
      <c r="G214" s="1201"/>
      <c r="H214" s="1201"/>
      <c r="I214" s="1201"/>
      <c r="J214" s="1201"/>
      <c r="K214" s="1201"/>
      <c r="L214" s="1201"/>
      <c r="M214" s="1201"/>
      <c r="N214" s="1201"/>
      <c r="O214" s="1201"/>
      <c r="P214" s="1201"/>
      <c r="Q214" s="1201"/>
      <c r="R214" s="1201"/>
      <c r="S214" s="1201"/>
      <c r="T214" s="1201"/>
      <c r="U214" s="1201"/>
      <c r="V214" s="1201"/>
    </row>
    <row r="215" spans="2:24" s="576" customFormat="1" ht="12.75" customHeight="1">
      <c r="B215" s="573"/>
      <c r="C215" s="574"/>
      <c r="D215" s="574"/>
      <c r="E215" s="574"/>
      <c r="F215" s="574"/>
      <c r="G215" s="574"/>
      <c r="H215" s="574"/>
      <c r="I215" s="575"/>
      <c r="J215" s="575"/>
      <c r="K215" s="574"/>
      <c r="L215" s="574"/>
      <c r="M215" s="575"/>
      <c r="N215" s="575"/>
      <c r="O215" s="606"/>
      <c r="P215" s="606"/>
      <c r="Q215" s="577"/>
      <c r="R215" s="577"/>
      <c r="S215" s="577"/>
      <c r="U215" s="606"/>
    </row>
    <row r="216" spans="2:24" s="576" customFormat="1" ht="38.25" customHeight="1">
      <c r="B216" s="1201"/>
      <c r="C216" s="1201"/>
      <c r="D216" s="1201"/>
      <c r="E216" s="1201"/>
      <c r="F216" s="1201"/>
      <c r="G216" s="1201"/>
      <c r="H216" s="1201"/>
      <c r="I216" s="1201"/>
      <c r="J216" s="1201"/>
      <c r="K216" s="1201"/>
      <c r="L216" s="1201"/>
      <c r="M216" s="1201"/>
      <c r="N216" s="1201"/>
      <c r="O216" s="1201"/>
      <c r="P216" s="1201"/>
      <c r="Q216" s="1201"/>
      <c r="R216" s="1201"/>
      <c r="S216" s="1201"/>
      <c r="T216" s="1201"/>
      <c r="U216" s="1201"/>
      <c r="V216" s="1201"/>
    </row>
    <row r="217" spans="2:24" s="576" customFormat="1" ht="12.75" customHeight="1">
      <c r="B217" s="573"/>
      <c r="C217" s="574"/>
      <c r="D217" s="574"/>
      <c r="E217" s="574"/>
      <c r="F217" s="574"/>
      <c r="G217" s="574"/>
      <c r="H217" s="574"/>
      <c r="I217" s="575"/>
      <c r="J217" s="575"/>
      <c r="K217" s="574"/>
      <c r="L217" s="574"/>
      <c r="M217" s="575"/>
      <c r="N217" s="575"/>
      <c r="O217" s="606"/>
      <c r="P217" s="606"/>
      <c r="Q217" s="577"/>
      <c r="R217" s="577"/>
      <c r="S217" s="577"/>
      <c r="U217" s="606"/>
    </row>
    <row r="218" spans="2:24" s="576" customFormat="1" ht="12.75" customHeight="1">
      <c r="B218" s="573"/>
      <c r="C218" s="574"/>
      <c r="D218" s="574"/>
      <c r="E218" s="574"/>
      <c r="F218" s="574"/>
      <c r="G218" s="574"/>
      <c r="H218" s="574"/>
      <c r="I218" s="575"/>
      <c r="J218" s="575"/>
      <c r="K218" s="574"/>
      <c r="L218" s="574"/>
      <c r="M218" s="575"/>
      <c r="N218" s="575"/>
      <c r="O218" s="606"/>
      <c r="P218" s="606"/>
      <c r="Q218" s="577"/>
      <c r="R218" s="577"/>
      <c r="S218" s="577"/>
      <c r="U218" s="606"/>
    </row>
    <row r="219" spans="2:24" s="576" customFormat="1" ht="12.75" customHeight="1">
      <c r="B219" s="595" t="s">
        <v>1507</v>
      </c>
      <c r="C219" s="584" t="str">
        <f>CHOOSE(jezyk,n!A1488,n!B1488,n!C1488,n!D1483)</f>
        <v>INFORMACJE O NABYCIU UDZIAŁÓW (AKCJI) WŁASNYCH</v>
      </c>
      <c r="D219" s="574"/>
      <c r="E219" s="574"/>
      <c r="F219" s="574"/>
      <c r="G219" s="574"/>
      <c r="H219" s="574"/>
      <c r="I219" s="575"/>
      <c r="J219" s="575"/>
      <c r="K219" s="574"/>
      <c r="L219" s="574"/>
      <c r="M219" s="575"/>
      <c r="N219" s="575"/>
      <c r="O219" s="606"/>
      <c r="P219" s="606"/>
      <c r="Q219" s="577"/>
      <c r="R219" s="577"/>
      <c r="S219" s="577"/>
      <c r="U219" s="606"/>
      <c r="W219" s="596">
        <v>6</v>
      </c>
      <c r="X219" s="597" t="s">
        <v>1526</v>
      </c>
    </row>
    <row r="220" spans="2:24" s="576" customFormat="1" ht="12.75" customHeight="1">
      <c r="B220" s="573"/>
      <c r="C220" s="574"/>
      <c r="D220" s="574"/>
      <c r="E220" s="574"/>
      <c r="F220" s="574"/>
      <c r="G220" s="574"/>
      <c r="H220" s="574"/>
      <c r="I220" s="575"/>
      <c r="J220" s="575"/>
      <c r="K220" s="574"/>
      <c r="L220" s="574"/>
      <c r="M220" s="575"/>
      <c r="N220" s="575"/>
      <c r="O220" s="606"/>
      <c r="P220" s="606"/>
      <c r="Q220" s="577"/>
      <c r="R220" s="577"/>
      <c r="S220" s="577"/>
      <c r="U220" s="606"/>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38.25" customHeight="1">
      <c r="B222" s="1216" t="s">
        <v>1772</v>
      </c>
      <c r="C222" s="1216"/>
      <c r="D222" s="1216"/>
      <c r="E222" s="1216"/>
      <c r="F222" s="1216"/>
      <c r="G222" s="1216"/>
      <c r="H222" s="1216"/>
      <c r="I222" s="1216"/>
      <c r="J222" s="1216"/>
      <c r="K222" s="1216"/>
      <c r="L222" s="1216"/>
      <c r="M222" s="1216"/>
      <c r="N222" s="1216"/>
      <c r="O222" s="1216"/>
      <c r="P222" s="1216"/>
      <c r="Q222" s="1216"/>
      <c r="R222" s="1216"/>
      <c r="S222" s="1216"/>
      <c r="T222" s="1216"/>
      <c r="U222" s="1216"/>
      <c r="V222" s="1216"/>
      <c r="W222" s="131" t="s">
        <v>2450</v>
      </c>
    </row>
    <row r="223" spans="2:24" s="576" customFormat="1" ht="38.25" customHeight="1">
      <c r="B223" s="1201"/>
      <c r="C223" s="1201"/>
      <c r="D223" s="1201"/>
      <c r="E223" s="1201"/>
      <c r="F223" s="1201"/>
      <c r="G223" s="1201"/>
      <c r="H223" s="1201"/>
      <c r="I223" s="1201"/>
      <c r="J223" s="1201"/>
      <c r="K223" s="1201"/>
      <c r="L223" s="1201"/>
      <c r="M223" s="1201"/>
      <c r="N223" s="1201"/>
      <c r="O223" s="1201"/>
      <c r="P223" s="1201"/>
      <c r="Q223" s="1201"/>
      <c r="R223" s="1201"/>
      <c r="S223" s="1201"/>
      <c r="T223" s="1201"/>
      <c r="U223" s="1201"/>
      <c r="V223" s="1201"/>
    </row>
    <row r="224" spans="2:24" s="576" customFormat="1" ht="12.75" customHeight="1">
      <c r="B224" s="573"/>
      <c r="C224" s="574"/>
      <c r="D224" s="574"/>
      <c r="E224" s="574"/>
      <c r="F224" s="574"/>
      <c r="G224" s="574"/>
      <c r="H224" s="574"/>
      <c r="I224" s="575"/>
      <c r="J224" s="575"/>
      <c r="K224" s="574"/>
      <c r="L224" s="574"/>
      <c r="M224" s="575"/>
      <c r="N224" s="575"/>
      <c r="O224" s="606"/>
      <c r="P224" s="606"/>
      <c r="Q224" s="577"/>
      <c r="R224" s="577"/>
      <c r="S224" s="577"/>
      <c r="U224" s="606"/>
    </row>
    <row r="225" spans="2:24" s="576" customFormat="1" ht="38.25" customHeight="1">
      <c r="B225" s="1201"/>
      <c r="C225" s="1201"/>
      <c r="D225" s="1201"/>
      <c r="E225" s="1201"/>
      <c r="F225" s="1201"/>
      <c r="G225" s="1201"/>
      <c r="H225" s="1201"/>
      <c r="I225" s="1201"/>
      <c r="J225" s="1201"/>
      <c r="K225" s="1201"/>
      <c r="L225" s="1201"/>
      <c r="M225" s="1201"/>
      <c r="N225" s="1201"/>
      <c r="O225" s="1201"/>
      <c r="P225" s="1201"/>
      <c r="Q225" s="1201"/>
      <c r="R225" s="1201"/>
      <c r="S225" s="1201"/>
      <c r="T225" s="1201"/>
      <c r="U225" s="1201"/>
      <c r="V225" s="1201"/>
    </row>
    <row r="226" spans="2:24" s="576" customFormat="1" ht="12.75" customHeight="1">
      <c r="B226" s="573"/>
      <c r="C226" s="574"/>
      <c r="D226" s="574"/>
      <c r="E226" s="574"/>
      <c r="F226" s="574"/>
      <c r="G226" s="574"/>
      <c r="H226" s="574"/>
      <c r="I226" s="575"/>
      <c r="J226" s="575"/>
      <c r="K226" s="574"/>
      <c r="L226" s="574"/>
      <c r="M226" s="575"/>
      <c r="N226" s="575"/>
      <c r="O226" s="606"/>
      <c r="P226" s="606"/>
      <c r="Q226" s="577"/>
      <c r="R226" s="577"/>
      <c r="S226" s="577"/>
      <c r="U226" s="606"/>
    </row>
    <row r="227" spans="2:24" s="576" customFormat="1" ht="12" customHeight="1">
      <c r="B227" s="595" t="s">
        <v>1508</v>
      </c>
      <c r="C227" s="584" t="str">
        <f>CHOOSE(jezyk,n!A1490,n!B1490,n!C1490,n!D1486)</f>
        <v>PODSUMOWANIE</v>
      </c>
      <c r="D227" s="574"/>
      <c r="E227" s="574"/>
      <c r="F227" s="574"/>
      <c r="G227" s="574"/>
      <c r="H227" s="574"/>
      <c r="I227" s="575"/>
      <c r="J227" s="575"/>
      <c r="K227" s="574"/>
      <c r="L227" s="574"/>
      <c r="M227" s="575"/>
      <c r="N227" s="575"/>
      <c r="O227" s="606"/>
      <c r="P227" s="606"/>
      <c r="Q227" s="577"/>
      <c r="R227" s="577"/>
      <c r="S227" s="577"/>
      <c r="U227" s="606"/>
      <c r="W227" s="596">
        <v>7</v>
      </c>
      <c r="X227" s="597" t="s">
        <v>1526</v>
      </c>
    </row>
    <row r="228" spans="2:24" s="576" customFormat="1" ht="14.2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c r="B229" s="573"/>
      <c r="C229" s="574"/>
      <c r="D229" s="574"/>
      <c r="E229" s="574"/>
      <c r="F229" s="574"/>
      <c r="G229" s="574"/>
      <c r="H229" s="574"/>
      <c r="I229" s="575"/>
      <c r="J229" s="575"/>
      <c r="K229" s="574"/>
      <c r="L229" s="574"/>
      <c r="M229" s="575"/>
      <c r="N229" s="575"/>
      <c r="O229" s="606"/>
      <c r="P229" s="606"/>
      <c r="Q229" s="577"/>
      <c r="R229" s="577"/>
      <c r="S229" s="577"/>
    </row>
    <row r="230" spans="2:24" s="576" customFormat="1" ht="38.25" customHeight="1">
      <c r="B230" s="1211"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0" s="1211"/>
      <c r="D230" s="1211"/>
      <c r="E230" s="1211"/>
      <c r="F230" s="1211"/>
      <c r="G230" s="1211"/>
      <c r="H230" s="1211"/>
      <c r="I230" s="1211"/>
      <c r="J230" s="1211"/>
      <c r="K230" s="1211"/>
      <c r="L230" s="1211"/>
      <c r="M230" s="1211"/>
      <c r="N230" s="1211"/>
      <c r="O230" s="1211"/>
      <c r="P230" s="1211"/>
      <c r="Q230" s="1211"/>
      <c r="R230" s="1211"/>
      <c r="S230" s="1211"/>
      <c r="T230" s="1211"/>
      <c r="U230" s="1211"/>
      <c r="V230" s="1211"/>
    </row>
    <row r="231" spans="2:24" s="576" customFormat="1">
      <c r="B231" s="573"/>
      <c r="C231" s="574"/>
      <c r="D231" s="574"/>
      <c r="E231" s="574"/>
      <c r="F231" s="574"/>
      <c r="G231" s="574"/>
      <c r="H231" s="574"/>
      <c r="I231" s="575"/>
      <c r="J231" s="575"/>
      <c r="K231" s="574"/>
      <c r="L231" s="574"/>
      <c r="M231" s="575"/>
      <c r="N231" s="575"/>
      <c r="O231" s="606"/>
      <c r="P231" s="606"/>
      <c r="Q231" s="577"/>
      <c r="R231" s="577"/>
      <c r="S231" s="577"/>
    </row>
    <row r="232" spans="2:24" s="576" customFormat="1" ht="38.25" customHeight="1">
      <c r="B232" s="1211"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32" s="1211"/>
      <c r="D232" s="1211"/>
      <c r="E232" s="1211"/>
      <c r="F232" s="1211"/>
      <c r="G232" s="1211"/>
      <c r="H232" s="1211"/>
      <c r="I232" s="1211"/>
      <c r="J232" s="1211"/>
      <c r="K232" s="1211"/>
      <c r="L232" s="1211"/>
      <c r="M232" s="1211"/>
      <c r="N232" s="1211"/>
      <c r="O232" s="1211"/>
      <c r="P232" s="1211"/>
      <c r="Q232" s="1211"/>
      <c r="R232" s="1211"/>
      <c r="S232" s="1211"/>
      <c r="T232" s="1211"/>
      <c r="U232" s="1211"/>
      <c r="V232" s="1211"/>
    </row>
    <row r="233" spans="2:24" s="576" customFormat="1" ht="14.25" customHeight="1">
      <c r="B233" s="611"/>
      <c r="C233" s="611"/>
      <c r="D233" s="611"/>
      <c r="E233" s="611"/>
      <c r="F233" s="611"/>
      <c r="G233" s="611"/>
      <c r="H233" s="611"/>
      <c r="I233" s="611"/>
      <c r="J233" s="611"/>
      <c r="K233" s="611"/>
      <c r="L233" s="611"/>
      <c r="M233" s="611"/>
      <c r="N233" s="611"/>
      <c r="O233" s="611"/>
      <c r="P233" s="611"/>
      <c r="Q233" s="611"/>
      <c r="R233" s="611"/>
      <c r="S233" s="611"/>
      <c r="T233" s="611"/>
      <c r="U233" s="611"/>
      <c r="V233" s="611"/>
    </row>
    <row r="234" spans="2:24" s="576" customFormat="1" ht="14.25" customHeight="1">
      <c r="B234" s="611"/>
      <c r="C234" s="611"/>
      <c r="D234" s="611"/>
      <c r="E234" s="611"/>
      <c r="F234" s="611"/>
      <c r="G234" s="611"/>
      <c r="H234" s="611"/>
      <c r="I234" s="611"/>
      <c r="J234" s="611"/>
      <c r="K234" s="611"/>
      <c r="L234" s="611"/>
      <c r="M234" s="611"/>
      <c r="N234" s="611"/>
      <c r="O234" s="611"/>
      <c r="P234" s="611"/>
      <c r="Q234" s="611"/>
      <c r="R234" s="611"/>
      <c r="S234" s="611"/>
      <c r="T234" s="611"/>
      <c r="U234" s="611"/>
      <c r="V234" s="611"/>
    </row>
    <row r="235" spans="2:24" s="576" customFormat="1" ht="14.25" customHeight="1">
      <c r="B235" s="611"/>
      <c r="C235" s="611"/>
      <c r="D235" s="611"/>
      <c r="E235" s="611"/>
      <c r="F235" s="611"/>
      <c r="G235" s="611"/>
      <c r="H235" s="611"/>
      <c r="I235" s="611"/>
      <c r="J235" s="611"/>
      <c r="K235" s="611"/>
      <c r="L235" s="611"/>
      <c r="M235" s="611"/>
      <c r="N235" s="611"/>
      <c r="O235" s="611"/>
      <c r="P235" s="611"/>
      <c r="Q235" s="611"/>
      <c r="R235" s="611"/>
      <c r="S235" s="611"/>
      <c r="T235" s="611"/>
      <c r="U235" s="611"/>
      <c r="V235" s="611"/>
    </row>
    <row r="236" spans="2:24" s="576" customFormat="1">
      <c r="B236" s="1204" t="str">
        <f>GA!D19 &amp;", " &amp;GA!D53</f>
        <v>Warszawa, 28.02.2025</v>
      </c>
      <c r="C236" s="1204"/>
      <c r="D236" s="1204"/>
      <c r="E236" s="1204"/>
      <c r="F236" s="1204"/>
      <c r="G236" s="1204"/>
      <c r="H236" s="1204"/>
      <c r="I236" s="1204"/>
      <c r="J236" s="575"/>
      <c r="K236" s="574"/>
      <c r="L236" s="574"/>
      <c r="M236" s="575"/>
      <c r="N236" s="575"/>
      <c r="O236" s="606"/>
      <c r="P236" s="606"/>
      <c r="Q236" s="606"/>
      <c r="R236" s="606"/>
      <c r="S236" s="606"/>
      <c r="T236" s="606"/>
      <c r="U236" s="606"/>
      <c r="V236" s="606"/>
    </row>
    <row r="237" spans="2:24" s="576" customFormat="1">
      <c r="B237" s="573"/>
      <c r="C237" s="574"/>
      <c r="D237" s="574"/>
      <c r="E237" s="574"/>
      <c r="F237" s="574"/>
      <c r="G237" s="574"/>
      <c r="H237" s="574"/>
      <c r="I237" s="575"/>
      <c r="J237" s="575"/>
      <c r="K237" s="574"/>
      <c r="L237" s="574"/>
      <c r="M237" s="575"/>
      <c r="N237" s="575"/>
      <c r="O237" s="606"/>
      <c r="P237" s="606"/>
      <c r="Q237" s="606"/>
      <c r="R237" s="606"/>
      <c r="S237" s="606"/>
      <c r="T237" s="606"/>
      <c r="U237" s="606"/>
      <c r="V237" s="606"/>
    </row>
    <row r="238" spans="2:24" s="576" customFormat="1">
      <c r="B238" s="574" t="str">
        <f>nazwa_spolki</f>
        <v>Rhenus Digital Workforce Sp. z o.o.</v>
      </c>
      <c r="C238" s="574"/>
      <c r="D238" s="574"/>
      <c r="E238" s="574"/>
      <c r="F238" s="574"/>
      <c r="G238" s="574"/>
      <c r="H238" s="574"/>
      <c r="I238" s="575"/>
      <c r="J238" s="575"/>
      <c r="K238" s="574"/>
      <c r="L238" s="603"/>
      <c r="M238" s="603"/>
      <c r="N238" s="603"/>
      <c r="O238" s="606"/>
      <c r="P238" s="574"/>
      <c r="Q238" s="603"/>
      <c r="R238" s="606"/>
      <c r="S238" s="606"/>
      <c r="T238" s="606"/>
      <c r="U238" s="606"/>
      <c r="V238" s="606"/>
    </row>
    <row r="239" spans="2:24" s="576" customFormat="1">
      <c r="B239" s="573"/>
      <c r="C239" s="574"/>
      <c r="D239" s="574"/>
      <c r="E239" s="574"/>
      <c r="F239" s="574"/>
      <c r="G239" s="574"/>
      <c r="H239" s="574"/>
      <c r="I239" s="575"/>
      <c r="J239" s="575"/>
      <c r="K239" s="574"/>
      <c r="L239" s="574"/>
      <c r="M239" s="575"/>
      <c r="N239" s="575"/>
      <c r="O239" s="606"/>
      <c r="P239" s="606"/>
      <c r="Q239" s="606"/>
      <c r="R239" s="606"/>
      <c r="S239" s="606"/>
      <c r="T239" s="606"/>
      <c r="U239" s="606"/>
      <c r="V239" s="606"/>
    </row>
    <row r="240" spans="2:24" s="576" customFormat="1">
      <c r="B240" s="573"/>
      <c r="C240" s="574"/>
      <c r="D240" s="574"/>
      <c r="E240" s="574"/>
      <c r="F240" s="574"/>
      <c r="G240" s="574"/>
      <c r="H240" s="574"/>
      <c r="I240" s="575"/>
      <c r="J240" s="575"/>
      <c r="K240" s="574"/>
      <c r="L240" s="574"/>
      <c r="M240" s="575"/>
      <c r="N240" s="575"/>
      <c r="O240" s="606"/>
      <c r="P240" s="606"/>
      <c r="Q240" s="606"/>
      <c r="R240" s="606"/>
      <c r="S240" s="606"/>
      <c r="T240" s="606"/>
      <c r="U240" s="606"/>
      <c r="V240" s="606"/>
    </row>
    <row r="241" spans="2:22" s="576" customFormat="1">
      <c r="B241" s="573"/>
      <c r="C241" s="574"/>
      <c r="D241" s="574"/>
      <c r="E241" s="574"/>
      <c r="F241" s="574"/>
      <c r="G241" s="574"/>
      <c r="H241" s="574"/>
      <c r="I241" s="575"/>
      <c r="J241" s="575"/>
      <c r="K241" s="574"/>
      <c r="L241" s="574"/>
      <c r="M241" s="575"/>
      <c r="N241" s="575"/>
      <c r="O241" s="606"/>
      <c r="P241" s="606"/>
      <c r="Q241" s="606"/>
      <c r="R241" s="606"/>
      <c r="S241" s="606"/>
      <c r="T241" s="606"/>
      <c r="U241" s="606"/>
      <c r="V241" s="606"/>
    </row>
    <row r="242" spans="2:22" s="576" customFormat="1">
      <c r="B242" s="1209" t="s">
        <v>460</v>
      </c>
      <c r="C242" s="1209"/>
      <c r="D242" s="1209"/>
      <c r="E242" s="1209"/>
      <c r="F242" s="1209"/>
      <c r="G242" s="574"/>
      <c r="H242" s="574"/>
      <c r="I242" s="575"/>
      <c r="J242" s="575"/>
      <c r="K242" s="574"/>
      <c r="L242" s="574"/>
      <c r="M242" s="575"/>
      <c r="N242" s="575"/>
      <c r="O242" s="1210"/>
      <c r="P242" s="1210"/>
      <c r="Q242" s="1210"/>
      <c r="R242" s="1210"/>
      <c r="S242" s="1210"/>
      <c r="T242" s="606"/>
      <c r="U242" s="606"/>
      <c r="V242" s="606"/>
    </row>
    <row r="243" spans="2:22" s="576" customFormat="1">
      <c r="B243" s="612" t="str">
        <f>CHOOSE(jezyk,n!A1670,n!B1670,n!C1670,n!D1666)</f>
        <v>Imię i nazwisko</v>
      </c>
      <c r="C243" s="613"/>
      <c r="D243" s="613"/>
      <c r="E243" s="613"/>
      <c r="F243" s="613"/>
      <c r="G243" s="574"/>
      <c r="H243" s="574"/>
      <c r="I243" s="575"/>
      <c r="J243" s="575"/>
      <c r="K243" s="574"/>
      <c r="L243" s="574"/>
      <c r="M243" s="575"/>
      <c r="N243" s="575"/>
      <c r="O243" s="575"/>
      <c r="P243" s="575"/>
      <c r="Q243" s="606"/>
      <c r="R243" s="606"/>
      <c r="S243" s="606"/>
      <c r="T243" s="606"/>
      <c r="U243" s="606"/>
      <c r="V243" s="606"/>
    </row>
    <row r="244" spans="2:22" s="576" customFormat="1">
      <c r="B244" s="612" t="str">
        <f>CHOOSE(jezyk,n!A1671,n!B1671,n!C1671,n!D1667)</f>
        <v>członek zarządu</v>
      </c>
      <c r="C244" s="613"/>
      <c r="D244" s="613"/>
      <c r="E244" s="613"/>
      <c r="F244" s="613"/>
      <c r="G244" s="574"/>
      <c r="H244" s="574"/>
      <c r="I244" s="575"/>
      <c r="J244" s="575"/>
      <c r="K244" s="574"/>
      <c r="L244" s="574"/>
      <c r="M244" s="575"/>
      <c r="N244" s="575"/>
      <c r="O244" s="575"/>
      <c r="P244" s="575"/>
      <c r="Q244" s="606"/>
      <c r="R244" s="606"/>
      <c r="S244" s="606"/>
      <c r="T244" s="606"/>
      <c r="U244" s="606"/>
      <c r="V244" s="606"/>
    </row>
  </sheetData>
  <mergeCells count="70">
    <mergeCell ref="B201:V201"/>
    <mergeCell ref="B202:V202"/>
    <mergeCell ref="B222:V222"/>
    <mergeCell ref="D132:S132"/>
    <mergeCell ref="D135:S135"/>
    <mergeCell ref="D138:S138"/>
    <mergeCell ref="B212:V212"/>
    <mergeCell ref="B214:V214"/>
    <mergeCell ref="B184:V184"/>
    <mergeCell ref="B204:V204"/>
    <mergeCell ref="B193:V193"/>
    <mergeCell ref="C205:V205"/>
    <mergeCell ref="C198:V199"/>
    <mergeCell ref="B128:V128"/>
    <mergeCell ref="B155:V155"/>
    <mergeCell ref="L183:M183"/>
    <mergeCell ref="D141:S141"/>
    <mergeCell ref="N183:P183"/>
    <mergeCell ref="B183:E183"/>
    <mergeCell ref="F183:K183"/>
    <mergeCell ref="C178:V178"/>
    <mergeCell ref="B153:V153"/>
    <mergeCell ref="D134:S134"/>
    <mergeCell ref="D137:S137"/>
    <mergeCell ref="D140:S140"/>
    <mergeCell ref="D123:S123"/>
    <mergeCell ref="D127:S127"/>
    <mergeCell ref="B195:V195"/>
    <mergeCell ref="B191:V191"/>
    <mergeCell ref="B242:F242"/>
    <mergeCell ref="O242:S242"/>
    <mergeCell ref="B236:I236"/>
    <mergeCell ref="B230:V230"/>
    <mergeCell ref="B232:V232"/>
    <mergeCell ref="B225:V225"/>
    <mergeCell ref="B216:V216"/>
    <mergeCell ref="B223:V223"/>
    <mergeCell ref="Q183:S183"/>
    <mergeCell ref="T183:V183"/>
    <mergeCell ref="B157:V157"/>
    <mergeCell ref="B164:V164"/>
    <mergeCell ref="E98:M98"/>
    <mergeCell ref="E96:M96"/>
    <mergeCell ref="B1:V1"/>
    <mergeCell ref="B47:E47"/>
    <mergeCell ref="D54:M54"/>
    <mergeCell ref="D56:H56"/>
    <mergeCell ref="H21:S21"/>
    <mergeCell ref="H22:S22"/>
    <mergeCell ref="H23:S23"/>
    <mergeCell ref="D64:R64"/>
    <mergeCell ref="D66:R66"/>
    <mergeCell ref="D68:R68"/>
    <mergeCell ref="D62:R62"/>
    <mergeCell ref="D125:S125"/>
    <mergeCell ref="D131:S131"/>
    <mergeCell ref="D121:S121"/>
    <mergeCell ref="D58:N58"/>
    <mergeCell ref="C84:V84"/>
    <mergeCell ref="D60:N60"/>
    <mergeCell ref="C80:V80"/>
    <mergeCell ref="D119:S119"/>
    <mergeCell ref="D117:S117"/>
    <mergeCell ref="E108:M108"/>
    <mergeCell ref="C88:V88"/>
    <mergeCell ref="C90:V90"/>
    <mergeCell ref="E104:M104"/>
    <mergeCell ref="D115:S115"/>
    <mergeCell ref="E106:M106"/>
    <mergeCell ref="D70:N70"/>
  </mergeCells>
  <phoneticPr fontId="30" type="noConversion"/>
  <dataValidations xWindow="755" yWindow="595" count="1">
    <dataValidation type="list" allowBlank="1" showInputMessage="1" showErrorMessage="1" sqref="W186" xr:uid="{00000000-0002-0000-3100-000000000000}">
      <formula1>"tak,nie"</formula1>
    </dataValidation>
  </dataValidations>
  <hyperlinks>
    <hyperlink ref="B1:V1" location="'spis treści'!A1" display="SPIS TREŚCI" xr:uid="{00000000-0004-0000-3100-000000000000}"/>
    <hyperlink ref="D54:M54" location="SPRAWOZDANIE!A67" display="SPRAWOZDANIE!A67" xr:uid="{00000000-0004-0000-3100-000001000000}"/>
    <hyperlink ref="D56:H56" location="SPRAWOZDANIE!A144" display="SPRAWOZDANIE!A144" xr:uid="{00000000-0004-0000-3100-000002000000}"/>
    <hyperlink ref="D58:N58" location="SPRAWOZDANIE!A155" display="SPRAWOZDANIE!A155" xr:uid="{00000000-0004-0000-3100-000003000000}"/>
    <hyperlink ref="D60:N60" location="SPRAWOZDANIE!A174" display="SPRAWOZDANIE!A174" xr:uid="{00000000-0004-0000-3100-000004000000}"/>
    <hyperlink ref="D70:N70" location="SPRAWOZDANIE!A495" display="SPRAWOZDANIE!A495" xr:uid="{00000000-0004-0000-3100-000005000000}"/>
    <hyperlink ref="D62" location="SPRAWOZDANIE!A481" display="SPRAWOZDANIE!A481" xr:uid="{00000000-0004-0000-3100-000006000000}"/>
    <hyperlink ref="D70" location="SPRAWOZDANIE!A520" display="SPRAWOZDANIE!A520" xr:uid="{00000000-0004-0000-3100-000007000000}"/>
    <hyperlink ref="D64" location="SPRAWOZDANIE!A491" display="CZYNNIKI RYZYKA ZWIĄZANE Z PROWADZONĄ DZIAŁALNOŚCIĄ" xr:uid="{00000000-0004-0000-3100-000008000000}"/>
    <hyperlink ref="D66" location="SPRAWOZDANIE!A501" display="WAŻNIEJSZE OSIĄGNIĘCIA W DZIEDZINIE BADAŃ I ROZWOJU" xr:uid="{00000000-0004-0000-3100-000009000000}"/>
    <hyperlink ref="D68" location="SPRAWOZDANIE!A511" display="INFORMACJE O NABYCIU UDZIAŁÓW (AKCJI) WŁASNYCH" xr:uid="{00000000-0004-0000-3100-00000A000000}"/>
  </hyperlinks>
  <pageMargins left="0.59055118110236227" right="0.39370078740157483" top="0.98425196850393704" bottom="0.98425196850393704" header="0.51181102362204722" footer="0.51181102362204722"/>
  <pageSetup paperSize="9" orientation="portrait" r:id="rId1"/>
  <headerFooter alignWithMargins="0"/>
  <rowBreaks count="6" manualBreakCount="6">
    <brk id="46" max="16383" man="1"/>
    <brk id="72" max="16383" man="1"/>
    <brk id="110" max="16383" man="1"/>
    <brk id="149" max="16383" man="1"/>
    <brk id="197" max="16383" man="1"/>
    <brk id="22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2"/>
  <dimension ref="B1:AM252"/>
  <sheetViews>
    <sheetView showGridLines="0" view="pageBreakPreview" topLeftCell="A225"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85546875" style="66" customWidth="1"/>
    <col min="23" max="23" width="17.85546875" style="66" customWidth="1"/>
    <col min="24" max="24" width="11.7109375" style="66" customWidth="1"/>
    <col min="25" max="16384" width="9.140625" style="66"/>
  </cols>
  <sheetData>
    <row r="1" spans="2:28">
      <c r="B1" s="773" t="s">
        <v>1257</v>
      </c>
      <c r="C1" s="773"/>
      <c r="D1" s="773"/>
      <c r="E1" s="773"/>
      <c r="F1" s="773"/>
      <c r="G1" s="773"/>
      <c r="H1" s="773"/>
      <c r="I1" s="773"/>
      <c r="J1" s="773"/>
      <c r="K1" s="773"/>
      <c r="L1" s="773"/>
      <c r="M1" s="773"/>
      <c r="N1" s="773"/>
      <c r="O1" s="773"/>
      <c r="P1" s="773"/>
      <c r="Q1" s="773"/>
      <c r="R1" s="773"/>
      <c r="S1" s="773"/>
      <c r="T1" s="773"/>
      <c r="U1" s="773"/>
      <c r="V1" s="773"/>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06" t="str">
        <f>CHOOSE(jezyk,n!A1475,n!B1475,n!C1475,n!D1471)</f>
        <v>SPRAWOZDANIE ZARZĄDU Z DZIAŁALNOŚCI JEDNOSTKI</v>
      </c>
      <c r="I21" s="1206"/>
      <c r="J21" s="1206"/>
      <c r="K21" s="1206"/>
      <c r="L21" s="1206"/>
      <c r="M21" s="1206"/>
      <c r="N21" s="1206"/>
      <c r="O21" s="1206"/>
      <c r="P21" s="1206"/>
      <c r="Q21" s="1206"/>
      <c r="R21" s="1206"/>
      <c r="S21" s="1206"/>
      <c r="T21" s="574"/>
      <c r="U21" s="574"/>
      <c r="V21" s="575"/>
      <c r="Y21" s="577"/>
      <c r="Z21" s="577"/>
      <c r="AA21" s="577"/>
      <c r="AB21" s="577"/>
    </row>
    <row r="22" spans="2:28" s="576" customFormat="1">
      <c r="B22" s="573"/>
      <c r="C22" s="574"/>
      <c r="D22" s="574"/>
      <c r="E22" s="574"/>
      <c r="F22" s="574"/>
      <c r="G22" s="574"/>
      <c r="H22" s="1207" t="str">
        <f>GA!D16</f>
        <v>Rhenus Digital Workforce Sp. z o.o.</v>
      </c>
      <c r="I22" s="1206"/>
      <c r="J22" s="1206"/>
      <c r="K22" s="1206"/>
      <c r="L22" s="1206"/>
      <c r="M22" s="1206"/>
      <c r="N22" s="1206"/>
      <c r="O22" s="1206"/>
      <c r="P22" s="1206"/>
      <c r="Q22" s="1206"/>
      <c r="R22" s="1206"/>
      <c r="S22" s="1206"/>
      <c r="T22" s="574"/>
      <c r="U22" s="574"/>
      <c r="V22" s="575"/>
      <c r="W22" s="578"/>
      <c r="Y22" s="577"/>
      <c r="Z22" s="577"/>
      <c r="AA22" s="577"/>
      <c r="AB22" s="577"/>
    </row>
    <row r="23" spans="2:28" s="576" customFormat="1">
      <c r="B23" s="573"/>
      <c r="C23" s="574"/>
      <c r="D23" s="574"/>
      <c r="E23" s="574"/>
      <c r="F23" s="574"/>
      <c r="G23" s="574"/>
      <c r="H23" s="1206" t="str">
        <f>CHOOSE(jezyk,n!A1476,n!B1476,n!C1476,n!D1472)</f>
        <v>ZA OKRES OD 19.10.2023 DO 31.12.2024</v>
      </c>
      <c r="I23" s="1206"/>
      <c r="J23" s="1206"/>
      <c r="K23" s="1206"/>
      <c r="L23" s="1206"/>
      <c r="M23" s="1206"/>
      <c r="N23" s="1206"/>
      <c r="O23" s="1206"/>
      <c r="P23" s="1206"/>
      <c r="Q23" s="1206"/>
      <c r="R23" s="1206"/>
      <c r="S23" s="1206"/>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7"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4" t="str">
        <f>CHOOSE(jezyk,n!A1477,n!B1477,n!C1477,n!D1473)</f>
        <v>Spis treści</v>
      </c>
      <c r="C47" s="1204"/>
      <c r="D47" s="1204"/>
      <c r="E47" s="1204"/>
      <c r="F47" s="1204"/>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39"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39"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39"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39"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39"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39" s="580" customFormat="1">
      <c r="B54" s="573"/>
      <c r="C54" s="582" t="s">
        <v>1448</v>
      </c>
      <c r="D54" s="588" t="str">
        <f>CHOOSE(jezyk,n!A1480,n!B1480,n!C1480,n!D1476)</f>
        <v>WIZYTÓWKA SPÓŁKI</v>
      </c>
      <c r="E54" s="588"/>
      <c r="F54" s="588"/>
      <c r="G54" s="588"/>
      <c r="H54" s="588"/>
      <c r="I54" s="588"/>
      <c r="J54" s="588"/>
      <c r="K54" s="588"/>
      <c r="L54" s="588"/>
      <c r="M54" s="588"/>
      <c r="N54" s="574"/>
      <c r="O54" s="574"/>
      <c r="P54" s="574"/>
      <c r="Q54" s="574"/>
      <c r="R54" s="574"/>
      <c r="S54" s="574"/>
      <c r="T54" s="574"/>
      <c r="U54" s="582">
        <f>W75</f>
        <v>3</v>
      </c>
      <c r="V54" s="574"/>
      <c r="W54" s="614"/>
    </row>
    <row r="55" spans="2:39" s="580" customFormat="1" ht="18.75" customHeight="1">
      <c r="B55" s="573"/>
      <c r="C55" s="574"/>
      <c r="D55" s="588"/>
      <c r="E55" s="588"/>
      <c r="F55" s="588"/>
      <c r="G55" s="588"/>
      <c r="H55" s="588"/>
      <c r="I55" s="588"/>
      <c r="J55" s="588"/>
      <c r="K55" s="588"/>
      <c r="L55" s="588"/>
      <c r="M55" s="588"/>
      <c r="N55" s="588"/>
      <c r="O55" s="588"/>
      <c r="P55" s="588"/>
      <c r="Q55" s="588"/>
      <c r="R55" s="588"/>
      <c r="S55" s="588"/>
      <c r="T55" s="574"/>
      <c r="U55" s="582"/>
      <c r="V55" s="574"/>
      <c r="W55" s="582"/>
    </row>
    <row r="56" spans="2:39" s="580" customFormat="1">
      <c r="B56" s="573"/>
      <c r="C56" s="582" t="s">
        <v>1450</v>
      </c>
      <c r="D56" s="588" t="str">
        <f>CHOOSE(jezyk,n!A1481,n!B1481,n!C1481,n!D1477)</f>
        <v>SPRZEDAŻ</v>
      </c>
      <c r="E56" s="588"/>
      <c r="F56" s="588"/>
      <c r="G56" s="588"/>
      <c r="H56" s="588"/>
      <c r="I56" s="588"/>
      <c r="J56" s="588"/>
      <c r="K56" s="588"/>
      <c r="L56" s="588"/>
      <c r="M56" s="588"/>
      <c r="N56" s="588"/>
      <c r="O56" s="588"/>
      <c r="P56" s="588"/>
      <c r="Q56" s="588"/>
      <c r="R56" s="588"/>
      <c r="S56" s="588"/>
      <c r="T56" s="574"/>
      <c r="U56" s="582">
        <f>W152</f>
        <v>5</v>
      </c>
      <c r="V56" s="574"/>
      <c r="W56" s="614"/>
    </row>
    <row r="57" spans="2:39" s="576" customFormat="1" ht="18.75" customHeight="1">
      <c r="B57" s="573"/>
      <c r="C57" s="574"/>
      <c r="D57" s="588"/>
      <c r="E57" s="588"/>
      <c r="F57" s="588"/>
      <c r="G57" s="588"/>
      <c r="H57" s="588"/>
      <c r="I57" s="588"/>
      <c r="J57" s="588"/>
      <c r="K57" s="588"/>
      <c r="L57" s="588"/>
      <c r="M57" s="588"/>
      <c r="N57" s="588"/>
      <c r="O57" s="588"/>
      <c r="P57" s="588"/>
      <c r="Q57" s="588"/>
      <c r="R57" s="588"/>
      <c r="S57" s="588"/>
      <c r="T57" s="574"/>
      <c r="U57" s="582"/>
      <c r="V57" s="574"/>
      <c r="W57" s="582"/>
      <c r="Y57" s="577"/>
      <c r="Z57" s="577"/>
      <c r="AA57" s="577"/>
      <c r="AB57" s="577"/>
    </row>
    <row r="58" spans="2:39" s="576" customFormat="1">
      <c r="B58" s="573"/>
      <c r="C58" s="582" t="s">
        <v>782</v>
      </c>
      <c r="D58" s="588" t="str">
        <f>CHOOSE(jezyk,n!A1482,n!B1482,n!C1482,n!D1478)</f>
        <v>PERSONEL</v>
      </c>
      <c r="E58" s="588"/>
      <c r="F58" s="588"/>
      <c r="G58" s="588"/>
      <c r="H58" s="588"/>
      <c r="I58" s="588"/>
      <c r="J58" s="588"/>
      <c r="K58" s="588"/>
      <c r="L58" s="588"/>
      <c r="M58" s="588"/>
      <c r="N58" s="588"/>
      <c r="O58" s="588"/>
      <c r="P58" s="588"/>
      <c r="Q58" s="588"/>
      <c r="R58" s="588"/>
      <c r="S58" s="588"/>
      <c r="T58" s="574"/>
      <c r="U58" s="582">
        <f>W163</f>
        <v>5</v>
      </c>
      <c r="V58" s="574"/>
      <c r="W58" s="614"/>
      <c r="Y58" s="577"/>
      <c r="Z58" s="577"/>
      <c r="AA58" s="577"/>
      <c r="AB58" s="577"/>
    </row>
    <row r="59" spans="2:39" s="576" customFormat="1" ht="18.75" customHeight="1">
      <c r="B59" s="573"/>
      <c r="C59" s="574"/>
      <c r="D59" s="588"/>
      <c r="E59" s="588"/>
      <c r="F59" s="588"/>
      <c r="G59" s="588"/>
      <c r="H59" s="588"/>
      <c r="I59" s="588"/>
      <c r="J59" s="588"/>
      <c r="K59" s="588"/>
      <c r="L59" s="588"/>
      <c r="M59" s="588"/>
      <c r="N59" s="588"/>
      <c r="O59" s="588"/>
      <c r="P59" s="588"/>
      <c r="Q59" s="588"/>
      <c r="R59" s="588"/>
      <c r="S59" s="588"/>
      <c r="T59" s="574"/>
      <c r="U59" s="582"/>
      <c r="V59" s="574"/>
      <c r="W59" s="582"/>
      <c r="Y59" s="577"/>
      <c r="Z59" s="577"/>
      <c r="AA59" s="577"/>
      <c r="AB59" s="577"/>
    </row>
    <row r="60" spans="2:39" s="576" customFormat="1">
      <c r="B60" s="573"/>
      <c r="C60" s="582" t="s">
        <v>1452</v>
      </c>
      <c r="D60" s="588" t="str">
        <f>CHOOSE(jezyk,n!A1483,n!B1483,n!C1483,n!D1479)</f>
        <v>ANALIZA FINANSOWA</v>
      </c>
      <c r="E60" s="588"/>
      <c r="F60" s="588"/>
      <c r="G60" s="588"/>
      <c r="H60" s="588"/>
      <c r="I60" s="588"/>
      <c r="J60" s="588"/>
      <c r="K60" s="588"/>
      <c r="L60" s="588"/>
      <c r="M60" s="588"/>
      <c r="N60" s="588"/>
      <c r="O60" s="588"/>
      <c r="P60" s="588"/>
      <c r="Q60" s="588"/>
      <c r="R60" s="588"/>
      <c r="S60" s="588"/>
      <c r="T60" s="574"/>
      <c r="U60" s="582">
        <f>W182</f>
        <v>5</v>
      </c>
      <c r="V60" s="574"/>
      <c r="W60" s="614"/>
      <c r="Y60" s="577"/>
      <c r="Z60" s="577"/>
      <c r="AA60" s="577"/>
      <c r="AB60" s="577"/>
    </row>
    <row r="61" spans="2:39" s="576" customFormat="1" ht="18.75" customHeight="1">
      <c r="B61" s="573"/>
      <c r="C61" s="574"/>
      <c r="D61" s="588"/>
      <c r="E61" s="588"/>
      <c r="F61" s="588"/>
      <c r="G61" s="588"/>
      <c r="H61" s="588"/>
      <c r="I61" s="588"/>
      <c r="J61" s="588"/>
      <c r="K61" s="588"/>
      <c r="L61" s="588"/>
      <c r="M61" s="588"/>
      <c r="N61" s="588"/>
      <c r="O61" s="588"/>
      <c r="P61" s="588"/>
      <c r="Q61" s="588"/>
      <c r="R61" s="588"/>
      <c r="S61" s="588"/>
      <c r="T61" s="574"/>
      <c r="U61" s="582"/>
      <c r="V61" s="574"/>
      <c r="W61" s="582"/>
      <c r="Y61" s="577"/>
      <c r="Z61" s="577"/>
      <c r="AA61" s="577"/>
      <c r="AB61" s="577"/>
    </row>
    <row r="62" spans="2:39" s="576" customFormat="1" ht="15" customHeight="1">
      <c r="B62" s="573"/>
      <c r="C62" s="582" t="s">
        <v>1453</v>
      </c>
      <c r="D62" s="588" t="str">
        <f>CHOOSE(jezyk,n!A1484,n!B1484,n!C1484,n!D1480)</f>
        <v>PRZEWIDYWANY ROZWÓJ SPÓŁKI</v>
      </c>
      <c r="E62" s="588"/>
      <c r="F62" s="588"/>
      <c r="G62" s="588"/>
      <c r="H62" s="588"/>
      <c r="I62" s="588"/>
      <c r="J62" s="588"/>
      <c r="K62" s="588"/>
      <c r="L62" s="588"/>
      <c r="M62" s="588"/>
      <c r="N62" s="588"/>
      <c r="O62" s="588"/>
      <c r="P62" s="588"/>
      <c r="Q62" s="588"/>
      <c r="R62" s="588"/>
      <c r="S62" s="588"/>
      <c r="T62" s="585"/>
      <c r="U62" s="615">
        <f>W189</f>
        <v>5</v>
      </c>
      <c r="V62" s="587"/>
      <c r="W62" s="616"/>
      <c r="Y62" s="577"/>
      <c r="Z62" s="577"/>
      <c r="AA62" s="577"/>
      <c r="AB62" s="577"/>
    </row>
    <row r="63" spans="2:39" s="576" customFormat="1" ht="15" customHeight="1">
      <c r="B63" s="573"/>
      <c r="C63" s="582"/>
      <c r="D63" s="588"/>
      <c r="E63" s="588"/>
      <c r="F63" s="588"/>
      <c r="G63" s="588"/>
      <c r="H63" s="588"/>
      <c r="I63" s="588"/>
      <c r="J63" s="588"/>
      <c r="K63" s="588"/>
      <c r="L63" s="588"/>
      <c r="M63" s="588"/>
      <c r="N63" s="588"/>
      <c r="O63" s="588"/>
      <c r="P63" s="588"/>
      <c r="Q63" s="588"/>
      <c r="R63" s="588"/>
      <c r="S63" s="588"/>
      <c r="T63" s="585"/>
      <c r="U63" s="615"/>
      <c r="V63" s="587"/>
      <c r="W63" s="615"/>
      <c r="Y63" s="577"/>
      <c r="Z63" s="577"/>
      <c r="AA63" s="577"/>
      <c r="AB63" s="577"/>
    </row>
    <row r="64" spans="2:39" s="576" customFormat="1" ht="15" customHeight="1">
      <c r="B64" s="573"/>
      <c r="C64" s="582" t="s">
        <v>786</v>
      </c>
      <c r="D64" s="588" t="str">
        <f>CHOOSE(jezyk,n!A1485,n!B1485,n!C1485,n!D1481)</f>
        <v>CZYNNIKI RYZYKA ZWIĄZANE Z PROWADZONĄ DZIAŁALNOŚCIĄ,  W TYM W ZAKRESIE INSTRUMENTÓW FINANSOWYCH</v>
      </c>
      <c r="E64" s="588"/>
      <c r="F64" s="588"/>
      <c r="G64" s="588"/>
      <c r="H64" s="588"/>
      <c r="I64" s="588"/>
      <c r="J64" s="588"/>
      <c r="K64" s="588"/>
      <c r="L64" s="588"/>
      <c r="M64" s="588"/>
      <c r="N64" s="588"/>
      <c r="O64" s="588"/>
      <c r="P64" s="588"/>
      <c r="Q64" s="588"/>
      <c r="R64" s="588"/>
      <c r="S64" s="588"/>
      <c r="T64" s="585"/>
      <c r="U64" s="586">
        <f>W199</f>
        <v>6</v>
      </c>
      <c r="V64" s="587"/>
      <c r="W64" s="617"/>
      <c r="X64" s="1219"/>
      <c r="Y64" s="1219"/>
      <c r="Z64" s="1219"/>
      <c r="AA64" s="1219"/>
      <c r="AB64" s="1219"/>
      <c r="AC64" s="1219"/>
      <c r="AD64" s="1219"/>
      <c r="AE64" s="1219"/>
      <c r="AF64" s="1219"/>
      <c r="AG64" s="1219"/>
      <c r="AH64" s="1219"/>
      <c r="AI64" s="1219"/>
      <c r="AJ64" s="1219"/>
      <c r="AK64" s="1219"/>
      <c r="AL64" s="1219"/>
      <c r="AM64" s="1219"/>
    </row>
    <row r="65" spans="2:39" s="576" customFormat="1" ht="15" customHeight="1">
      <c r="B65" s="573"/>
      <c r="C65" s="582"/>
      <c r="D65" s="588"/>
      <c r="E65" s="588"/>
      <c r="F65" s="588"/>
      <c r="G65" s="588"/>
      <c r="H65" s="588"/>
      <c r="I65" s="588"/>
      <c r="J65" s="588"/>
      <c r="K65" s="588"/>
      <c r="L65" s="588"/>
      <c r="M65" s="588"/>
      <c r="N65" s="588"/>
      <c r="O65" s="588"/>
      <c r="P65" s="588"/>
      <c r="Q65" s="588"/>
      <c r="R65" s="588"/>
      <c r="S65" s="588"/>
      <c r="T65" s="585"/>
      <c r="U65" s="586"/>
      <c r="V65" s="587"/>
      <c r="W65" s="586"/>
      <c r="X65" s="588"/>
      <c r="Y65" s="585"/>
      <c r="Z65" s="585"/>
      <c r="AA65" s="585"/>
      <c r="AB65" s="585"/>
      <c r="AC65" s="585"/>
      <c r="AD65" s="585"/>
      <c r="AE65" s="585"/>
      <c r="AF65" s="585"/>
      <c r="AG65" s="585"/>
      <c r="AH65" s="585"/>
      <c r="AI65" s="585"/>
      <c r="AJ65" s="585"/>
      <c r="AK65" s="585"/>
      <c r="AL65" s="585"/>
      <c r="AM65" s="585"/>
    </row>
    <row r="66" spans="2:39" s="576" customFormat="1" ht="15" customHeight="1">
      <c r="B66" s="573"/>
      <c r="C66" s="582" t="s">
        <v>93</v>
      </c>
      <c r="D66" s="588" t="str">
        <f>CHOOSE(jezyk,n!A1487,n!B1487,n!C1487,n!D1482)</f>
        <v>WAŻNIEJSZE OSIĄGNIĘCIA W DZIEDZINIE BADAŃ I ROZWOJU</v>
      </c>
      <c r="E66" s="588"/>
      <c r="F66" s="588"/>
      <c r="G66" s="588"/>
      <c r="H66" s="588"/>
      <c r="I66" s="588"/>
      <c r="J66" s="588"/>
      <c r="K66" s="588"/>
      <c r="L66" s="588"/>
      <c r="M66" s="588"/>
      <c r="N66" s="588"/>
      <c r="O66" s="588"/>
      <c r="P66" s="588"/>
      <c r="Q66" s="588"/>
      <c r="R66" s="588"/>
      <c r="S66" s="588"/>
      <c r="T66" s="585"/>
      <c r="U66" s="586">
        <f>W210</f>
        <v>6</v>
      </c>
      <c r="V66" s="587"/>
      <c r="W66" s="617"/>
      <c r="X66" s="618"/>
      <c r="Y66" s="618"/>
      <c r="Z66" s="618"/>
      <c r="AA66" s="618"/>
      <c r="AB66" s="618"/>
      <c r="AC66" s="618"/>
      <c r="AD66" s="618"/>
      <c r="AE66" s="618"/>
      <c r="AF66" s="618"/>
      <c r="AG66" s="618"/>
      <c r="AH66" s="618"/>
      <c r="AI66" s="618"/>
      <c r="AJ66" s="618"/>
      <c r="AK66" s="618"/>
      <c r="AL66" s="618"/>
      <c r="AM66" s="619"/>
    </row>
    <row r="67" spans="2:39" s="576" customFormat="1" ht="15" customHeight="1">
      <c r="B67" s="573"/>
      <c r="C67" s="582"/>
      <c r="D67" s="588"/>
      <c r="E67" s="588"/>
      <c r="F67" s="588"/>
      <c r="G67" s="588"/>
      <c r="H67" s="588"/>
      <c r="I67" s="588"/>
      <c r="J67" s="588"/>
      <c r="K67" s="588"/>
      <c r="L67" s="588"/>
      <c r="M67" s="588"/>
      <c r="N67" s="588"/>
      <c r="O67" s="588"/>
      <c r="P67" s="588"/>
      <c r="Q67" s="588"/>
      <c r="R67" s="588"/>
      <c r="S67" s="588"/>
      <c r="T67" s="590"/>
      <c r="U67" s="586"/>
      <c r="V67" s="587"/>
      <c r="W67" s="586"/>
      <c r="X67" s="589"/>
      <c r="Y67" s="589"/>
      <c r="Z67" s="589"/>
      <c r="AA67" s="589"/>
      <c r="AB67" s="589"/>
      <c r="AC67" s="589"/>
      <c r="AD67" s="589"/>
      <c r="AE67" s="589"/>
      <c r="AF67" s="589"/>
      <c r="AG67" s="589"/>
      <c r="AH67" s="589"/>
      <c r="AI67" s="589"/>
      <c r="AJ67" s="589"/>
      <c r="AK67" s="589"/>
      <c r="AL67" s="589"/>
      <c r="AM67" s="590"/>
    </row>
    <row r="68" spans="2:39" s="576" customFormat="1" ht="15" customHeight="1">
      <c r="B68" s="573"/>
      <c r="C68" s="582" t="s">
        <v>1507</v>
      </c>
      <c r="D68" s="588" t="str">
        <f>CHOOSE(jezyk,n!A1488,n!B1488,n!C1488,n!D1483)</f>
        <v>INFORMACJE O NABYCIU UDZIAŁÓW (AKCJI) WŁASNYCH</v>
      </c>
      <c r="E68" s="588"/>
      <c r="F68" s="588"/>
      <c r="G68" s="588"/>
      <c r="H68" s="588"/>
      <c r="I68" s="588"/>
      <c r="J68" s="588"/>
      <c r="K68" s="588"/>
      <c r="L68" s="588"/>
      <c r="M68" s="588"/>
      <c r="N68" s="588"/>
      <c r="O68" s="588"/>
      <c r="P68" s="588"/>
      <c r="Q68" s="588"/>
      <c r="R68" s="588"/>
      <c r="S68" s="588"/>
      <c r="T68" s="590"/>
      <c r="U68" s="586">
        <f>W220</f>
        <v>6</v>
      </c>
      <c r="V68" s="587"/>
      <c r="W68" s="617"/>
      <c r="X68" s="618"/>
      <c r="Y68" s="618"/>
      <c r="Z68" s="618"/>
      <c r="AA68" s="618"/>
      <c r="AB68" s="618"/>
      <c r="AC68" s="618"/>
      <c r="AD68" s="618"/>
      <c r="AE68" s="618"/>
      <c r="AF68" s="618"/>
      <c r="AG68" s="618"/>
      <c r="AH68" s="618"/>
      <c r="AI68" s="618"/>
      <c r="AJ68" s="618"/>
      <c r="AK68" s="618"/>
      <c r="AL68" s="618"/>
      <c r="AM68" s="619"/>
    </row>
    <row r="69" spans="2:39" s="576" customFormat="1" ht="15" customHeight="1">
      <c r="B69" s="573"/>
      <c r="C69" s="582"/>
      <c r="D69" s="588"/>
      <c r="E69" s="588"/>
      <c r="F69" s="588"/>
      <c r="G69" s="588"/>
      <c r="H69" s="588"/>
      <c r="I69" s="588"/>
      <c r="J69" s="588"/>
      <c r="K69" s="588"/>
      <c r="L69" s="588"/>
      <c r="M69" s="588"/>
      <c r="N69" s="588"/>
      <c r="O69" s="588"/>
      <c r="P69" s="588"/>
      <c r="Q69" s="588"/>
      <c r="R69" s="588"/>
      <c r="S69" s="588"/>
      <c r="T69" s="585"/>
      <c r="U69" s="586"/>
      <c r="V69" s="587"/>
      <c r="W69" s="586"/>
      <c r="X69" s="620"/>
      <c r="Y69" s="620"/>
      <c r="Z69" s="620"/>
      <c r="AA69" s="620"/>
      <c r="AB69" s="620"/>
      <c r="AC69" s="620"/>
      <c r="AD69" s="620"/>
      <c r="AE69" s="620"/>
      <c r="AF69" s="620"/>
      <c r="AG69" s="620"/>
      <c r="AH69" s="620"/>
      <c r="AI69" s="620"/>
      <c r="AJ69" s="620"/>
      <c r="AK69" s="620"/>
      <c r="AL69" s="620"/>
      <c r="AM69" s="620"/>
    </row>
    <row r="70" spans="2:39" s="576" customFormat="1" ht="15" customHeight="1">
      <c r="B70" s="573"/>
      <c r="C70" s="582" t="s">
        <v>1508</v>
      </c>
      <c r="D70" s="588" t="str">
        <f>CHOOSE(jezyk,n!A1489,n!B1489,n!C1489,n!D1485)</f>
        <v>ŁAD KORPORACYJNY</v>
      </c>
      <c r="E70" s="588"/>
      <c r="F70" s="588"/>
      <c r="G70" s="588"/>
      <c r="H70" s="588"/>
      <c r="I70" s="588"/>
      <c r="J70" s="588"/>
      <c r="K70" s="588"/>
      <c r="L70" s="588"/>
      <c r="M70" s="588"/>
      <c r="N70" s="588"/>
      <c r="O70" s="588"/>
      <c r="P70" s="588"/>
      <c r="Q70" s="588"/>
      <c r="R70" s="588"/>
      <c r="S70" s="588"/>
      <c r="T70" s="592"/>
      <c r="U70" s="582">
        <f>W229</f>
        <v>7</v>
      </c>
      <c r="V70" s="621"/>
      <c r="W70" s="614"/>
      <c r="Y70" s="577"/>
      <c r="Z70" s="577"/>
      <c r="AA70" s="577"/>
      <c r="AB70" s="577"/>
    </row>
    <row r="71" spans="2:39" s="576" customFormat="1" ht="15" customHeight="1">
      <c r="B71" s="573"/>
      <c r="C71" s="582"/>
      <c r="D71" s="588"/>
      <c r="E71" s="588"/>
      <c r="F71" s="588"/>
      <c r="G71" s="588"/>
      <c r="H71" s="588"/>
      <c r="I71" s="588"/>
      <c r="J71" s="588"/>
      <c r="K71" s="588"/>
      <c r="L71" s="588"/>
      <c r="M71" s="588"/>
      <c r="N71" s="588"/>
      <c r="O71" s="588"/>
      <c r="P71" s="588"/>
      <c r="Q71" s="588"/>
      <c r="R71" s="588"/>
      <c r="S71" s="588"/>
      <c r="T71" s="592"/>
      <c r="U71" s="615"/>
      <c r="V71" s="621"/>
      <c r="W71" s="615"/>
      <c r="Y71" s="577"/>
      <c r="Z71" s="577"/>
      <c r="AA71" s="577"/>
      <c r="AB71" s="577"/>
    </row>
    <row r="72" spans="2:39" s="576" customFormat="1" ht="15" customHeight="1">
      <c r="B72" s="573"/>
      <c r="C72" s="582" t="s">
        <v>94</v>
      </c>
      <c r="D72" s="588" t="str">
        <f>CHOOSE(jezyk,n!A1490,n!B1490,n!C1490,n!D1486)</f>
        <v>PODSUMOWANIE</v>
      </c>
      <c r="E72" s="588"/>
      <c r="F72" s="588"/>
      <c r="G72" s="588"/>
      <c r="H72" s="588"/>
      <c r="I72" s="588"/>
      <c r="J72" s="588"/>
      <c r="K72" s="588"/>
      <c r="L72" s="588"/>
      <c r="M72" s="588"/>
      <c r="N72" s="588"/>
      <c r="O72" s="588"/>
      <c r="P72" s="588"/>
      <c r="Q72" s="588"/>
      <c r="R72" s="588"/>
      <c r="S72" s="588"/>
      <c r="T72" s="574"/>
      <c r="U72" s="582">
        <f>W235</f>
        <v>7</v>
      </c>
      <c r="V72" s="574"/>
      <c r="W72" s="614"/>
      <c r="Y72" s="577"/>
      <c r="Z72" s="577"/>
      <c r="AA72" s="577"/>
      <c r="AB72" s="577"/>
    </row>
    <row r="73" spans="2:39" s="576" customFormat="1">
      <c r="B73" s="573"/>
      <c r="C73" s="574"/>
      <c r="D73" s="574"/>
      <c r="E73" s="574"/>
      <c r="F73" s="574"/>
      <c r="G73" s="574"/>
      <c r="H73" s="574"/>
      <c r="I73" s="574"/>
      <c r="J73" s="574"/>
      <c r="K73" s="574"/>
      <c r="L73" s="574"/>
      <c r="M73" s="574"/>
      <c r="N73" s="574"/>
      <c r="O73" s="574"/>
      <c r="P73" s="574"/>
      <c r="Q73" s="574"/>
      <c r="R73" s="574"/>
      <c r="S73" s="574"/>
      <c r="T73" s="574"/>
      <c r="U73" s="574"/>
      <c r="V73" s="574"/>
      <c r="Y73" s="577"/>
      <c r="Z73" s="577"/>
      <c r="AA73" s="577"/>
      <c r="AB73" s="577"/>
    </row>
    <row r="74" spans="2:39"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39" s="576" customFormat="1">
      <c r="B75" s="595" t="s">
        <v>1448</v>
      </c>
      <c r="C75" s="584" t="str">
        <f>CHOOSE(jezyk,n!A1480,n!B1480,n!C1480,n!D1476)</f>
        <v>WIZYTÓWKA SPÓŁKI</v>
      </c>
      <c r="D75" s="574"/>
      <c r="E75" s="574"/>
      <c r="F75" s="574"/>
      <c r="G75" s="574"/>
      <c r="H75" s="574"/>
      <c r="I75" s="574"/>
      <c r="J75" s="574"/>
      <c r="K75" s="574"/>
      <c r="L75" s="574"/>
      <c r="M75" s="574"/>
      <c r="N75" s="574"/>
      <c r="O75" s="574"/>
      <c r="P75" s="574"/>
      <c r="Q75" s="574"/>
      <c r="R75" s="574"/>
      <c r="S75" s="574"/>
      <c r="T75" s="574"/>
      <c r="U75" s="574"/>
      <c r="V75" s="574"/>
      <c r="W75" s="596">
        <v>3</v>
      </c>
      <c r="X75" s="597" t="s">
        <v>1526</v>
      </c>
      <c r="Y75" s="577"/>
      <c r="Z75" s="577"/>
      <c r="AA75" s="577"/>
      <c r="AB75" s="577"/>
    </row>
    <row r="76" spans="2:39" s="576" customFormat="1">
      <c r="B76" s="573"/>
      <c r="C76" s="574"/>
      <c r="D76" s="574"/>
      <c r="E76" s="574"/>
      <c r="F76" s="574"/>
      <c r="G76" s="574"/>
      <c r="H76" s="574"/>
      <c r="I76" s="574"/>
      <c r="J76" s="574"/>
      <c r="K76" s="574"/>
      <c r="L76" s="574"/>
      <c r="M76" s="574"/>
      <c r="N76" s="574"/>
      <c r="O76" s="574"/>
      <c r="P76" s="574"/>
      <c r="Q76" s="574"/>
      <c r="R76" s="574"/>
      <c r="S76" s="574"/>
      <c r="T76" s="574"/>
      <c r="U76" s="574"/>
      <c r="V76" s="574"/>
      <c r="Y76" s="577"/>
      <c r="Z76" s="577"/>
      <c r="AA76" s="577"/>
      <c r="AB76" s="577"/>
    </row>
    <row r="77" spans="2:39" s="576" customFormat="1">
      <c r="B77" s="573"/>
      <c r="C77" s="574"/>
      <c r="D77" s="574"/>
      <c r="E77" s="574"/>
      <c r="F77" s="574"/>
      <c r="G77" s="574"/>
      <c r="H77" s="574"/>
      <c r="I77" s="574"/>
      <c r="J77" s="574"/>
      <c r="K77" s="574"/>
      <c r="L77" s="574"/>
      <c r="M77" s="574"/>
      <c r="N77" s="574"/>
      <c r="O77" s="574"/>
      <c r="P77" s="574"/>
      <c r="Q77" s="574"/>
      <c r="R77" s="574"/>
      <c r="S77" s="574"/>
      <c r="T77" s="574"/>
      <c r="U77" s="574"/>
      <c r="V77" s="574"/>
      <c r="Y77" s="577"/>
      <c r="Z77" s="577"/>
      <c r="AA77" s="577"/>
      <c r="AB77" s="577"/>
    </row>
    <row r="78" spans="2:39" s="576" customFormat="1">
      <c r="B78" s="573"/>
      <c r="C78" s="574" t="str">
        <f>CHOOSE(jezyk,n!A1491,n!B1491,n!C1491,n!D1487)</f>
        <v>Spółka jest zarejestrowana pod firmą:</v>
      </c>
      <c r="D78" s="574"/>
      <c r="E78" s="574"/>
      <c r="F78" s="574"/>
      <c r="G78" s="574"/>
      <c r="H78" s="574"/>
      <c r="I78" s="574"/>
      <c r="J78" s="574"/>
      <c r="K78" s="574"/>
      <c r="L78" s="574"/>
      <c r="M78" s="574"/>
      <c r="N78" s="574"/>
      <c r="O78" s="600"/>
      <c r="P78" s="600"/>
      <c r="U78" s="600"/>
    </row>
    <row r="79" spans="2:39" s="576" customFormat="1">
      <c r="B79" s="573"/>
      <c r="C79" s="574"/>
      <c r="D79" s="574"/>
      <c r="E79" s="574"/>
      <c r="F79" s="574"/>
      <c r="G79" s="574"/>
      <c r="H79" s="574"/>
      <c r="I79" s="574"/>
      <c r="J79" s="574"/>
      <c r="K79" s="574"/>
      <c r="L79" s="574"/>
      <c r="M79" s="574"/>
      <c r="N79" s="574"/>
      <c r="O79" s="600"/>
      <c r="P79" s="600"/>
      <c r="U79" s="600"/>
      <c r="W79" s="601"/>
    </row>
    <row r="80" spans="2:39" s="576" customFormat="1">
      <c r="B80" s="573"/>
      <c r="C80" s="584" t="str">
        <f>nazwa_spolki</f>
        <v>Rhenus Digital Workforce Sp. z o.o.</v>
      </c>
      <c r="D80" s="574"/>
      <c r="E80" s="574"/>
      <c r="F80" s="574"/>
      <c r="G80" s="574"/>
      <c r="H80" s="574"/>
      <c r="I80" s="574"/>
      <c r="J80" s="574"/>
      <c r="K80" s="574"/>
      <c r="L80" s="574"/>
      <c r="M80" s="574"/>
      <c r="N80" s="574"/>
      <c r="O80" s="600"/>
      <c r="P80" s="600"/>
      <c r="U80" s="600"/>
    </row>
    <row r="81" spans="2:28" s="576" customFormat="1">
      <c r="B81" s="573"/>
      <c r="C81" s="574"/>
      <c r="D81" s="574"/>
      <c r="E81" s="574"/>
      <c r="F81" s="574"/>
      <c r="G81" s="574"/>
      <c r="H81" s="574"/>
      <c r="I81" s="574"/>
      <c r="J81" s="574"/>
      <c r="K81" s="574"/>
      <c r="L81" s="574"/>
      <c r="M81" s="574"/>
      <c r="N81" s="574"/>
      <c r="O81" s="600"/>
      <c r="P81" s="600"/>
      <c r="U81" s="600"/>
    </row>
    <row r="82" spans="2:28" s="576" customFormat="1" ht="25.5" customHeight="1">
      <c r="B82" s="573"/>
      <c r="C82" s="1202" t="str">
        <f>CHOOSE(jezyk,n!A1657,n!B1657,n!C1657,n!D1653)</f>
        <v xml:space="preserve">w Sądzie Rejonowym dla ……………., ………... Wydział Gospodarczy Krajowego Rejestru Sądowego, numer rejestru ………….. </v>
      </c>
      <c r="D82" s="1202"/>
      <c r="E82" s="1202"/>
      <c r="F82" s="1202"/>
      <c r="G82" s="1202"/>
      <c r="H82" s="1202"/>
      <c r="I82" s="1202"/>
      <c r="J82" s="1202"/>
      <c r="K82" s="1202"/>
      <c r="L82" s="1202"/>
      <c r="M82" s="1202"/>
      <c r="N82" s="1202"/>
      <c r="O82" s="1202"/>
      <c r="P82" s="1202"/>
      <c r="Q82" s="1202"/>
      <c r="R82" s="1202"/>
      <c r="S82" s="1202"/>
      <c r="T82" s="1202"/>
      <c r="U82" s="1202"/>
      <c r="V82" s="1202"/>
    </row>
    <row r="83" spans="2:28" s="576" customFormat="1">
      <c r="B83" s="573"/>
      <c r="C83" s="574"/>
      <c r="D83" s="574"/>
      <c r="E83" s="574"/>
      <c r="F83" s="574"/>
      <c r="G83" s="574"/>
      <c r="H83" s="574"/>
      <c r="I83" s="574"/>
      <c r="J83" s="574"/>
      <c r="K83" s="574"/>
      <c r="L83" s="574"/>
      <c r="M83" s="574"/>
      <c r="N83" s="574"/>
      <c r="O83" s="600"/>
      <c r="P83" s="600"/>
      <c r="U83" s="600"/>
    </row>
    <row r="84" spans="2:28" s="576" customFormat="1">
      <c r="B84" s="573"/>
      <c r="C84" s="106" t="str">
        <f>CHOOSE(jezyk,n!A1492,n!B1492,n!C1492,n!D1488)</f>
        <v>Siedzibą Spółki jest Warszawa 02-595, ul. ul. Puławska 99</v>
      </c>
      <c r="D84" s="574"/>
      <c r="E84" s="574"/>
      <c r="F84" s="574"/>
      <c r="G84" s="574"/>
      <c r="H84" s="574"/>
      <c r="I84" s="574"/>
      <c r="J84" s="574"/>
      <c r="K84" s="574"/>
      <c r="L84" s="574"/>
      <c r="M84" s="574"/>
      <c r="N84" s="574"/>
      <c r="O84" s="600"/>
      <c r="P84" s="600"/>
      <c r="U84" s="600"/>
    </row>
    <row r="85" spans="2:28" s="576" customFormat="1">
      <c r="B85" s="573"/>
      <c r="C85" s="574"/>
      <c r="D85" s="574"/>
      <c r="E85" s="574"/>
      <c r="F85" s="574"/>
      <c r="G85" s="574"/>
      <c r="H85" s="574"/>
      <c r="I85" s="574"/>
      <c r="J85" s="574"/>
      <c r="K85" s="574"/>
      <c r="L85" s="574"/>
      <c r="M85" s="574"/>
      <c r="N85" s="574"/>
      <c r="O85" s="600"/>
      <c r="P85" s="600"/>
      <c r="U85" s="600"/>
    </row>
    <row r="86" spans="2:28" s="576" customFormat="1" ht="42.75" customHeight="1">
      <c r="B86" s="573"/>
      <c r="C86" s="1201" t="str">
        <f>CHOOSE(jezyk,n!A1658,n!B1658,n!C1658,n!D1654)</f>
        <v>Podstawą działalności Spółki jest umowa Spółki z dnia ……………..,  sporządzona w (nawa kancelarii) w (miasto) pod sygnaturą akt Repertorium ……………. wraz z późniejszymi zmianami.</v>
      </c>
      <c r="D86" s="1201"/>
      <c r="E86" s="1201"/>
      <c r="F86" s="1201"/>
      <c r="G86" s="1201"/>
      <c r="H86" s="1201"/>
      <c r="I86" s="1201"/>
      <c r="J86" s="1201"/>
      <c r="K86" s="1201"/>
      <c r="L86" s="1201"/>
      <c r="M86" s="1201"/>
      <c r="N86" s="1201"/>
      <c r="O86" s="1201"/>
      <c r="P86" s="1201"/>
      <c r="Q86" s="1201"/>
      <c r="R86" s="1201"/>
      <c r="S86" s="1201"/>
      <c r="T86" s="1201"/>
      <c r="U86" s="1201"/>
      <c r="V86" s="1201"/>
      <c r="Y86" s="577"/>
      <c r="Z86" s="577"/>
      <c r="AA86" s="577"/>
      <c r="AB86" s="577"/>
    </row>
    <row r="87" spans="2:28" s="576" customFormat="1" ht="12.75" customHeight="1">
      <c r="B87" s="602"/>
      <c r="C87" s="602"/>
      <c r="D87" s="602"/>
      <c r="E87" s="602"/>
      <c r="F87" s="602"/>
      <c r="G87" s="602"/>
      <c r="H87" s="602"/>
      <c r="I87" s="602"/>
      <c r="J87" s="602"/>
      <c r="K87" s="602"/>
      <c r="L87" s="602"/>
      <c r="M87" s="602"/>
      <c r="N87" s="602"/>
      <c r="O87" s="602"/>
      <c r="P87" s="602"/>
      <c r="Q87" s="602"/>
      <c r="R87" s="602"/>
      <c r="S87" s="602"/>
      <c r="T87" s="602"/>
      <c r="U87" s="602"/>
      <c r="V87" s="602"/>
      <c r="Y87" s="577"/>
      <c r="Z87" s="577"/>
      <c r="AA87" s="577"/>
      <c r="AB87" s="577"/>
    </row>
    <row r="88" spans="2:28" s="576" customFormat="1">
      <c r="B88" s="595" t="str">
        <f>CHOOSE(jezyk,n!A1493,n!B1493,n!C1493,n!D1489)</f>
        <v>Kapitał zakładowy</v>
      </c>
      <c r="C88" s="574"/>
      <c r="D88" s="574"/>
      <c r="E88" s="574"/>
      <c r="F88" s="574"/>
      <c r="G88" s="574"/>
      <c r="H88" s="574"/>
      <c r="I88" s="574"/>
      <c r="J88" s="574"/>
      <c r="K88" s="574"/>
      <c r="L88" s="574"/>
      <c r="M88" s="574"/>
      <c r="N88" s="574"/>
      <c r="O88" s="600"/>
      <c r="P88" s="600"/>
      <c r="U88" s="600"/>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25.5" customHeight="1">
      <c r="B90" s="573"/>
      <c r="C90" s="1201" t="str">
        <f>CHOOSE(jezyk,n!A1660,n!B1660,n!C1660,n!D1656)</f>
        <v>Kapitał zakładowy Spółki  wynosi PLN ………….... Składa się z ………. akcji o wartości nominalnej PLN ………. każdy.</v>
      </c>
      <c r="D90" s="1201"/>
      <c r="E90" s="1201"/>
      <c r="F90" s="1201"/>
      <c r="G90" s="1201"/>
      <c r="H90" s="1201"/>
      <c r="I90" s="1201"/>
      <c r="J90" s="1201"/>
      <c r="K90" s="1201"/>
      <c r="L90" s="1201"/>
      <c r="M90" s="1201"/>
      <c r="N90" s="1201"/>
      <c r="O90" s="1201"/>
      <c r="P90" s="1201"/>
      <c r="Q90" s="1201"/>
      <c r="R90" s="1201"/>
      <c r="S90" s="1201"/>
      <c r="T90" s="1201"/>
      <c r="U90" s="1201"/>
      <c r="V90" s="1201"/>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ht="35.25" customHeight="1">
      <c r="B92" s="573"/>
      <c r="C92" s="1201" t="s">
        <v>901</v>
      </c>
      <c r="D92" s="1201"/>
      <c r="E92" s="1201"/>
      <c r="F92" s="1201"/>
      <c r="G92" s="1201"/>
      <c r="H92" s="1201"/>
      <c r="I92" s="1201"/>
      <c r="J92" s="1201"/>
      <c r="K92" s="1201"/>
      <c r="L92" s="1201"/>
      <c r="M92" s="1201"/>
      <c r="N92" s="1201"/>
      <c r="O92" s="1201"/>
      <c r="P92" s="1201"/>
      <c r="Q92" s="1201"/>
      <c r="R92" s="1201"/>
      <c r="S92" s="1201"/>
      <c r="T92" s="1201"/>
      <c r="U92" s="1201"/>
      <c r="V92" s="1201"/>
      <c r="Y92" s="577"/>
      <c r="Z92" s="577"/>
      <c r="AA92" s="577"/>
      <c r="AB92" s="577"/>
    </row>
    <row r="93" spans="2:28" s="576" customFormat="1">
      <c r="B93" s="573"/>
      <c r="C93" s="574"/>
      <c r="D93" s="574"/>
      <c r="E93" s="574"/>
      <c r="F93" s="574"/>
      <c r="G93" s="574"/>
      <c r="H93" s="574"/>
      <c r="I93" s="574"/>
      <c r="J93" s="574"/>
      <c r="K93" s="574"/>
      <c r="L93" s="574"/>
      <c r="M93" s="574"/>
      <c r="N93" s="574"/>
      <c r="O93" s="574"/>
      <c r="P93" s="574"/>
      <c r="Q93" s="574"/>
      <c r="R93" s="574"/>
      <c r="S93" s="574"/>
      <c r="T93" s="574"/>
      <c r="U93" s="574"/>
      <c r="V93" s="574"/>
      <c r="Y93" s="577"/>
      <c r="Z93" s="577"/>
      <c r="AA93" s="577"/>
      <c r="AB93" s="577"/>
    </row>
    <row r="94" spans="2:28" s="576" customFormat="1">
      <c r="B94" s="595" t="str">
        <f>CHOOSE(jezyk,n!A1672,n!B1672,n!C1672,n!D1668)</f>
        <v>Zarząd i przedstawicielstwo</v>
      </c>
      <c r="C94" s="574"/>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t="str">
        <f>CHOOSE(jezyk,n!A1495,n!B1495,n!C1495,n!D1491)</f>
        <v>W okresie sprawozdawczym Zarząd sprawowali:</v>
      </c>
      <c r="D96" s="574"/>
      <c r="E96" s="574"/>
      <c r="F96" s="574"/>
      <c r="G96" s="574"/>
      <c r="H96" s="574"/>
      <c r="I96" s="574"/>
      <c r="J96" s="574"/>
      <c r="K96" s="574"/>
      <c r="L96" s="574"/>
      <c r="M96" s="574"/>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198" t="str">
        <f>CHOOSE(jezyk,n!A1662,n!B1662,n!C1662,n!D1658)</f>
        <v>Pan/Pani</v>
      </c>
      <c r="F98" s="1198"/>
      <c r="G98" s="1198"/>
      <c r="H98" s="1198"/>
      <c r="I98" s="1198"/>
      <c r="J98" s="1198"/>
      <c r="K98" s="1198"/>
      <c r="L98" s="1198"/>
      <c r="M98" s="1198"/>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73"/>
      <c r="C100" s="574"/>
      <c r="D100" s="574"/>
      <c r="E100" s="1198" t="str">
        <f>CHOOSE(jezyk,n!A1662,n!B1662,n!C1662,n!D1658)</f>
        <v>Pan/Pani</v>
      </c>
      <c r="F100" s="1198"/>
      <c r="G100" s="1198"/>
      <c r="H100" s="1198"/>
      <c r="I100" s="1198"/>
      <c r="J100" s="1198"/>
      <c r="K100" s="1198"/>
      <c r="L100" s="1198"/>
      <c r="M100" s="1198"/>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95" t="str">
        <f>CHOOSE(jezyk,n!A1496,n!B1496,n!C1496,n!D1492)</f>
        <v>Rada Nadzorcza</v>
      </c>
      <c r="C102" s="574"/>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t="str">
        <f>CHOOSE(jezyk,n!A1497,n!B1497,n!C1497,n!D1493)</f>
        <v>W Radzie Nadzorczej zasiadają:</v>
      </c>
      <c r="D104" s="574"/>
      <c r="E104" s="574"/>
      <c r="F104" s="574"/>
      <c r="G104" s="574"/>
      <c r="H104" s="574"/>
      <c r="I104" s="574"/>
      <c r="J104" s="574"/>
      <c r="K104" s="574"/>
      <c r="L104" s="574"/>
      <c r="M104" s="574"/>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198" t="str">
        <f>CHOOSE(jezyk,n!A1662,n!B1662,n!C1662,n!D1658)</f>
        <v>Pan/Pani</v>
      </c>
      <c r="F106" s="1198"/>
      <c r="G106" s="1198"/>
      <c r="H106" s="1198"/>
      <c r="I106" s="1198"/>
      <c r="J106" s="1198"/>
      <c r="K106" s="1198"/>
      <c r="L106" s="1198"/>
      <c r="M106" s="1198"/>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198" t="str">
        <f>CHOOSE(jezyk,n!A1662,n!B1662,n!C1662,n!D1658)</f>
        <v>Pan/Pani</v>
      </c>
      <c r="F108" s="1198"/>
      <c r="G108" s="1198"/>
      <c r="H108" s="1198"/>
      <c r="I108" s="1198"/>
      <c r="J108" s="1198"/>
      <c r="K108" s="1198"/>
      <c r="L108" s="1198"/>
      <c r="M108" s="1198"/>
      <c r="N108" s="574"/>
      <c r="O108" s="600"/>
      <c r="P108" s="600"/>
      <c r="U108" s="600"/>
    </row>
    <row r="109" spans="2:21" s="576" customFormat="1">
      <c r="B109" s="573"/>
      <c r="C109" s="574"/>
      <c r="D109" s="574"/>
      <c r="E109" s="574"/>
      <c r="F109" s="574"/>
      <c r="G109" s="574"/>
      <c r="H109" s="574"/>
      <c r="I109" s="574"/>
      <c r="J109" s="574"/>
      <c r="K109" s="574"/>
      <c r="L109" s="574"/>
      <c r="M109" s="574"/>
      <c r="N109" s="574"/>
      <c r="O109" s="600"/>
      <c r="P109" s="600"/>
      <c r="U109" s="600"/>
    </row>
    <row r="110" spans="2:21" s="576" customFormat="1">
      <c r="B110" s="573"/>
      <c r="C110" s="574"/>
      <c r="D110" s="574"/>
      <c r="E110" s="1198" t="str">
        <f>CHOOSE(jezyk,n!A1662,n!B1662,n!C1662,n!D1658)</f>
        <v>Pan/Pani</v>
      </c>
      <c r="F110" s="1198"/>
      <c r="G110" s="1198"/>
      <c r="H110" s="1198"/>
      <c r="I110" s="1198"/>
      <c r="J110" s="1198"/>
      <c r="K110" s="1198"/>
      <c r="L110" s="1198"/>
      <c r="M110" s="1198"/>
      <c r="N110" s="574"/>
      <c r="O110" s="600"/>
      <c r="P110" s="600"/>
      <c r="U110" s="600"/>
    </row>
    <row r="111" spans="2:21" s="576" customFormat="1">
      <c r="B111" s="573"/>
      <c r="C111" s="574"/>
      <c r="D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3" s="576" customFormat="1">
      <c r="B113" s="595" t="str">
        <f>CHOOSE(jezyk,n!A1498,n!B1498,n!C1498,n!D1494)</f>
        <v>Przedmiot działalności jednostki</v>
      </c>
      <c r="C113" s="574"/>
      <c r="D113" s="574"/>
      <c r="E113" s="574"/>
      <c r="F113" s="574"/>
      <c r="G113" s="574"/>
      <c r="H113" s="574"/>
      <c r="I113" s="574"/>
      <c r="J113" s="574"/>
      <c r="K113" s="574"/>
      <c r="L113" s="574"/>
      <c r="M113" s="574"/>
      <c r="N113" s="574"/>
      <c r="O113" s="600"/>
      <c r="P113" s="600"/>
      <c r="U113" s="600"/>
    </row>
    <row r="114" spans="2:23" s="576" customFormat="1">
      <c r="B114" s="573"/>
      <c r="C114" s="574"/>
      <c r="D114" s="574"/>
      <c r="E114" s="574"/>
      <c r="F114" s="574"/>
      <c r="G114" s="574"/>
      <c r="H114" s="574"/>
      <c r="I114" s="574"/>
      <c r="J114" s="574"/>
      <c r="K114" s="574"/>
      <c r="L114" s="574"/>
      <c r="M114" s="574"/>
      <c r="N114" s="574"/>
      <c r="O114" s="600"/>
      <c r="P114" s="600"/>
      <c r="U114" s="600"/>
    </row>
    <row r="115" spans="2:23" s="576" customFormat="1">
      <c r="B115" s="573"/>
      <c r="C115" s="574" t="str">
        <f>CHOOSE(jezyk,n!A1499,n!B1499,n!C1499,n!D1495)</f>
        <v>Przedmiotem działalności jednostki jest:</v>
      </c>
      <c r="D115" s="574"/>
      <c r="E115" s="574"/>
      <c r="F115" s="574"/>
      <c r="G115" s="574"/>
      <c r="H115" s="574"/>
      <c r="I115" s="574"/>
      <c r="J115" s="574"/>
      <c r="K115" s="574"/>
      <c r="L115" s="574"/>
      <c r="M115" s="574"/>
      <c r="N115" s="574"/>
      <c r="O115" s="600"/>
      <c r="P115" s="600"/>
      <c r="U115" s="600"/>
      <c r="W115" s="601"/>
    </row>
    <row r="116" spans="2:23" s="576" customFormat="1" ht="14.25" customHeight="1">
      <c r="B116" s="573"/>
      <c r="C116" s="574"/>
      <c r="D116" s="574"/>
      <c r="E116" s="574"/>
      <c r="F116" s="574"/>
      <c r="G116" s="574"/>
      <c r="H116" s="574"/>
      <c r="I116" s="574"/>
      <c r="J116" s="574"/>
      <c r="K116" s="574"/>
      <c r="L116" s="574"/>
      <c r="M116" s="574"/>
      <c r="N116" s="574"/>
      <c r="O116" s="600"/>
      <c r="P116" s="600"/>
      <c r="U116" s="600"/>
    </row>
    <row r="117" spans="2:23" s="576" customFormat="1">
      <c r="B117" s="573"/>
      <c r="C117" s="603" t="s">
        <v>533</v>
      </c>
      <c r="D117" s="1203"/>
      <c r="E117" s="1203"/>
      <c r="F117" s="1203"/>
      <c r="G117" s="1203"/>
      <c r="H117" s="1203"/>
      <c r="I117" s="1203"/>
      <c r="J117" s="1203"/>
      <c r="K117" s="1203"/>
      <c r="L117" s="1203"/>
      <c r="M117" s="1203"/>
      <c r="N117" s="1203"/>
      <c r="O117" s="1203"/>
      <c r="P117" s="1203"/>
      <c r="Q117" s="1203"/>
      <c r="R117" s="1203"/>
      <c r="S117" s="1203"/>
    </row>
    <row r="118" spans="2:23" s="576" customFormat="1" ht="14.25" customHeight="1">
      <c r="B118" s="573"/>
      <c r="C118" s="574"/>
      <c r="D118" s="574"/>
      <c r="E118" s="574"/>
      <c r="F118" s="574"/>
      <c r="G118" s="574"/>
      <c r="H118" s="574"/>
      <c r="I118" s="574"/>
      <c r="J118" s="574"/>
      <c r="K118" s="574"/>
      <c r="L118" s="574"/>
      <c r="M118" s="574"/>
      <c r="N118" s="574"/>
      <c r="O118" s="600"/>
      <c r="P118" s="600"/>
      <c r="U118" s="600"/>
    </row>
    <row r="119" spans="2:23" s="576" customFormat="1">
      <c r="B119" s="573"/>
      <c r="C119" s="603" t="s">
        <v>533</v>
      </c>
      <c r="D119" s="1203"/>
      <c r="E119" s="1203"/>
      <c r="F119" s="1203"/>
      <c r="G119" s="1203"/>
      <c r="H119" s="1203"/>
      <c r="I119" s="1203"/>
      <c r="J119" s="1203"/>
      <c r="K119" s="1203"/>
      <c r="L119" s="1203"/>
      <c r="M119" s="1203"/>
      <c r="N119" s="1203"/>
      <c r="O119" s="1203"/>
      <c r="P119" s="1203"/>
      <c r="Q119" s="1203"/>
      <c r="R119" s="1203"/>
      <c r="S119" s="1203"/>
      <c r="U119" s="600"/>
    </row>
    <row r="120" spans="2:23" s="576" customFormat="1" ht="14.25" customHeight="1">
      <c r="B120" s="573"/>
      <c r="C120" s="574"/>
      <c r="D120" s="574"/>
      <c r="E120" s="574"/>
      <c r="F120" s="574"/>
      <c r="G120" s="574"/>
      <c r="H120" s="574"/>
      <c r="I120" s="574"/>
      <c r="J120" s="574"/>
      <c r="K120" s="574"/>
      <c r="L120" s="574"/>
      <c r="M120" s="574"/>
      <c r="N120" s="574"/>
      <c r="O120" s="600"/>
      <c r="P120" s="600"/>
      <c r="U120" s="600"/>
    </row>
    <row r="121" spans="2:23" s="576" customFormat="1">
      <c r="B121" s="573"/>
      <c r="C121" s="603" t="s">
        <v>533</v>
      </c>
      <c r="D121" s="1203"/>
      <c r="E121" s="1203"/>
      <c r="F121" s="1203"/>
      <c r="G121" s="1203"/>
      <c r="H121" s="1203"/>
      <c r="I121" s="1203"/>
      <c r="J121" s="1203"/>
      <c r="K121" s="1203"/>
      <c r="L121" s="1203"/>
      <c r="M121" s="1203"/>
      <c r="N121" s="1203"/>
      <c r="O121" s="1203"/>
      <c r="P121" s="1203"/>
      <c r="Q121" s="1203"/>
      <c r="R121" s="1203"/>
      <c r="S121" s="1203"/>
      <c r="U121" s="600"/>
    </row>
    <row r="122" spans="2:23" s="576" customFormat="1" ht="14.25" customHeight="1">
      <c r="B122" s="573"/>
      <c r="C122" s="574"/>
      <c r="D122" s="574"/>
      <c r="E122" s="574"/>
      <c r="F122" s="574"/>
      <c r="G122" s="574"/>
      <c r="H122" s="574"/>
      <c r="I122" s="574"/>
      <c r="J122" s="574"/>
      <c r="K122" s="574"/>
      <c r="L122" s="574"/>
      <c r="M122" s="574"/>
      <c r="N122" s="574"/>
      <c r="O122" s="600"/>
      <c r="P122" s="600"/>
      <c r="U122" s="600"/>
    </row>
    <row r="123" spans="2:23" s="576" customFormat="1">
      <c r="B123" s="573"/>
      <c r="C123" s="604" t="s">
        <v>533</v>
      </c>
      <c r="D123" s="1199"/>
      <c r="E123" s="1199"/>
      <c r="F123" s="1199"/>
      <c r="G123" s="1199"/>
      <c r="H123" s="1199"/>
      <c r="I123" s="1199"/>
      <c r="J123" s="1199"/>
      <c r="K123" s="1199"/>
      <c r="L123" s="1199"/>
      <c r="M123" s="1199"/>
      <c r="N123" s="1199"/>
      <c r="O123" s="1199"/>
      <c r="P123" s="1199"/>
      <c r="Q123" s="1199"/>
      <c r="R123" s="1199"/>
      <c r="S123" s="1199"/>
      <c r="T123" s="605"/>
      <c r="U123" s="605"/>
      <c r="V123" s="605"/>
    </row>
    <row r="124" spans="2:23" s="576" customFormat="1" ht="14.25" customHeight="1">
      <c r="B124" s="573"/>
      <c r="C124" s="574"/>
      <c r="D124" s="574"/>
      <c r="E124" s="574"/>
      <c r="F124" s="574"/>
      <c r="G124" s="574"/>
      <c r="H124" s="574"/>
      <c r="I124" s="574"/>
      <c r="J124" s="574"/>
      <c r="K124" s="574"/>
      <c r="L124" s="574"/>
      <c r="M124" s="574"/>
      <c r="N124" s="574"/>
      <c r="O124" s="600"/>
      <c r="P124" s="600"/>
      <c r="U124" s="600"/>
    </row>
    <row r="125" spans="2:23" s="576" customFormat="1">
      <c r="B125" s="573"/>
      <c r="C125" s="603" t="s">
        <v>533</v>
      </c>
      <c r="D125" s="1203"/>
      <c r="E125" s="1203"/>
      <c r="F125" s="1203"/>
      <c r="G125" s="1203"/>
      <c r="H125" s="1203"/>
      <c r="I125" s="1203"/>
      <c r="J125" s="1203"/>
      <c r="K125" s="1203"/>
      <c r="L125" s="1203"/>
      <c r="M125" s="1203"/>
      <c r="N125" s="1203"/>
      <c r="O125" s="1203"/>
      <c r="P125" s="1203"/>
      <c r="Q125" s="1203"/>
      <c r="R125" s="1203"/>
      <c r="S125" s="1203"/>
      <c r="U125" s="600"/>
    </row>
    <row r="126" spans="2:23" s="576" customFormat="1" ht="14.25" customHeight="1">
      <c r="B126" s="573"/>
      <c r="C126" s="574"/>
      <c r="D126" s="574"/>
      <c r="E126" s="574"/>
      <c r="F126" s="574"/>
      <c r="G126" s="574"/>
      <c r="H126" s="574"/>
      <c r="I126" s="574"/>
      <c r="J126" s="574"/>
      <c r="K126" s="574"/>
      <c r="L126" s="574"/>
      <c r="M126" s="574"/>
      <c r="N126" s="574"/>
      <c r="O126" s="600"/>
      <c r="P126" s="600"/>
      <c r="U126" s="600"/>
    </row>
    <row r="127" spans="2:23" s="576" customFormat="1">
      <c r="B127" s="573"/>
      <c r="C127" s="603" t="s">
        <v>533</v>
      </c>
      <c r="D127" s="1198"/>
      <c r="E127" s="1198"/>
      <c r="F127" s="1198"/>
      <c r="G127" s="1198"/>
      <c r="H127" s="1198"/>
      <c r="I127" s="1198"/>
      <c r="J127" s="1198"/>
      <c r="K127" s="1198"/>
      <c r="L127" s="1198"/>
      <c r="M127" s="1198"/>
      <c r="N127" s="1198"/>
      <c r="O127" s="1198"/>
      <c r="P127" s="1198"/>
      <c r="Q127" s="1198"/>
      <c r="R127" s="1198"/>
      <c r="S127" s="1198"/>
      <c r="U127" s="600"/>
    </row>
    <row r="128" spans="2:23" s="576" customFormat="1" ht="14.25" customHeight="1">
      <c r="B128" s="573"/>
      <c r="C128" s="574"/>
      <c r="D128" s="574"/>
      <c r="E128" s="574"/>
      <c r="F128" s="574"/>
      <c r="G128" s="574"/>
      <c r="H128" s="574"/>
      <c r="I128" s="574"/>
      <c r="J128" s="574"/>
      <c r="K128" s="574"/>
      <c r="L128" s="574"/>
      <c r="M128" s="574"/>
      <c r="N128" s="574"/>
      <c r="O128" s="600"/>
      <c r="P128" s="600"/>
      <c r="U128" s="600"/>
    </row>
    <row r="129" spans="2:28" s="576" customFormat="1">
      <c r="B129" s="573"/>
      <c r="C129" s="603" t="s">
        <v>533</v>
      </c>
      <c r="D129" s="1198"/>
      <c r="E129" s="1198"/>
      <c r="F129" s="1198"/>
      <c r="G129" s="1198"/>
      <c r="H129" s="1198"/>
      <c r="I129" s="1198"/>
      <c r="J129" s="1198"/>
      <c r="K129" s="1198"/>
      <c r="L129" s="1198"/>
      <c r="M129" s="1198"/>
      <c r="N129" s="1198"/>
      <c r="O129" s="1198"/>
      <c r="P129" s="1198"/>
      <c r="Q129" s="1198"/>
      <c r="R129" s="1198"/>
      <c r="S129" s="1198"/>
      <c r="U129" s="600"/>
    </row>
    <row r="130" spans="2:28" s="576" customFormat="1" ht="14.25" customHeight="1">
      <c r="B130" s="1214"/>
      <c r="C130" s="1214"/>
      <c r="D130" s="1214"/>
      <c r="E130" s="1214"/>
      <c r="F130" s="1214"/>
      <c r="G130" s="1214"/>
      <c r="H130" s="1214"/>
      <c r="I130" s="1214"/>
      <c r="J130" s="1214"/>
      <c r="K130" s="1214"/>
      <c r="L130" s="1214"/>
      <c r="M130" s="1214"/>
      <c r="N130" s="1214"/>
      <c r="O130" s="1214"/>
      <c r="P130" s="1214"/>
      <c r="Q130" s="1214"/>
      <c r="R130" s="1214"/>
      <c r="S130" s="1214"/>
      <c r="T130" s="1214"/>
      <c r="U130" s="1214"/>
      <c r="V130" s="1214"/>
      <c r="Y130" s="577"/>
      <c r="Z130" s="577"/>
      <c r="AA130" s="577"/>
      <c r="AB130" s="577"/>
    </row>
    <row r="131" spans="2:28" s="576" customFormat="1">
      <c r="B131" s="595" t="str">
        <f>CHOOSE(jezyk,n!A1500,n!B1500,n!C1500,n!D1496)</f>
        <v>Oddziały Spółki</v>
      </c>
      <c r="C131" s="574"/>
      <c r="D131" s="574"/>
      <c r="E131" s="574"/>
      <c r="F131" s="574"/>
      <c r="G131" s="574"/>
      <c r="H131" s="574"/>
      <c r="I131" s="574"/>
      <c r="J131" s="574"/>
      <c r="K131" s="574"/>
      <c r="L131" s="574"/>
      <c r="M131" s="574"/>
      <c r="N131" s="574"/>
      <c r="O131" s="600"/>
      <c r="P131" s="600"/>
      <c r="U131" s="600"/>
    </row>
    <row r="132" spans="2:28" s="576" customFormat="1">
      <c r="B132" s="573"/>
      <c r="C132" s="574"/>
      <c r="D132" s="574"/>
      <c r="E132" s="574"/>
      <c r="F132" s="574"/>
      <c r="G132" s="574"/>
      <c r="H132" s="574"/>
      <c r="I132" s="574"/>
      <c r="J132" s="574"/>
      <c r="K132" s="574"/>
      <c r="L132" s="574"/>
      <c r="M132" s="574"/>
      <c r="N132" s="574"/>
      <c r="O132" s="600"/>
      <c r="P132" s="600"/>
      <c r="U132" s="600"/>
    </row>
    <row r="133" spans="2:28" s="576" customFormat="1">
      <c r="B133" s="573"/>
      <c r="C133" s="603" t="s">
        <v>533</v>
      </c>
      <c r="D133" s="1198" t="str">
        <f>CHOOSE(jezyk,n!A1663,n!B1663,n!C1663,n!D1659)</f>
        <v>Nazwa oddziału</v>
      </c>
      <c r="E133" s="1198"/>
      <c r="F133" s="1198"/>
      <c r="G133" s="1198"/>
      <c r="H133" s="1198"/>
      <c r="I133" s="1198"/>
      <c r="J133" s="1198"/>
      <c r="K133" s="1198"/>
      <c r="L133" s="1198"/>
      <c r="M133" s="1198"/>
      <c r="N133" s="1198"/>
      <c r="O133" s="1198"/>
      <c r="P133" s="1198"/>
      <c r="Q133" s="1198"/>
      <c r="R133" s="1198"/>
      <c r="S133" s="1198"/>
      <c r="U133" s="600"/>
    </row>
    <row r="134" spans="2:28" s="576" customFormat="1">
      <c r="B134" s="573"/>
      <c r="C134" s="574"/>
      <c r="D134" s="1198" t="str">
        <f>CHOOSE(jezyk,n!A1664,n!B1664,n!C1664,n!D1660)</f>
        <v>Adres oddziału</v>
      </c>
      <c r="E134" s="1198"/>
      <c r="F134" s="1198"/>
      <c r="G134" s="1198"/>
      <c r="H134" s="1198"/>
      <c r="I134" s="1198"/>
      <c r="J134" s="1198"/>
      <c r="K134" s="1198"/>
      <c r="L134" s="1198"/>
      <c r="M134" s="1198"/>
      <c r="N134" s="1198"/>
      <c r="O134" s="1198"/>
      <c r="P134" s="1198"/>
      <c r="Q134" s="1198"/>
      <c r="R134" s="1198"/>
      <c r="S134" s="1198"/>
      <c r="T134" s="574"/>
      <c r="U134" s="574"/>
      <c r="V134" s="574"/>
      <c r="Y134" s="577"/>
      <c r="Z134" s="577"/>
      <c r="AA134" s="577"/>
      <c r="AB134" s="577"/>
    </row>
    <row r="135" spans="2:28" s="576" customFormat="1">
      <c r="B135" s="573"/>
      <c r="C135" s="574"/>
      <c r="D135" s="574"/>
      <c r="E135" s="574"/>
      <c r="F135" s="574"/>
      <c r="G135" s="574"/>
      <c r="H135" s="574"/>
      <c r="I135" s="574"/>
      <c r="J135" s="574"/>
      <c r="K135" s="574"/>
      <c r="L135" s="574"/>
      <c r="M135" s="574"/>
      <c r="N135" s="574"/>
      <c r="O135" s="574"/>
      <c r="P135" s="574"/>
      <c r="Q135" s="574"/>
      <c r="R135" s="574"/>
      <c r="S135" s="574"/>
      <c r="T135" s="574"/>
      <c r="U135" s="574"/>
      <c r="V135" s="574"/>
      <c r="Y135" s="577"/>
      <c r="Z135" s="577"/>
      <c r="AA135" s="577"/>
      <c r="AB135" s="577"/>
    </row>
    <row r="136" spans="2:28" s="576" customFormat="1">
      <c r="B136" s="573"/>
      <c r="C136" s="603" t="s">
        <v>533</v>
      </c>
      <c r="D136" s="1198" t="str">
        <f>CHOOSE(jezyk,n!A1663,n!B1663,n!C1663,n!D1659)</f>
        <v>Nazwa oddziału</v>
      </c>
      <c r="E136" s="1198"/>
      <c r="F136" s="1198"/>
      <c r="G136" s="1198"/>
      <c r="H136" s="1198"/>
      <c r="I136" s="1198"/>
      <c r="J136" s="1198"/>
      <c r="K136" s="1198"/>
      <c r="L136" s="1198"/>
      <c r="M136" s="1198"/>
      <c r="N136" s="1198"/>
      <c r="O136" s="1198"/>
      <c r="P136" s="1198"/>
      <c r="Q136" s="1198"/>
      <c r="R136" s="1198"/>
      <c r="S136" s="1198"/>
      <c r="T136" s="574"/>
      <c r="U136" s="574"/>
      <c r="V136" s="574"/>
      <c r="Y136" s="577"/>
      <c r="Z136" s="577"/>
      <c r="AA136" s="577"/>
      <c r="AB136" s="577"/>
    </row>
    <row r="137" spans="2:28" s="576" customFormat="1">
      <c r="B137" s="573"/>
      <c r="C137" s="574"/>
      <c r="D137" s="1198" t="str">
        <f>CHOOSE(jezyk,n!A1664,n!B1664,n!C1664,n!D1660)</f>
        <v>Adres oddziału</v>
      </c>
      <c r="E137" s="1198"/>
      <c r="F137" s="1198"/>
      <c r="G137" s="1198"/>
      <c r="H137" s="1198"/>
      <c r="I137" s="1198"/>
      <c r="J137" s="1198"/>
      <c r="K137" s="1198"/>
      <c r="L137" s="1198"/>
      <c r="M137" s="1198"/>
      <c r="N137" s="1198"/>
      <c r="O137" s="1198"/>
      <c r="P137" s="1198"/>
      <c r="Q137" s="1198"/>
      <c r="R137" s="1198"/>
      <c r="S137" s="1198"/>
      <c r="T137" s="574"/>
      <c r="U137" s="574"/>
      <c r="V137" s="574"/>
      <c r="Y137" s="577"/>
      <c r="Z137" s="577"/>
      <c r="AA137" s="577"/>
      <c r="AB137" s="577"/>
    </row>
    <row r="138" spans="2:28" s="576" customFormat="1">
      <c r="B138" s="573"/>
      <c r="C138" s="574"/>
      <c r="D138" s="574"/>
      <c r="E138" s="574"/>
      <c r="F138" s="574"/>
      <c r="G138" s="574"/>
      <c r="H138" s="574"/>
      <c r="I138" s="574"/>
      <c r="J138" s="574"/>
      <c r="K138" s="574"/>
      <c r="L138" s="574"/>
      <c r="M138" s="574"/>
      <c r="N138" s="574"/>
      <c r="O138" s="574"/>
      <c r="P138" s="574"/>
      <c r="Q138" s="574"/>
      <c r="R138" s="574"/>
      <c r="S138" s="574"/>
      <c r="T138" s="574"/>
      <c r="U138" s="574"/>
      <c r="V138" s="574"/>
      <c r="Y138" s="577"/>
      <c r="Z138" s="577"/>
      <c r="AA138" s="577"/>
      <c r="AB138" s="577"/>
    </row>
    <row r="139" spans="2:28" s="576" customFormat="1">
      <c r="B139" s="573"/>
      <c r="C139" s="603" t="s">
        <v>533</v>
      </c>
      <c r="D139" s="1198" t="str">
        <f>CHOOSE(jezyk,n!A1663,n!B1663,n!C1663,n!D1659)</f>
        <v>Nazwa oddziału</v>
      </c>
      <c r="E139" s="1198"/>
      <c r="F139" s="1198"/>
      <c r="G139" s="1198"/>
      <c r="H139" s="1198"/>
      <c r="I139" s="1198"/>
      <c r="J139" s="1198"/>
      <c r="K139" s="1198"/>
      <c r="L139" s="1198"/>
      <c r="M139" s="1198"/>
      <c r="N139" s="1198"/>
      <c r="O139" s="1198"/>
      <c r="P139" s="1198"/>
      <c r="Q139" s="1198"/>
      <c r="R139" s="1198"/>
      <c r="S139" s="1198"/>
      <c r="T139" s="574"/>
      <c r="U139" s="574"/>
      <c r="V139" s="574"/>
      <c r="Y139" s="577"/>
      <c r="Z139" s="577"/>
      <c r="AA139" s="577"/>
      <c r="AB139" s="577"/>
    </row>
    <row r="140" spans="2:28" s="576" customFormat="1">
      <c r="B140" s="573"/>
      <c r="C140" s="574"/>
      <c r="D140" s="1198" t="str">
        <f>CHOOSE(jezyk,n!A1664,n!B1664,n!C1664,n!D1660)</f>
        <v>Adres oddziału</v>
      </c>
      <c r="E140" s="1198"/>
      <c r="F140" s="1198"/>
      <c r="G140" s="1198"/>
      <c r="H140" s="1198"/>
      <c r="I140" s="1198"/>
      <c r="J140" s="1198"/>
      <c r="K140" s="1198"/>
      <c r="L140" s="1198"/>
      <c r="M140" s="1198"/>
      <c r="N140" s="1198"/>
      <c r="O140" s="1198"/>
      <c r="P140" s="1198"/>
      <c r="Q140" s="1198"/>
      <c r="R140" s="1198"/>
      <c r="S140" s="1198"/>
      <c r="T140" s="574"/>
      <c r="U140" s="574"/>
      <c r="V140" s="574"/>
      <c r="Y140" s="577"/>
      <c r="Z140" s="577"/>
      <c r="AA140" s="577"/>
      <c r="AB140" s="577"/>
    </row>
    <row r="141" spans="2:28" s="576" customFormat="1">
      <c r="B141" s="573"/>
      <c r="C141" s="574"/>
      <c r="D141" s="574"/>
      <c r="E141" s="574"/>
      <c r="F141" s="574"/>
      <c r="G141" s="574"/>
      <c r="H141" s="574"/>
      <c r="I141" s="574"/>
      <c r="J141" s="574"/>
      <c r="K141" s="574"/>
      <c r="L141" s="574"/>
      <c r="M141" s="574"/>
      <c r="N141" s="574"/>
      <c r="O141" s="574"/>
      <c r="P141" s="574"/>
      <c r="Q141" s="574"/>
      <c r="R141" s="574"/>
      <c r="S141" s="574"/>
      <c r="T141" s="574"/>
      <c r="U141" s="574"/>
      <c r="V141" s="574"/>
      <c r="Y141" s="577"/>
      <c r="Z141" s="577"/>
      <c r="AA141" s="577"/>
      <c r="AB141" s="577"/>
    </row>
    <row r="142" spans="2:28" s="576" customFormat="1">
      <c r="B142" s="573"/>
      <c r="C142" s="603" t="s">
        <v>533</v>
      </c>
      <c r="D142" s="1198" t="str">
        <f>CHOOSE(jezyk,n!A1663,n!B1663,n!C1663,n!D1659)</f>
        <v>Nazwa oddziału</v>
      </c>
      <c r="E142" s="1198"/>
      <c r="F142" s="1198"/>
      <c r="G142" s="1198"/>
      <c r="H142" s="1198"/>
      <c r="I142" s="1198"/>
      <c r="J142" s="1198"/>
      <c r="K142" s="1198"/>
      <c r="L142" s="1198"/>
      <c r="M142" s="1198"/>
      <c r="N142" s="1198"/>
      <c r="O142" s="1198"/>
      <c r="P142" s="1198"/>
      <c r="Q142" s="1198"/>
      <c r="R142" s="1198"/>
      <c r="S142" s="1198"/>
      <c r="T142" s="574"/>
      <c r="U142" s="574"/>
      <c r="V142" s="574"/>
      <c r="Y142" s="577"/>
      <c r="Z142" s="577"/>
      <c r="AA142" s="577"/>
      <c r="AB142" s="577"/>
    </row>
    <row r="143" spans="2:28" s="576" customFormat="1">
      <c r="B143" s="573"/>
      <c r="C143" s="574"/>
      <c r="D143" s="1198" t="str">
        <f>CHOOSE(jezyk,n!A1664,n!B1664,n!C1664,n!D1660)</f>
        <v>Adres oddziału</v>
      </c>
      <c r="E143" s="1198"/>
      <c r="F143" s="1198"/>
      <c r="G143" s="1198"/>
      <c r="H143" s="1198"/>
      <c r="I143" s="1198"/>
      <c r="J143" s="1198"/>
      <c r="K143" s="1198"/>
      <c r="L143" s="1198"/>
      <c r="M143" s="1198"/>
      <c r="N143" s="1198"/>
      <c r="O143" s="1198"/>
      <c r="P143" s="1198"/>
      <c r="Q143" s="1198"/>
      <c r="R143" s="1198"/>
      <c r="S143" s="1198"/>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73"/>
      <c r="C150" s="574"/>
      <c r="D150" s="574"/>
      <c r="E150" s="574"/>
      <c r="F150" s="574"/>
      <c r="G150" s="574"/>
      <c r="H150" s="574"/>
      <c r="I150" s="574"/>
      <c r="J150" s="574"/>
      <c r="K150" s="574"/>
      <c r="L150" s="574"/>
      <c r="M150" s="574"/>
      <c r="N150" s="574"/>
      <c r="O150" s="574"/>
      <c r="P150" s="574"/>
      <c r="Q150" s="574"/>
      <c r="R150" s="574"/>
      <c r="S150" s="574"/>
      <c r="T150" s="574"/>
      <c r="U150" s="574"/>
      <c r="V150" s="574"/>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95" t="s">
        <v>1450</v>
      </c>
      <c r="C152" s="584" t="str">
        <f>CHOOSE(jezyk,n!A1481,n!B1481,n!C1481,n!D1477)</f>
        <v>SPRZEDAŻ</v>
      </c>
      <c r="D152" s="574"/>
      <c r="E152" s="574"/>
      <c r="F152" s="574"/>
      <c r="G152" s="574"/>
      <c r="H152" s="574"/>
      <c r="I152" s="574"/>
      <c r="J152" s="574"/>
      <c r="K152" s="574"/>
      <c r="L152" s="574"/>
      <c r="M152" s="574"/>
      <c r="N152" s="574"/>
      <c r="O152" s="574"/>
      <c r="P152" s="574"/>
      <c r="Q152" s="574"/>
      <c r="R152" s="574"/>
      <c r="S152" s="574"/>
      <c r="T152" s="574"/>
      <c r="U152" s="574"/>
      <c r="V152" s="574"/>
      <c r="W152" s="596">
        <v>5</v>
      </c>
      <c r="X152" s="597" t="s">
        <v>1526</v>
      </c>
      <c r="Y152" s="577"/>
      <c r="Z152" s="577"/>
      <c r="AA152" s="577"/>
      <c r="AB152" s="577"/>
    </row>
    <row r="153" spans="2:28" s="576" customFormat="1">
      <c r="B153" s="573"/>
      <c r="C153" s="574"/>
      <c r="D153" s="574"/>
      <c r="E153" s="574"/>
      <c r="F153" s="574"/>
      <c r="G153" s="574"/>
      <c r="H153" s="574"/>
      <c r="I153" s="574"/>
      <c r="J153" s="574"/>
      <c r="K153" s="574"/>
      <c r="L153" s="574"/>
      <c r="M153" s="574"/>
      <c r="N153" s="574"/>
      <c r="O153" s="574"/>
      <c r="P153" s="574"/>
      <c r="Q153" s="574"/>
      <c r="R153" s="574"/>
      <c r="S153" s="574"/>
      <c r="T153" s="574"/>
      <c r="U153" s="574"/>
      <c r="V153" s="574"/>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4" customHeight="1">
      <c r="B155" s="1201" t="str">
        <f>CHOOSE(jezyk,n!A1665,n!B1665,n!C1665,n!D1661)</f>
        <v>Spółka uzyskuje przychody ze sprzedaży usług na terenie kraju i/lub za granicą.</v>
      </c>
      <c r="C155" s="1201"/>
      <c r="D155" s="1201"/>
      <c r="E155" s="1201"/>
      <c r="F155" s="1201"/>
      <c r="G155" s="1201"/>
      <c r="H155" s="1201"/>
      <c r="I155" s="1201"/>
      <c r="J155" s="1201"/>
      <c r="K155" s="1201"/>
      <c r="L155" s="1201"/>
      <c r="M155" s="1201"/>
      <c r="N155" s="1201"/>
      <c r="O155" s="1201"/>
      <c r="P155" s="1201"/>
      <c r="Q155" s="1201"/>
      <c r="R155" s="1201"/>
      <c r="S155" s="1201"/>
      <c r="T155" s="1201"/>
      <c r="U155" s="1201"/>
      <c r="V155" s="1201"/>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29.25" customHeight="1">
      <c r="B157" s="1201" t="str">
        <f>CHOOSE(jezyk,n!A1666,n!B1666,n!C1666,n!D1662)</f>
        <v>Spółka uzyskała w analizowanym okresie wynik netto w wysokości PLN …………..., na który składa się w szczególności ………………….</v>
      </c>
      <c r="C157" s="1201"/>
      <c r="D157" s="1201"/>
      <c r="E157" s="1201"/>
      <c r="F157" s="1201"/>
      <c r="G157" s="1201"/>
      <c r="H157" s="1201"/>
      <c r="I157" s="1201"/>
      <c r="J157" s="1201"/>
      <c r="K157" s="1201"/>
      <c r="L157" s="1201"/>
      <c r="M157" s="1201"/>
      <c r="N157" s="1201"/>
      <c r="O157" s="1201"/>
      <c r="P157" s="1201"/>
      <c r="Q157" s="1201"/>
      <c r="R157" s="1201"/>
      <c r="S157" s="1201"/>
      <c r="T157" s="1201"/>
      <c r="U157" s="1201"/>
      <c r="V157" s="1201"/>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1201" t="s">
        <v>902</v>
      </c>
      <c r="C159" s="1201"/>
      <c r="D159" s="1201"/>
      <c r="E159" s="1201"/>
      <c r="F159" s="1201"/>
      <c r="G159" s="1201"/>
      <c r="H159" s="1201"/>
      <c r="I159" s="1201"/>
      <c r="J159" s="1201"/>
      <c r="K159" s="1201"/>
      <c r="L159" s="1201"/>
      <c r="M159" s="1201"/>
      <c r="N159" s="1201"/>
      <c r="O159" s="1201"/>
      <c r="P159" s="1201"/>
      <c r="Q159" s="1201"/>
      <c r="R159" s="1201"/>
      <c r="S159" s="1201"/>
      <c r="T159" s="1201"/>
      <c r="U159" s="1201"/>
      <c r="V159" s="1201"/>
      <c r="Y159" s="577"/>
      <c r="Z159" s="577"/>
      <c r="AA159" s="577"/>
      <c r="AB159" s="577"/>
    </row>
    <row r="160" spans="2:28" s="576" customFormat="1">
      <c r="B160" s="573"/>
      <c r="C160" s="574"/>
      <c r="D160" s="574"/>
      <c r="E160" s="574"/>
      <c r="F160" s="574"/>
      <c r="G160" s="574"/>
      <c r="H160" s="574"/>
      <c r="I160" s="574"/>
      <c r="J160" s="574"/>
      <c r="K160" s="574"/>
      <c r="L160" s="574"/>
      <c r="M160" s="574"/>
      <c r="N160" s="574"/>
      <c r="O160" s="574"/>
      <c r="P160" s="574"/>
      <c r="Q160" s="574"/>
      <c r="R160" s="574"/>
      <c r="S160" s="574"/>
      <c r="T160" s="574"/>
      <c r="U160" s="574"/>
      <c r="V160" s="574"/>
      <c r="Y160" s="577"/>
      <c r="Z160" s="577"/>
      <c r="AA160" s="577"/>
      <c r="AB160" s="577"/>
    </row>
    <row r="161" spans="2:28" s="576" customFormat="1">
      <c r="B161" s="573"/>
      <c r="C161" s="574"/>
      <c r="D161" s="574"/>
      <c r="E161" s="574"/>
      <c r="F161" s="574"/>
      <c r="G161" s="574"/>
      <c r="H161" s="574"/>
      <c r="I161" s="574"/>
      <c r="J161" s="574"/>
      <c r="K161" s="574"/>
      <c r="L161" s="574"/>
      <c r="M161" s="574"/>
      <c r="N161" s="574"/>
      <c r="O161" s="574"/>
      <c r="P161" s="574"/>
      <c r="Q161" s="574"/>
      <c r="R161" s="574"/>
      <c r="S161" s="574"/>
      <c r="T161" s="574"/>
      <c r="U161" s="574"/>
      <c r="V161" s="574"/>
      <c r="Y161" s="577"/>
      <c r="Z161" s="577"/>
      <c r="AA161" s="577"/>
      <c r="AB161" s="577"/>
    </row>
    <row r="162" spans="2:28" s="576" customFormat="1">
      <c r="B162" s="573"/>
      <c r="C162" s="574"/>
      <c r="D162" s="574"/>
      <c r="E162" s="574"/>
      <c r="F162" s="574"/>
      <c r="G162" s="574"/>
      <c r="H162" s="574"/>
      <c r="I162" s="574"/>
      <c r="J162" s="574"/>
      <c r="K162" s="574"/>
      <c r="L162" s="574"/>
      <c r="M162" s="574"/>
      <c r="N162" s="574"/>
      <c r="O162" s="600"/>
      <c r="P162" s="600"/>
      <c r="U162" s="600"/>
    </row>
    <row r="163" spans="2:28" s="576" customFormat="1">
      <c r="B163" s="595" t="s">
        <v>782</v>
      </c>
      <c r="C163" s="584" t="str">
        <f>CHOOSE(jezyk,n!A1482,n!B1482,n!C1482,n!D1478)</f>
        <v>PERSONEL</v>
      </c>
      <c r="D163" s="574"/>
      <c r="E163" s="574"/>
      <c r="F163" s="574"/>
      <c r="G163" s="574"/>
      <c r="H163" s="574"/>
      <c r="I163" s="574"/>
      <c r="J163" s="574"/>
      <c r="K163" s="574"/>
      <c r="L163" s="574"/>
      <c r="M163" s="574"/>
      <c r="N163" s="574"/>
      <c r="O163" s="600"/>
      <c r="P163" s="600"/>
      <c r="U163" s="600"/>
      <c r="W163" s="596">
        <v>5</v>
      </c>
      <c r="X163" s="597" t="s">
        <v>1526</v>
      </c>
    </row>
    <row r="164" spans="2:28" s="576" customFormat="1">
      <c r="B164" s="595"/>
      <c r="C164" s="584"/>
      <c r="D164" s="574"/>
      <c r="E164" s="574"/>
      <c r="F164" s="574"/>
      <c r="G164" s="574"/>
      <c r="H164" s="574"/>
      <c r="I164" s="574"/>
      <c r="J164" s="574"/>
      <c r="K164" s="574"/>
      <c r="L164" s="574"/>
      <c r="M164" s="574"/>
      <c r="N164" s="574"/>
      <c r="O164" s="600"/>
      <c r="P164" s="600"/>
      <c r="U164" s="600"/>
    </row>
    <row r="165" spans="2:28" s="576" customFormat="1">
      <c r="B165" s="573"/>
      <c r="C165" s="574"/>
      <c r="D165" s="574"/>
      <c r="E165" s="574"/>
      <c r="F165" s="574"/>
      <c r="G165" s="574"/>
      <c r="H165" s="574"/>
      <c r="I165" s="574"/>
      <c r="J165" s="574"/>
      <c r="K165" s="574"/>
      <c r="L165" s="574"/>
      <c r="M165" s="574"/>
      <c r="N165" s="574"/>
      <c r="O165" s="600"/>
      <c r="P165" s="600"/>
      <c r="U165" s="600"/>
      <c r="W165" s="578"/>
    </row>
    <row r="166" spans="2:28" s="576" customFormat="1">
      <c r="B166" s="1213" t="str">
        <f>CHOOSE(jezyk,n!A1667,n!B1667,n!C1667,n!D1663)</f>
        <v>Na dzień 31.12.2024 w Spółce zatrudnione były/była …………… osoby/ osoba</v>
      </c>
      <c r="C166" s="1213"/>
      <c r="D166" s="1213"/>
      <c r="E166" s="1213"/>
      <c r="F166" s="1213"/>
      <c r="G166" s="1213"/>
      <c r="H166" s="1213"/>
      <c r="I166" s="1213"/>
      <c r="J166" s="1213"/>
      <c r="K166" s="1213"/>
      <c r="L166" s="1213"/>
      <c r="M166" s="1213"/>
      <c r="N166" s="1213"/>
      <c r="O166" s="1213"/>
      <c r="P166" s="1213"/>
      <c r="Q166" s="1213"/>
      <c r="R166" s="1213"/>
      <c r="S166" s="1213"/>
      <c r="T166" s="1213"/>
      <c r="U166" s="1213"/>
      <c r="V166" s="1213"/>
      <c r="W166" s="578"/>
    </row>
    <row r="167" spans="2:28"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8"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8"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8"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8"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8"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8"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8"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8"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8"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hidden="1">
      <c r="B178" s="573"/>
      <c r="C178" s="574"/>
      <c r="D178" s="574"/>
      <c r="E178" s="574"/>
      <c r="F178" s="574"/>
      <c r="G178" s="574"/>
      <c r="H178" s="574"/>
      <c r="I178" s="575"/>
      <c r="J178" s="575"/>
      <c r="K178" s="574"/>
      <c r="L178" s="574"/>
      <c r="M178" s="575"/>
      <c r="N178" s="575"/>
      <c r="O178" s="606"/>
      <c r="P178" s="606"/>
      <c r="Q178" s="577"/>
      <c r="R178" s="577"/>
      <c r="S178" s="577"/>
      <c r="U178" s="606"/>
      <c r="W178" s="578"/>
    </row>
    <row r="179" spans="2:24" s="576" customFormat="1" hidden="1">
      <c r="B179" s="573"/>
      <c r="C179" s="574"/>
      <c r="D179" s="574"/>
      <c r="E179" s="574"/>
      <c r="F179" s="574"/>
      <c r="G179" s="574"/>
      <c r="H179" s="574"/>
      <c r="I179" s="575"/>
      <c r="J179" s="575"/>
      <c r="K179" s="574"/>
      <c r="L179" s="574"/>
      <c r="M179" s="575"/>
      <c r="N179" s="575"/>
      <c r="O179" s="606"/>
      <c r="P179" s="606"/>
      <c r="Q179" s="577"/>
      <c r="R179" s="577"/>
      <c r="S179" s="577"/>
      <c r="U179" s="606"/>
      <c r="W179" s="578"/>
    </row>
    <row r="180" spans="2:24" s="576" customFormat="1">
      <c r="B180" s="573"/>
      <c r="C180" s="1216"/>
      <c r="D180" s="1216"/>
      <c r="E180" s="1216"/>
      <c r="F180" s="1216"/>
      <c r="G180" s="1216"/>
      <c r="H180" s="1216"/>
      <c r="I180" s="1216"/>
      <c r="J180" s="1216"/>
      <c r="K180" s="1216"/>
      <c r="L180" s="1216"/>
      <c r="M180" s="1216"/>
      <c r="N180" s="1216"/>
      <c r="O180" s="1216"/>
      <c r="P180" s="1216"/>
      <c r="Q180" s="1216"/>
      <c r="R180" s="1216"/>
      <c r="S180" s="1216"/>
      <c r="T180" s="1216"/>
      <c r="U180" s="1216"/>
      <c r="V180" s="1216"/>
    </row>
    <row r="181" spans="2:24" s="576" customForma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 customHeight="1">
      <c r="B182" s="595" t="s">
        <v>1452</v>
      </c>
      <c r="C182" s="584" t="str">
        <f>CHOOSE(jezyk,n!A1483,n!B1483,n!C1483,n!D1479)</f>
        <v>ANALIZA FINANSOWA</v>
      </c>
      <c r="D182" s="574"/>
      <c r="E182" s="574"/>
      <c r="F182" s="574"/>
      <c r="G182" s="574"/>
      <c r="H182" s="574"/>
      <c r="I182" s="575"/>
      <c r="J182" s="575"/>
      <c r="K182" s="574"/>
      <c r="L182" s="574"/>
      <c r="M182" s="575"/>
      <c r="N182" s="575"/>
      <c r="O182" s="606"/>
      <c r="P182" s="606"/>
      <c r="Q182" s="577"/>
      <c r="R182" s="577"/>
      <c r="S182" s="577"/>
      <c r="U182" s="606"/>
      <c r="W182" s="596">
        <v>5</v>
      </c>
      <c r="X182" s="597" t="s">
        <v>1526</v>
      </c>
    </row>
    <row r="183" spans="2:24" s="576" customFormat="1" ht="9" customHeight="1">
      <c r="B183" s="573"/>
      <c r="C183" s="574"/>
      <c r="D183" s="574"/>
      <c r="E183" s="574"/>
      <c r="F183" s="574"/>
      <c r="G183" s="574"/>
      <c r="H183" s="574"/>
      <c r="I183" s="575"/>
      <c r="J183" s="575"/>
      <c r="K183" s="574"/>
      <c r="L183" s="574"/>
      <c r="M183" s="575"/>
      <c r="N183" s="575"/>
      <c r="O183" s="606"/>
      <c r="P183" s="606"/>
      <c r="Q183" s="577"/>
      <c r="R183" s="577"/>
      <c r="S183" s="577"/>
      <c r="U183" s="606"/>
    </row>
    <row r="184" spans="2:24" s="576" customFormat="1" ht="12.75" customHeight="1">
      <c r="B184" s="607"/>
      <c r="C184" s="607"/>
      <c r="D184" s="607"/>
      <c r="E184" s="607"/>
      <c r="F184" s="607"/>
      <c r="G184" s="607"/>
      <c r="H184" s="607"/>
      <c r="I184" s="607"/>
      <c r="J184" s="607"/>
      <c r="K184" s="607"/>
      <c r="L184" s="608"/>
      <c r="M184" s="608"/>
      <c r="N184" s="609"/>
      <c r="O184" s="609"/>
      <c r="P184" s="609"/>
      <c r="Q184" s="609"/>
      <c r="R184" s="609"/>
      <c r="S184" s="609"/>
      <c r="T184" s="609"/>
      <c r="U184" s="609"/>
      <c r="V184" s="609"/>
    </row>
    <row r="185" spans="2:24" s="576" customFormat="1" ht="42.75" customHeight="1">
      <c r="B185" s="1201" t="s">
        <v>1778</v>
      </c>
      <c r="C185" s="1201"/>
      <c r="D185" s="1201"/>
      <c r="E185" s="1201"/>
      <c r="F185" s="1201"/>
      <c r="G185" s="1201"/>
      <c r="H185" s="1201"/>
      <c r="I185" s="1201"/>
      <c r="J185" s="1201"/>
      <c r="K185" s="1201"/>
      <c r="L185" s="1201"/>
      <c r="M185" s="1201"/>
      <c r="N185" s="1201"/>
      <c r="O185" s="1201"/>
      <c r="P185" s="1201"/>
      <c r="Q185" s="1201"/>
      <c r="R185" s="1201"/>
      <c r="S185" s="1201"/>
      <c r="T185" s="1201"/>
      <c r="U185" s="1201"/>
      <c r="V185" s="1201"/>
    </row>
    <row r="186" spans="2:24" s="576" customFormat="1" ht="7.5" customHeight="1">
      <c r="B186" s="607"/>
      <c r="C186" s="607"/>
      <c r="D186" s="607"/>
      <c r="E186" s="607"/>
      <c r="F186" s="608"/>
      <c r="G186" s="608"/>
      <c r="H186" s="608"/>
      <c r="I186" s="608"/>
      <c r="J186" s="608"/>
      <c r="K186" s="608"/>
      <c r="L186" s="608"/>
      <c r="M186" s="608"/>
      <c r="N186" s="609"/>
      <c r="O186" s="609"/>
      <c r="P186" s="609"/>
      <c r="Q186" s="609"/>
      <c r="R186" s="609"/>
      <c r="S186" s="609"/>
      <c r="T186" s="609"/>
      <c r="U186" s="609"/>
      <c r="V186" s="609"/>
    </row>
    <row r="187" spans="2:24" s="576" customFormat="1" ht="14.25" customHeight="1">
      <c r="B187" s="605"/>
      <c r="C187" s="605"/>
      <c r="D187" s="605"/>
      <c r="E187" s="605"/>
      <c r="F187" s="605"/>
      <c r="G187" s="605"/>
      <c r="H187" s="605"/>
      <c r="I187" s="605"/>
      <c r="J187" s="605"/>
      <c r="K187" s="605"/>
      <c r="L187" s="605"/>
      <c r="M187" s="605"/>
      <c r="N187" s="605"/>
      <c r="O187" s="605"/>
      <c r="P187" s="605"/>
      <c r="Q187" s="605"/>
      <c r="R187" s="605"/>
      <c r="S187" s="605"/>
      <c r="T187" s="605"/>
      <c r="U187" s="605"/>
      <c r="V187" s="605"/>
      <c r="W187" s="597"/>
    </row>
    <row r="188" spans="2:24" s="576" customFormat="1">
      <c r="B188" s="573"/>
      <c r="C188" s="574"/>
      <c r="D188" s="574"/>
      <c r="E188" s="574"/>
      <c r="F188" s="574"/>
      <c r="G188" s="574"/>
      <c r="H188" s="574"/>
      <c r="I188" s="575"/>
      <c r="J188" s="575"/>
      <c r="K188" s="574"/>
      <c r="L188" s="574"/>
      <c r="M188" s="575"/>
      <c r="N188" s="575"/>
      <c r="O188" s="606"/>
      <c r="P188" s="606"/>
      <c r="Q188" s="577"/>
      <c r="R188" s="577"/>
      <c r="S188" s="577"/>
    </row>
    <row r="189" spans="2:24" s="576" customFormat="1" ht="12" customHeight="1">
      <c r="B189" s="595" t="s">
        <v>1453</v>
      </c>
      <c r="C189" s="584" t="str">
        <f>CHOOSE(jezyk,n!A1484,n!B1484,n!C1484,n!D1480)</f>
        <v>PRZEWIDYWANY ROZWÓJ SPÓŁKI</v>
      </c>
      <c r="D189" s="574"/>
      <c r="E189" s="574"/>
      <c r="F189" s="574"/>
      <c r="G189" s="574"/>
      <c r="H189" s="574"/>
      <c r="I189" s="575"/>
      <c r="J189" s="575"/>
      <c r="K189" s="574"/>
      <c r="L189" s="574"/>
      <c r="M189" s="575"/>
      <c r="N189" s="575"/>
      <c r="O189" s="606"/>
      <c r="P189" s="606"/>
      <c r="Q189" s="577"/>
      <c r="R189" s="577"/>
      <c r="S189" s="577"/>
      <c r="U189" s="606"/>
      <c r="W189" s="596">
        <v>5</v>
      </c>
      <c r="X189" s="597" t="s">
        <v>1526</v>
      </c>
    </row>
    <row r="190" spans="2:24" s="576" customFormat="1" ht="14.25" customHeight="1">
      <c r="B190" s="595"/>
      <c r="C190" s="584"/>
      <c r="D190" s="574"/>
      <c r="E190" s="574"/>
      <c r="F190" s="574"/>
      <c r="G190" s="574"/>
      <c r="H190" s="574"/>
      <c r="I190" s="575"/>
      <c r="J190" s="575"/>
      <c r="K190" s="574"/>
      <c r="L190" s="574"/>
      <c r="M190" s="575"/>
      <c r="N190" s="575"/>
      <c r="O190" s="606"/>
      <c r="P190" s="606"/>
      <c r="Q190" s="577"/>
      <c r="R190" s="577"/>
      <c r="S190" s="577"/>
      <c r="U190" s="606"/>
    </row>
    <row r="191" spans="2:24" s="576" customFormat="1" ht="14.25" customHeight="1">
      <c r="B191" s="573"/>
      <c r="C191" s="574"/>
      <c r="D191" s="574"/>
      <c r="E191" s="574"/>
      <c r="F191" s="574"/>
      <c r="G191" s="574"/>
      <c r="H191" s="574"/>
      <c r="I191" s="575"/>
      <c r="J191" s="575"/>
      <c r="K191" s="574"/>
      <c r="L191" s="574"/>
      <c r="M191" s="575"/>
      <c r="N191" s="575"/>
      <c r="O191" s="606"/>
      <c r="P191" s="606"/>
      <c r="Q191" s="577"/>
      <c r="R191" s="577"/>
      <c r="S191" s="577"/>
      <c r="U191" s="606"/>
    </row>
    <row r="192" spans="2:24" s="576" customFormat="1" ht="38.25" customHeight="1">
      <c r="B192" s="1201"/>
      <c r="C192" s="1201"/>
      <c r="D192" s="1201"/>
      <c r="E192" s="1201"/>
      <c r="F192" s="1201"/>
      <c r="G192" s="1201"/>
      <c r="H192" s="1201"/>
      <c r="I192" s="1201"/>
      <c r="J192" s="1201"/>
      <c r="K192" s="1201"/>
      <c r="L192" s="1201"/>
      <c r="M192" s="1201"/>
      <c r="N192" s="1201"/>
      <c r="O192" s="1201"/>
      <c r="P192" s="1201"/>
      <c r="Q192" s="1201"/>
      <c r="R192" s="1201"/>
      <c r="S192" s="1201"/>
      <c r="T192" s="1201"/>
      <c r="U192" s="1201"/>
      <c r="V192" s="1201"/>
    </row>
    <row r="193" spans="2:24" s="576" customFormat="1" ht="12.75" customHeight="1">
      <c r="B193" s="573"/>
      <c r="C193" s="574"/>
      <c r="D193" s="574"/>
      <c r="E193" s="574"/>
      <c r="F193" s="574"/>
      <c r="G193" s="574"/>
      <c r="H193" s="574"/>
      <c r="I193" s="575"/>
      <c r="J193" s="575"/>
      <c r="K193" s="574"/>
      <c r="L193" s="574"/>
      <c r="M193" s="575"/>
      <c r="N193" s="575"/>
      <c r="O193" s="606"/>
      <c r="P193" s="606"/>
      <c r="Q193" s="577"/>
      <c r="R193" s="577"/>
      <c r="S193" s="577"/>
      <c r="U193" s="606"/>
    </row>
    <row r="194" spans="2:24" s="576" customFormat="1" ht="38.25" customHeight="1">
      <c r="B194" s="1201"/>
      <c r="C194" s="1201"/>
      <c r="D194" s="1201"/>
      <c r="E194" s="1201"/>
      <c r="F194" s="1201"/>
      <c r="G194" s="1201"/>
      <c r="H194" s="1201"/>
      <c r="I194" s="1201"/>
      <c r="J194" s="1201"/>
      <c r="K194" s="1201"/>
      <c r="L194" s="1201"/>
      <c r="M194" s="1201"/>
      <c r="N194" s="1201"/>
      <c r="O194" s="1201"/>
      <c r="P194" s="1201"/>
      <c r="Q194" s="1201"/>
      <c r="R194" s="1201"/>
      <c r="S194" s="1201"/>
      <c r="T194" s="1201"/>
      <c r="U194" s="1201"/>
      <c r="V194" s="1201"/>
    </row>
    <row r="195" spans="2:24" s="576" customFormat="1" ht="12.75" customHeight="1">
      <c r="B195" s="573"/>
      <c r="C195" s="574"/>
      <c r="D195" s="574"/>
      <c r="E195" s="574"/>
      <c r="F195" s="574"/>
      <c r="G195" s="574"/>
      <c r="H195" s="574"/>
      <c r="I195" s="575"/>
      <c r="J195" s="575"/>
      <c r="K195" s="574"/>
      <c r="L195" s="574"/>
      <c r="M195" s="575"/>
      <c r="N195" s="575"/>
      <c r="O195" s="606"/>
      <c r="P195" s="606"/>
      <c r="Q195" s="577"/>
      <c r="R195" s="577"/>
      <c r="S195" s="577"/>
      <c r="U195" s="606"/>
    </row>
    <row r="196" spans="2:24" s="576" customFormat="1" ht="38.25" customHeight="1">
      <c r="B196" s="1201"/>
      <c r="C196" s="1201"/>
      <c r="D196" s="1201"/>
      <c r="E196" s="1201"/>
      <c r="F196" s="1201"/>
      <c r="G196" s="1201"/>
      <c r="H196" s="1201"/>
      <c r="I196" s="1201"/>
      <c r="J196" s="1201"/>
      <c r="K196" s="1201"/>
      <c r="L196" s="1201"/>
      <c r="M196" s="1201"/>
      <c r="N196" s="1201"/>
      <c r="O196" s="1201"/>
      <c r="P196" s="1201"/>
      <c r="Q196" s="1201"/>
      <c r="R196" s="1201"/>
      <c r="S196" s="1201"/>
      <c r="T196" s="1201"/>
      <c r="U196" s="1201"/>
      <c r="V196" s="1201"/>
    </row>
    <row r="197" spans="2:24" s="576" customFormat="1" ht="12.75" customHeight="1">
      <c r="B197" s="607"/>
      <c r="C197" s="607"/>
      <c r="D197" s="607"/>
      <c r="E197" s="607"/>
      <c r="F197" s="607"/>
      <c r="G197" s="607"/>
      <c r="H197" s="607"/>
      <c r="I197" s="607"/>
      <c r="J197" s="607"/>
      <c r="K197" s="607"/>
      <c r="L197" s="607"/>
      <c r="M197" s="607"/>
      <c r="N197" s="607"/>
      <c r="O197" s="607"/>
      <c r="P197" s="607"/>
      <c r="Q197" s="607"/>
      <c r="R197" s="607"/>
      <c r="S197" s="607"/>
      <c r="T197" s="607"/>
      <c r="U197" s="607"/>
      <c r="V197" s="607"/>
    </row>
    <row r="198" spans="2:24" s="576" customFormat="1" ht="12.75" customHeight="1">
      <c r="B198" s="607"/>
      <c r="C198" s="607"/>
      <c r="D198" s="607"/>
      <c r="E198" s="607"/>
      <c r="F198" s="607"/>
      <c r="G198" s="607"/>
      <c r="H198" s="607"/>
      <c r="I198" s="607"/>
      <c r="J198" s="607"/>
      <c r="K198" s="607"/>
      <c r="L198" s="607"/>
      <c r="M198" s="607"/>
      <c r="N198" s="607"/>
      <c r="O198" s="607"/>
      <c r="P198" s="607"/>
      <c r="Q198" s="607"/>
      <c r="R198" s="607"/>
      <c r="S198" s="607"/>
      <c r="T198" s="607"/>
      <c r="U198" s="607"/>
      <c r="V198" s="607"/>
    </row>
    <row r="199" spans="2:24" s="576" customFormat="1" ht="12.75" customHeight="1">
      <c r="B199" s="595" t="s">
        <v>786</v>
      </c>
      <c r="C199" s="1217" t="str">
        <f>CHOOSE(jezyk,n!A1485,n!B1485,n!C1485,n!D1484)</f>
        <v>CZYNNIKI RYZYKA ZWIĄZANE Z PROWADZONĄ DZIAŁALNOŚCIĄ,  W TYM W ZAKRESIE INSTRUMENTÓW FINANSOWYCH</v>
      </c>
      <c r="D199" s="1217"/>
      <c r="E199" s="1217"/>
      <c r="F199" s="1217"/>
      <c r="G199" s="1217"/>
      <c r="H199" s="1217"/>
      <c r="I199" s="1217"/>
      <c r="J199" s="1217"/>
      <c r="K199" s="1217"/>
      <c r="L199" s="1217"/>
      <c r="M199" s="1217"/>
      <c r="N199" s="1217"/>
      <c r="O199" s="1217"/>
      <c r="P199" s="1217"/>
      <c r="Q199" s="1217"/>
      <c r="R199" s="1217"/>
      <c r="S199" s="1217"/>
      <c r="T199" s="1217"/>
      <c r="U199" s="1217"/>
      <c r="V199" s="1217"/>
      <c r="W199" s="596">
        <v>6</v>
      </c>
      <c r="X199" s="597" t="s">
        <v>1526</v>
      </c>
    </row>
    <row r="200" spans="2:24" s="576" customFormat="1" ht="12.75" customHeight="1">
      <c r="B200" s="595"/>
      <c r="C200" s="1217"/>
      <c r="D200" s="1217"/>
      <c r="E200" s="1217"/>
      <c r="F200" s="1217"/>
      <c r="G200" s="1217"/>
      <c r="H200" s="1217"/>
      <c r="I200" s="1217"/>
      <c r="J200" s="1217"/>
      <c r="K200" s="1217"/>
      <c r="L200" s="1217"/>
      <c r="M200" s="1217"/>
      <c r="N200" s="1217"/>
      <c r="O200" s="1217"/>
      <c r="P200" s="1217"/>
      <c r="Q200" s="1217"/>
      <c r="R200" s="1217"/>
      <c r="S200" s="1217"/>
      <c r="T200" s="1217"/>
      <c r="U200" s="1217"/>
      <c r="V200" s="1217"/>
    </row>
    <row r="201" spans="2:24" s="576" customFormat="1" ht="12.75" customHeight="1">
      <c r="B201" s="573"/>
      <c r="C201" s="574"/>
      <c r="D201" s="574"/>
      <c r="E201" s="574"/>
      <c r="F201" s="574"/>
      <c r="G201" s="574"/>
      <c r="H201" s="574"/>
      <c r="I201" s="575"/>
      <c r="J201" s="575"/>
      <c r="K201" s="574"/>
      <c r="L201" s="574"/>
      <c r="M201" s="575"/>
      <c r="N201" s="575"/>
      <c r="O201" s="606"/>
      <c r="P201" s="606"/>
      <c r="Q201" s="577"/>
      <c r="R201" s="577"/>
      <c r="S201" s="577"/>
      <c r="U201" s="606"/>
    </row>
    <row r="202" spans="2:24" s="576" customFormat="1" ht="38.25" customHeight="1">
      <c r="B202" s="1216" t="s">
        <v>1775</v>
      </c>
      <c r="C202" s="1216"/>
      <c r="D202" s="1216"/>
      <c r="E202" s="1216"/>
      <c r="F202" s="1216"/>
      <c r="G202" s="1216"/>
      <c r="H202" s="1216"/>
      <c r="I202" s="1216"/>
      <c r="J202" s="1216"/>
      <c r="K202" s="1216"/>
      <c r="L202" s="1216"/>
      <c r="M202" s="1216"/>
      <c r="N202" s="1216"/>
      <c r="O202" s="1216"/>
      <c r="P202" s="1216"/>
      <c r="Q202" s="1216"/>
      <c r="R202" s="1216"/>
      <c r="S202" s="1216"/>
      <c r="T202" s="1216"/>
      <c r="U202" s="1216"/>
      <c r="V202" s="1216"/>
      <c r="W202" s="131" t="s">
        <v>2450</v>
      </c>
    </row>
    <row r="203" spans="2:24" s="576" customFormat="1" ht="38.25" customHeight="1">
      <c r="B203" s="1216" t="s">
        <v>1776</v>
      </c>
      <c r="C203" s="1216"/>
      <c r="D203" s="1216"/>
      <c r="E203" s="1216"/>
      <c r="F203" s="1216"/>
      <c r="G203" s="1216"/>
      <c r="H203" s="1216"/>
      <c r="I203" s="1216"/>
      <c r="J203" s="1216"/>
      <c r="K203" s="1216"/>
      <c r="L203" s="1216"/>
      <c r="M203" s="1216"/>
      <c r="N203" s="1216"/>
      <c r="O203" s="1216"/>
      <c r="P203" s="1216"/>
      <c r="Q203" s="1216"/>
      <c r="R203" s="1216"/>
      <c r="S203" s="1216"/>
      <c r="T203" s="1216"/>
      <c r="U203" s="1216"/>
      <c r="V203" s="1216"/>
      <c r="W203" s="131" t="s">
        <v>2450</v>
      </c>
    </row>
    <row r="204" spans="2:24" s="576" customFormat="1" ht="12.75" customHeight="1">
      <c r="B204" s="573"/>
      <c r="C204" s="574"/>
      <c r="D204" s="574"/>
      <c r="E204" s="574"/>
      <c r="F204" s="574"/>
      <c r="G204" s="574"/>
      <c r="H204" s="574"/>
      <c r="I204" s="575"/>
      <c r="J204" s="575"/>
      <c r="K204" s="574"/>
      <c r="L204" s="574"/>
      <c r="M204" s="575"/>
      <c r="N204" s="575"/>
      <c r="O204" s="606"/>
      <c r="P204" s="606"/>
      <c r="Q204" s="577"/>
      <c r="R204" s="577"/>
      <c r="S204" s="577"/>
      <c r="U204" s="606"/>
    </row>
    <row r="205" spans="2:24" s="576" customFormat="1" ht="38.25" customHeight="1">
      <c r="B205" s="1201"/>
      <c r="C205" s="1201"/>
      <c r="D205" s="1201"/>
      <c r="E205" s="1201"/>
      <c r="F205" s="1201"/>
      <c r="G205" s="1201"/>
      <c r="H205" s="1201"/>
      <c r="I205" s="1201"/>
      <c r="J205" s="1201"/>
      <c r="K205" s="1201"/>
      <c r="L205" s="1201"/>
      <c r="M205" s="1201"/>
      <c r="N205" s="1201"/>
      <c r="O205" s="1201"/>
      <c r="P205" s="1201"/>
      <c r="Q205" s="1201"/>
      <c r="R205" s="1201"/>
      <c r="S205" s="1201"/>
      <c r="T205" s="1201"/>
      <c r="U205" s="1201"/>
      <c r="V205" s="1201"/>
    </row>
    <row r="206" spans="2:24" s="576" customFormat="1">
      <c r="B206" s="607"/>
      <c r="C206" s="1216" t="str">
        <f>CHOOSE(jezyk,n!A1486,n!B1485,n!C1486,n!D1484)</f>
        <v>Czynniki ryzyka związane z instrumentami finansowymi</v>
      </c>
      <c r="D206" s="1216"/>
      <c r="E206" s="1216"/>
      <c r="F206" s="1216"/>
      <c r="G206" s="1216"/>
      <c r="H206" s="1216"/>
      <c r="I206" s="1216"/>
      <c r="J206" s="1216"/>
      <c r="K206" s="1216"/>
      <c r="L206" s="1216"/>
      <c r="M206" s="1216"/>
      <c r="N206" s="1216"/>
      <c r="O206" s="1216"/>
      <c r="P206" s="1216"/>
      <c r="Q206" s="1216"/>
      <c r="R206" s="1216"/>
      <c r="S206" s="1216"/>
      <c r="T206" s="1216"/>
      <c r="U206" s="1216"/>
      <c r="V206" s="1216"/>
    </row>
    <row r="207" spans="2:24" s="576" customFormat="1" ht="38.25" customHeight="1">
      <c r="B207" s="610"/>
      <c r="C207" s="610"/>
      <c r="D207" s="610"/>
      <c r="E207" s="610"/>
      <c r="F207" s="610"/>
      <c r="G207" s="610"/>
      <c r="H207" s="610"/>
      <c r="I207" s="610"/>
      <c r="J207" s="610"/>
      <c r="K207" s="610"/>
      <c r="L207" s="610"/>
      <c r="M207" s="610"/>
      <c r="N207" s="610"/>
      <c r="O207" s="610"/>
      <c r="P207" s="610"/>
      <c r="Q207" s="610"/>
      <c r="R207" s="610"/>
      <c r="S207" s="610"/>
      <c r="T207" s="610"/>
      <c r="U207" s="610"/>
      <c r="V207" s="610"/>
    </row>
    <row r="208" spans="2:24" s="576" customFormat="1" ht="12.75" customHeight="1">
      <c r="B208" s="607"/>
      <c r="C208" s="607"/>
      <c r="D208" s="607"/>
      <c r="E208" s="607"/>
      <c r="F208" s="607"/>
      <c r="G208" s="607"/>
      <c r="H208" s="607"/>
      <c r="I208" s="607"/>
      <c r="J208" s="607"/>
      <c r="K208" s="607"/>
      <c r="L208" s="607"/>
      <c r="M208" s="607"/>
      <c r="N208" s="607"/>
      <c r="O208" s="607"/>
      <c r="P208" s="607"/>
      <c r="Q208" s="607"/>
      <c r="R208" s="607"/>
      <c r="S208" s="607"/>
      <c r="T208" s="607"/>
      <c r="U208" s="607"/>
      <c r="V208" s="607"/>
    </row>
    <row r="209" spans="2:24" s="576" customFormat="1" ht="12.75" customHeight="1">
      <c r="B209" s="607"/>
      <c r="C209" s="607"/>
      <c r="D209" s="607"/>
      <c r="E209" s="607"/>
      <c r="F209" s="607"/>
      <c r="G209" s="607"/>
      <c r="H209" s="607"/>
      <c r="I209" s="607"/>
      <c r="J209" s="607"/>
      <c r="K209" s="607"/>
      <c r="L209" s="607"/>
      <c r="M209" s="607"/>
      <c r="N209" s="607"/>
      <c r="O209" s="607"/>
      <c r="P209" s="607"/>
      <c r="Q209" s="607"/>
      <c r="R209" s="607"/>
      <c r="S209" s="607"/>
      <c r="T209" s="607"/>
      <c r="U209" s="607"/>
      <c r="V209" s="607"/>
    </row>
    <row r="210" spans="2:24" s="576" customFormat="1" ht="12.75" customHeight="1">
      <c r="B210" s="595" t="s">
        <v>93</v>
      </c>
      <c r="C210" s="584" t="str">
        <f>CHOOSE(jezyk,n!A1487,n!B1487,n!C1487,n!D1482)</f>
        <v>WAŻNIEJSZE OSIĄGNIĘCIA W DZIEDZINIE BADAŃ I ROZWOJU</v>
      </c>
      <c r="D210" s="574"/>
      <c r="E210" s="574"/>
      <c r="F210" s="574"/>
      <c r="G210" s="574"/>
      <c r="H210" s="574"/>
      <c r="I210" s="575"/>
      <c r="J210" s="575"/>
      <c r="K210" s="574"/>
      <c r="L210" s="574"/>
      <c r="M210" s="575"/>
      <c r="N210" s="575"/>
      <c r="O210" s="606"/>
      <c r="P210" s="606"/>
      <c r="Q210" s="577"/>
      <c r="R210" s="577"/>
      <c r="S210" s="577"/>
      <c r="U210" s="606"/>
      <c r="W210" s="596">
        <v>6</v>
      </c>
      <c r="X210" s="597" t="s">
        <v>1526</v>
      </c>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12.75" customHeight="1">
      <c r="B212" s="573"/>
      <c r="C212" s="574"/>
      <c r="D212" s="574"/>
      <c r="E212" s="574"/>
      <c r="F212" s="574"/>
      <c r="G212" s="574"/>
      <c r="H212" s="574"/>
      <c r="I212" s="575"/>
      <c r="J212" s="575"/>
      <c r="K212" s="574"/>
      <c r="L212" s="574"/>
      <c r="M212" s="575"/>
      <c r="N212" s="575"/>
      <c r="O212" s="606"/>
      <c r="P212" s="606"/>
      <c r="Q212" s="577"/>
      <c r="R212" s="577"/>
      <c r="S212" s="577"/>
      <c r="U212" s="606"/>
    </row>
    <row r="213" spans="2:24" s="576" customFormat="1" ht="38.25" customHeight="1">
      <c r="B213" s="1201" t="s">
        <v>1777</v>
      </c>
      <c r="C213" s="1201"/>
      <c r="D213" s="1201"/>
      <c r="E213" s="1201"/>
      <c r="F213" s="1201"/>
      <c r="G213" s="1201"/>
      <c r="H213" s="1201"/>
      <c r="I213" s="1201"/>
      <c r="J213" s="1201"/>
      <c r="K213" s="1201"/>
      <c r="L213" s="1201"/>
      <c r="M213" s="1201"/>
      <c r="N213" s="1201"/>
      <c r="O213" s="1201"/>
      <c r="P213" s="1201"/>
      <c r="Q213" s="1201"/>
      <c r="R213" s="1201"/>
      <c r="S213" s="1201"/>
      <c r="T213" s="1201"/>
      <c r="U213" s="1201"/>
      <c r="V213" s="1201"/>
    </row>
    <row r="214" spans="2:24" s="576" customFormat="1" ht="12.75" customHeight="1">
      <c r="B214" s="573"/>
      <c r="C214" s="574"/>
      <c r="D214" s="574"/>
      <c r="E214" s="574"/>
      <c r="F214" s="574"/>
      <c r="G214" s="574"/>
      <c r="H214" s="574"/>
      <c r="I214" s="575"/>
      <c r="J214" s="575"/>
      <c r="K214" s="574"/>
      <c r="L214" s="574"/>
      <c r="M214" s="575"/>
      <c r="N214" s="575"/>
      <c r="O214" s="606"/>
      <c r="P214" s="606"/>
      <c r="Q214" s="577"/>
      <c r="R214" s="577"/>
      <c r="S214" s="577"/>
      <c r="U214" s="606"/>
    </row>
    <row r="215" spans="2:24" s="576" customFormat="1" ht="38.25" customHeight="1">
      <c r="B215" s="1201"/>
      <c r="C215" s="1201"/>
      <c r="D215" s="1201"/>
      <c r="E215" s="1201"/>
      <c r="F215" s="1201"/>
      <c r="G215" s="1201"/>
      <c r="H215" s="1201"/>
      <c r="I215" s="1201"/>
      <c r="J215" s="1201"/>
      <c r="K215" s="1201"/>
      <c r="L215" s="1201"/>
      <c r="M215" s="1201"/>
      <c r="N215" s="1201"/>
      <c r="O215" s="1201"/>
      <c r="P215" s="1201"/>
      <c r="Q215" s="1201"/>
      <c r="R215" s="1201"/>
      <c r="S215" s="1201"/>
      <c r="T215" s="1201"/>
      <c r="U215" s="1201"/>
      <c r="V215" s="1201"/>
    </row>
    <row r="216" spans="2:24" s="576" customFormat="1" ht="12.75" customHeight="1">
      <c r="B216" s="573"/>
      <c r="C216" s="574"/>
      <c r="D216" s="574"/>
      <c r="E216" s="574"/>
      <c r="F216" s="574"/>
      <c r="G216" s="574"/>
      <c r="H216" s="574"/>
      <c r="I216" s="575"/>
      <c r="J216" s="575"/>
      <c r="K216" s="574"/>
      <c r="L216" s="574"/>
      <c r="M216" s="575"/>
      <c r="N216" s="575"/>
      <c r="O216" s="606"/>
      <c r="P216" s="606"/>
      <c r="Q216" s="577"/>
      <c r="R216" s="577"/>
      <c r="S216" s="577"/>
      <c r="U216" s="606"/>
    </row>
    <row r="217" spans="2:24" s="576" customFormat="1" ht="38.25" customHeight="1">
      <c r="B217" s="1201"/>
      <c r="C217" s="1201"/>
      <c r="D217" s="1201"/>
      <c r="E217" s="1201"/>
      <c r="F217" s="1201"/>
      <c r="G217" s="1201"/>
      <c r="H217" s="1201"/>
      <c r="I217" s="1201"/>
      <c r="J217" s="1201"/>
      <c r="K217" s="1201"/>
      <c r="L217" s="1201"/>
      <c r="M217" s="1201"/>
      <c r="N217" s="1201"/>
      <c r="O217" s="1201"/>
      <c r="P217" s="1201"/>
      <c r="Q217" s="1201"/>
      <c r="R217" s="1201"/>
      <c r="S217" s="1201"/>
      <c r="T217" s="1201"/>
      <c r="U217" s="1201"/>
      <c r="V217" s="1201"/>
    </row>
    <row r="218" spans="2:24" s="576" customFormat="1" ht="12.75" customHeight="1">
      <c r="B218" s="607"/>
      <c r="C218" s="607"/>
      <c r="D218" s="607"/>
      <c r="E218" s="607"/>
      <c r="F218" s="607"/>
      <c r="G218" s="607"/>
      <c r="H218" s="607"/>
      <c r="I218" s="607"/>
      <c r="J218" s="607"/>
      <c r="K218" s="607"/>
      <c r="L218" s="607"/>
      <c r="M218" s="607"/>
      <c r="N218" s="607"/>
      <c r="O218" s="607"/>
      <c r="P218" s="607"/>
      <c r="Q218" s="607"/>
      <c r="R218" s="607"/>
      <c r="S218" s="607"/>
      <c r="T218" s="607"/>
      <c r="U218" s="607"/>
      <c r="V218" s="607"/>
    </row>
    <row r="219" spans="2:24" s="576" customFormat="1" ht="12.75" customHeight="1">
      <c r="B219" s="607"/>
      <c r="C219" s="607"/>
      <c r="D219" s="607"/>
      <c r="E219" s="607"/>
      <c r="F219" s="607"/>
      <c r="G219" s="607"/>
      <c r="H219" s="607"/>
      <c r="I219" s="607"/>
      <c r="J219" s="607"/>
      <c r="K219" s="607"/>
      <c r="L219" s="607"/>
      <c r="M219" s="607"/>
      <c r="N219" s="607"/>
      <c r="O219" s="607"/>
      <c r="P219" s="607"/>
      <c r="Q219" s="607"/>
      <c r="R219" s="607"/>
      <c r="S219" s="607"/>
      <c r="T219" s="607"/>
      <c r="U219" s="607"/>
      <c r="V219" s="607"/>
    </row>
    <row r="220" spans="2:24" s="576" customFormat="1" ht="12.75" customHeight="1">
      <c r="B220" s="595" t="s">
        <v>1507</v>
      </c>
      <c r="C220" s="584" t="str">
        <f>CHOOSE(jezyk,n!A1488,n!B1488,n!C1488,n!D1483)</f>
        <v>INFORMACJE O NABYCIU UDZIAŁÓW (AKCJI) WŁASNYCH</v>
      </c>
      <c r="D220" s="574"/>
      <c r="E220" s="574"/>
      <c r="F220" s="574"/>
      <c r="G220" s="574"/>
      <c r="H220" s="574"/>
      <c r="I220" s="575"/>
      <c r="J220" s="575"/>
      <c r="K220" s="574"/>
      <c r="L220" s="574"/>
      <c r="M220" s="575"/>
      <c r="N220" s="575"/>
      <c r="O220" s="606"/>
      <c r="P220" s="606"/>
      <c r="Q220" s="577"/>
      <c r="R220" s="577"/>
      <c r="S220" s="577"/>
      <c r="U220" s="606"/>
      <c r="W220" s="596">
        <v>6</v>
      </c>
      <c r="X220" s="597" t="s">
        <v>1526</v>
      </c>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12.75" customHeight="1">
      <c r="B222" s="573"/>
      <c r="C222" s="574"/>
      <c r="D222" s="574"/>
      <c r="E222" s="574"/>
      <c r="F222" s="574"/>
      <c r="G222" s="574"/>
      <c r="H222" s="574"/>
      <c r="I222" s="575"/>
      <c r="J222" s="575"/>
      <c r="K222" s="574"/>
      <c r="L222" s="574"/>
      <c r="M222" s="575"/>
      <c r="N222" s="575"/>
      <c r="O222" s="606"/>
      <c r="P222" s="606"/>
      <c r="Q222" s="577"/>
      <c r="R222" s="577"/>
      <c r="S222" s="577"/>
      <c r="U222" s="606"/>
    </row>
    <row r="223" spans="2:24" s="576" customFormat="1" ht="38.25" customHeight="1">
      <c r="B223" s="1216" t="s">
        <v>1772</v>
      </c>
      <c r="C223" s="1216"/>
      <c r="D223" s="1216"/>
      <c r="E223" s="1216"/>
      <c r="F223" s="1216"/>
      <c r="G223" s="1216"/>
      <c r="H223" s="1216"/>
      <c r="I223" s="1216"/>
      <c r="J223" s="1216"/>
      <c r="K223" s="1216"/>
      <c r="L223" s="1216"/>
      <c r="M223" s="1216"/>
      <c r="N223" s="1216"/>
      <c r="O223" s="1216"/>
      <c r="P223" s="1216"/>
      <c r="Q223" s="1216"/>
      <c r="R223" s="1216"/>
      <c r="S223" s="1216"/>
      <c r="T223" s="1216"/>
      <c r="U223" s="1216"/>
      <c r="V223" s="1216"/>
      <c r="W223" s="131" t="s">
        <v>2450</v>
      </c>
    </row>
    <row r="224" spans="2:24" s="576" customFormat="1" ht="38.25" customHeight="1">
      <c r="B224" s="1201"/>
      <c r="C224" s="1201"/>
      <c r="D224" s="1201"/>
      <c r="E224" s="1201"/>
      <c r="F224" s="1201"/>
      <c r="G224" s="1201"/>
      <c r="H224" s="1201"/>
      <c r="I224" s="1201"/>
      <c r="J224" s="1201"/>
      <c r="K224" s="1201"/>
      <c r="L224" s="1201"/>
      <c r="M224" s="1201"/>
      <c r="N224" s="1201"/>
      <c r="O224" s="1201"/>
      <c r="P224" s="1201"/>
      <c r="Q224" s="1201"/>
      <c r="R224" s="1201"/>
      <c r="S224" s="1201"/>
      <c r="T224" s="1201"/>
      <c r="U224" s="1201"/>
      <c r="V224" s="1201"/>
    </row>
    <row r="225" spans="2:24" s="576" customFormat="1" ht="12.75" customHeight="1">
      <c r="B225" s="573"/>
      <c r="C225" s="574"/>
      <c r="D225" s="574"/>
      <c r="E225" s="574"/>
      <c r="F225" s="574"/>
      <c r="G225" s="574"/>
      <c r="H225" s="574"/>
      <c r="I225" s="575"/>
      <c r="J225" s="575"/>
      <c r="K225" s="574"/>
      <c r="L225" s="574"/>
      <c r="M225" s="575"/>
      <c r="N225" s="575"/>
      <c r="O225" s="606"/>
      <c r="P225" s="606"/>
      <c r="Q225" s="577"/>
      <c r="R225" s="577"/>
      <c r="S225" s="577"/>
      <c r="U225" s="606"/>
    </row>
    <row r="226" spans="2:24" s="576" customFormat="1" ht="38.25" customHeight="1">
      <c r="B226" s="1201"/>
      <c r="C226" s="1201"/>
      <c r="D226" s="1201"/>
      <c r="E226" s="1201"/>
      <c r="F226" s="1201"/>
      <c r="G226" s="1201"/>
      <c r="H226" s="1201"/>
      <c r="I226" s="1201"/>
      <c r="J226" s="1201"/>
      <c r="K226" s="1201"/>
      <c r="L226" s="1201"/>
      <c r="M226" s="1201"/>
      <c r="N226" s="1201"/>
      <c r="O226" s="1201"/>
      <c r="P226" s="1201"/>
      <c r="Q226" s="1201"/>
      <c r="R226" s="1201"/>
      <c r="S226" s="1201"/>
      <c r="T226" s="1201"/>
      <c r="U226" s="1201"/>
      <c r="V226" s="1201"/>
    </row>
    <row r="227" spans="2:24" s="576" customFormat="1" ht="12.75" customHeight="1">
      <c r="B227" s="607"/>
      <c r="C227" s="607"/>
      <c r="D227" s="607"/>
      <c r="E227" s="607"/>
      <c r="F227" s="607"/>
      <c r="G227" s="607"/>
      <c r="H227" s="607"/>
      <c r="I227" s="607"/>
      <c r="J227" s="607"/>
      <c r="K227" s="607"/>
      <c r="L227" s="607"/>
      <c r="M227" s="607"/>
      <c r="N227" s="607"/>
      <c r="O227" s="607"/>
      <c r="P227" s="607"/>
      <c r="Q227" s="607"/>
      <c r="R227" s="607"/>
      <c r="S227" s="607"/>
      <c r="T227" s="607"/>
      <c r="U227" s="607"/>
      <c r="V227" s="607"/>
    </row>
    <row r="228" spans="2:24" s="576" customFormat="1" ht="12.7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ht="12.75" customHeight="1">
      <c r="B229" s="595" t="s">
        <v>1508</v>
      </c>
      <c r="C229" s="584" t="str">
        <f>CHOOSE(jezyk,n!A1489,n!B1489,n!C1489,n!D1485)</f>
        <v>ŁAD KORPORACYJNY</v>
      </c>
      <c r="D229" s="574"/>
      <c r="E229" s="574"/>
      <c r="F229" s="574"/>
      <c r="G229" s="574"/>
      <c r="H229" s="574"/>
      <c r="I229" s="575"/>
      <c r="J229" s="575"/>
      <c r="K229" s="574"/>
      <c r="L229" s="574"/>
      <c r="M229" s="575"/>
      <c r="N229" s="575"/>
      <c r="O229" s="606"/>
      <c r="P229" s="606"/>
      <c r="Q229" s="577"/>
      <c r="R229" s="577"/>
      <c r="S229" s="577"/>
      <c r="U229" s="606"/>
      <c r="W229" s="596">
        <v>7</v>
      </c>
      <c r="X229" s="597" t="s">
        <v>1526</v>
      </c>
    </row>
    <row r="230" spans="2:24" s="576" customFormat="1" ht="12.75" customHeight="1">
      <c r="B230" s="595"/>
      <c r="C230" s="584"/>
      <c r="D230" s="574"/>
      <c r="E230" s="574"/>
      <c r="F230" s="574"/>
      <c r="G230" s="574"/>
      <c r="H230" s="574"/>
      <c r="I230" s="575"/>
      <c r="J230" s="575"/>
      <c r="K230" s="574"/>
      <c r="L230" s="574"/>
      <c r="M230" s="575"/>
      <c r="N230" s="575"/>
      <c r="O230" s="606"/>
      <c r="P230" s="606"/>
      <c r="Q230" s="577"/>
      <c r="R230" s="577"/>
      <c r="S230" s="577"/>
      <c r="U230" s="606"/>
    </row>
    <row r="231" spans="2:24" s="576" customFormat="1" ht="12.75" customHeight="1">
      <c r="B231" s="595"/>
      <c r="C231" s="584"/>
      <c r="D231" s="574"/>
      <c r="E231" s="574"/>
      <c r="F231" s="574"/>
      <c r="G231" s="574"/>
      <c r="H231" s="574"/>
      <c r="I231" s="575"/>
      <c r="J231" s="575"/>
      <c r="K231" s="574"/>
      <c r="L231" s="574"/>
      <c r="M231" s="575"/>
      <c r="N231" s="575"/>
      <c r="O231" s="606"/>
      <c r="P231" s="606"/>
      <c r="Q231" s="577"/>
      <c r="R231" s="577"/>
      <c r="S231" s="577"/>
      <c r="U231" s="606"/>
    </row>
    <row r="232" spans="2:24" s="576" customFormat="1" ht="38.25" customHeight="1">
      <c r="B232" s="1218" t="s">
        <v>626</v>
      </c>
      <c r="C232" s="1218"/>
      <c r="D232" s="1218"/>
      <c r="E232" s="1218"/>
      <c r="F232" s="1218"/>
      <c r="G232" s="1218"/>
      <c r="H232" s="1218"/>
      <c r="I232" s="1218"/>
      <c r="J232" s="1218"/>
      <c r="K232" s="1218"/>
      <c r="L232" s="1218"/>
      <c r="M232" s="1218"/>
      <c r="N232" s="1218"/>
      <c r="O232" s="1218"/>
      <c r="P232" s="1218"/>
      <c r="Q232" s="1218"/>
      <c r="R232" s="1218"/>
      <c r="S232" s="1218"/>
      <c r="T232" s="1218"/>
      <c r="U232" s="1218"/>
      <c r="V232" s="1218"/>
    </row>
    <row r="233" spans="2:24" s="576" customFormat="1" ht="12.75" customHeight="1">
      <c r="B233" s="573"/>
      <c r="C233" s="574"/>
      <c r="D233" s="574"/>
      <c r="E233" s="574"/>
      <c r="F233" s="574"/>
      <c r="G233" s="574"/>
      <c r="H233" s="574"/>
      <c r="I233" s="575"/>
      <c r="J233" s="575"/>
      <c r="K233" s="574"/>
      <c r="L233" s="574"/>
      <c r="M233" s="575"/>
      <c r="N233" s="575"/>
      <c r="O233" s="606"/>
      <c r="P233" s="606"/>
      <c r="Q233" s="577"/>
      <c r="R233" s="577"/>
      <c r="S233" s="577"/>
      <c r="U233" s="606"/>
    </row>
    <row r="234" spans="2:24" s="576" customFormat="1" ht="12.75" customHeight="1">
      <c r="B234" s="573"/>
      <c r="C234" s="574"/>
      <c r="D234" s="574"/>
      <c r="E234" s="574"/>
      <c r="F234" s="574"/>
      <c r="G234" s="574"/>
      <c r="H234" s="574"/>
      <c r="I234" s="575"/>
      <c r="J234" s="575"/>
      <c r="K234" s="574"/>
      <c r="L234" s="574"/>
      <c r="M234" s="575"/>
      <c r="N234" s="575"/>
      <c r="O234" s="606"/>
      <c r="P234" s="606"/>
      <c r="Q234" s="577"/>
      <c r="R234" s="577"/>
      <c r="S234" s="577"/>
      <c r="U234" s="606"/>
    </row>
    <row r="235" spans="2:24" s="576" customFormat="1" ht="12" customHeight="1">
      <c r="B235" s="595" t="s">
        <v>94</v>
      </c>
      <c r="C235" s="584" t="str">
        <f>CHOOSE(jezyk,n!A1490,n!B1490,n!C1490,n!D1486)</f>
        <v>PODSUMOWANIE</v>
      </c>
      <c r="D235" s="574"/>
      <c r="E235" s="574"/>
      <c r="F235" s="574"/>
      <c r="G235" s="574"/>
      <c r="H235" s="574"/>
      <c r="I235" s="575"/>
      <c r="J235" s="575"/>
      <c r="K235" s="574"/>
      <c r="L235" s="574"/>
      <c r="M235" s="575"/>
      <c r="N235" s="575"/>
      <c r="O235" s="606"/>
      <c r="P235" s="606"/>
      <c r="Q235" s="577"/>
      <c r="R235" s="577"/>
      <c r="S235" s="577"/>
      <c r="U235" s="606"/>
      <c r="W235" s="596">
        <v>7</v>
      </c>
      <c r="X235" s="597" t="s">
        <v>1526</v>
      </c>
    </row>
    <row r="236" spans="2:24" s="576" customFormat="1" ht="12.75" customHeight="1">
      <c r="B236" s="573"/>
      <c r="C236" s="574"/>
      <c r="D236" s="574"/>
      <c r="E236" s="574"/>
      <c r="F236" s="574"/>
      <c r="G236" s="574"/>
      <c r="H236" s="574"/>
      <c r="I236" s="575"/>
      <c r="J236" s="575"/>
      <c r="K236" s="574"/>
      <c r="L236" s="574"/>
      <c r="M236" s="575"/>
      <c r="N236" s="575"/>
      <c r="O236" s="606"/>
      <c r="P236" s="606"/>
      <c r="Q236" s="577"/>
      <c r="R236" s="577"/>
      <c r="S236" s="577"/>
      <c r="U236" s="606"/>
    </row>
    <row r="237" spans="2:24" s="576" customFormat="1">
      <c r="B237" s="573"/>
      <c r="C237" s="574"/>
      <c r="D237" s="574"/>
      <c r="E237" s="574"/>
      <c r="F237" s="574"/>
      <c r="G237" s="574"/>
      <c r="H237" s="574"/>
      <c r="I237" s="575"/>
      <c r="J237" s="575"/>
      <c r="K237" s="574"/>
      <c r="L237" s="574"/>
      <c r="M237" s="575"/>
      <c r="N237" s="575"/>
      <c r="O237" s="606"/>
      <c r="P237" s="606"/>
      <c r="Q237" s="577"/>
      <c r="R237" s="577"/>
      <c r="S237" s="577"/>
    </row>
    <row r="238" spans="2:24" s="576" customFormat="1" ht="38.25" customHeight="1">
      <c r="B238" s="1211"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8" s="1211"/>
      <c r="D238" s="1211"/>
      <c r="E238" s="1211"/>
      <c r="F238" s="1211"/>
      <c r="G238" s="1211"/>
      <c r="H238" s="1211"/>
      <c r="I238" s="1211"/>
      <c r="J238" s="1211"/>
      <c r="K238" s="1211"/>
      <c r="L238" s="1211"/>
      <c r="M238" s="1211"/>
      <c r="N238" s="1211"/>
      <c r="O238" s="1211"/>
      <c r="P238" s="1211"/>
      <c r="Q238" s="1211"/>
      <c r="R238" s="1211"/>
      <c r="S238" s="1211"/>
      <c r="T238" s="1211"/>
      <c r="U238" s="1211"/>
      <c r="V238" s="1211"/>
    </row>
    <row r="239" spans="2:24" s="576" customFormat="1">
      <c r="B239" s="573"/>
      <c r="C239" s="574"/>
      <c r="D239" s="574"/>
      <c r="E239" s="574"/>
      <c r="F239" s="574"/>
      <c r="G239" s="574"/>
      <c r="H239" s="574"/>
      <c r="I239" s="575"/>
      <c r="J239" s="575"/>
      <c r="K239" s="574"/>
      <c r="L239" s="574"/>
      <c r="M239" s="575"/>
      <c r="N239" s="575"/>
      <c r="O239" s="606"/>
      <c r="P239" s="606"/>
      <c r="Q239" s="577"/>
      <c r="R239" s="577"/>
      <c r="S239" s="577"/>
    </row>
    <row r="240" spans="2:24" s="576" customFormat="1" ht="38.25" customHeight="1">
      <c r="B240" s="1211"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40" s="1211"/>
      <c r="D240" s="1211"/>
      <c r="E240" s="1211"/>
      <c r="F240" s="1211"/>
      <c r="G240" s="1211"/>
      <c r="H240" s="1211"/>
      <c r="I240" s="1211"/>
      <c r="J240" s="1211"/>
      <c r="K240" s="1211"/>
      <c r="L240" s="1211"/>
      <c r="M240" s="1211"/>
      <c r="N240" s="1211"/>
      <c r="O240" s="1211"/>
      <c r="P240" s="1211"/>
      <c r="Q240" s="1211"/>
      <c r="R240" s="1211"/>
      <c r="S240" s="1211"/>
      <c r="T240" s="1211"/>
      <c r="U240" s="1211"/>
      <c r="V240" s="1211"/>
    </row>
    <row r="241" spans="2:22" s="576" customFormat="1" ht="14.25" customHeight="1">
      <c r="B241" s="611"/>
      <c r="C241" s="611"/>
      <c r="D241" s="611"/>
      <c r="E241" s="611"/>
      <c r="F241" s="611"/>
      <c r="G241" s="611"/>
      <c r="H241" s="611"/>
      <c r="I241" s="611"/>
      <c r="J241" s="611"/>
      <c r="K241" s="611"/>
      <c r="L241" s="611"/>
      <c r="M241" s="611"/>
      <c r="N241" s="611"/>
      <c r="O241" s="611"/>
      <c r="P241" s="611"/>
      <c r="Q241" s="611"/>
      <c r="R241" s="611"/>
      <c r="S241" s="611"/>
      <c r="T241" s="611"/>
      <c r="U241" s="611"/>
      <c r="V241" s="611"/>
    </row>
    <row r="242" spans="2:22" s="576" customFormat="1" ht="14.25" customHeight="1">
      <c r="B242" s="611"/>
      <c r="C242" s="611"/>
      <c r="D242" s="611"/>
      <c r="E242" s="611"/>
      <c r="F242" s="611"/>
      <c r="G242" s="611"/>
      <c r="H242" s="611"/>
      <c r="I242" s="611"/>
      <c r="J242" s="611"/>
      <c r="K242" s="611"/>
      <c r="L242" s="611"/>
      <c r="M242" s="611"/>
      <c r="N242" s="611"/>
      <c r="O242" s="611"/>
      <c r="P242" s="611"/>
      <c r="Q242" s="611"/>
      <c r="R242" s="611"/>
      <c r="S242" s="611"/>
      <c r="T242" s="611"/>
      <c r="U242" s="611"/>
      <c r="V242" s="611"/>
    </row>
    <row r="243" spans="2:22" s="576" customFormat="1" ht="14.25" customHeight="1">
      <c r="B243" s="611"/>
      <c r="C243" s="611"/>
      <c r="D243" s="611"/>
      <c r="E243" s="611"/>
      <c r="F243" s="611"/>
      <c r="G243" s="611"/>
      <c r="H243" s="611"/>
      <c r="I243" s="611"/>
      <c r="J243" s="611"/>
      <c r="K243" s="611"/>
      <c r="L243" s="611"/>
      <c r="M243" s="611"/>
      <c r="N243" s="611"/>
      <c r="O243" s="611"/>
      <c r="P243" s="611"/>
      <c r="Q243" s="611"/>
      <c r="R243" s="611"/>
      <c r="S243" s="611"/>
      <c r="T243" s="611"/>
      <c r="U243" s="611"/>
      <c r="V243" s="611"/>
    </row>
    <row r="244" spans="2:22" s="576" customFormat="1">
      <c r="B244" s="1204" t="str">
        <f>GA!D19 &amp;", " &amp;GA!D53</f>
        <v>Warszawa, 28.02.2025</v>
      </c>
      <c r="C244" s="1204"/>
      <c r="D244" s="1204"/>
      <c r="E244" s="1204"/>
      <c r="F244" s="1204"/>
      <c r="G244" s="1204"/>
      <c r="H244" s="1204"/>
      <c r="I244" s="1204"/>
      <c r="J244" s="575"/>
      <c r="K244" s="574"/>
      <c r="L244" s="574"/>
      <c r="M244" s="575"/>
      <c r="N244" s="575"/>
      <c r="O244" s="606"/>
      <c r="P244" s="606"/>
      <c r="Q244" s="606"/>
      <c r="R244" s="606"/>
      <c r="S244" s="606"/>
      <c r="T244" s="606"/>
      <c r="U244" s="606"/>
      <c r="V244" s="606"/>
    </row>
    <row r="245" spans="2:22" s="576" customFormat="1">
      <c r="B245" s="573"/>
      <c r="C245" s="574"/>
      <c r="D245" s="574"/>
      <c r="E245" s="574"/>
      <c r="F245" s="574"/>
      <c r="G245" s="574"/>
      <c r="H245" s="574"/>
      <c r="I245" s="575"/>
      <c r="J245" s="575"/>
      <c r="K245" s="574"/>
      <c r="L245" s="574"/>
      <c r="M245" s="575"/>
      <c r="N245" s="575"/>
      <c r="O245" s="606"/>
      <c r="P245" s="606"/>
      <c r="Q245" s="606"/>
      <c r="R245" s="606"/>
      <c r="S245" s="606"/>
      <c r="T245" s="606"/>
      <c r="U245" s="606"/>
      <c r="V245" s="606"/>
    </row>
    <row r="246" spans="2:22" s="576" customFormat="1">
      <c r="B246" s="574" t="str">
        <f>nazwa_spolki</f>
        <v>Rhenus Digital Workforce Sp. z o.o.</v>
      </c>
      <c r="C246" s="574"/>
      <c r="D246" s="574"/>
      <c r="E246" s="574"/>
      <c r="F246" s="574"/>
      <c r="G246" s="574"/>
      <c r="H246" s="574"/>
      <c r="I246" s="575"/>
      <c r="J246" s="575"/>
      <c r="K246" s="574"/>
      <c r="L246" s="603"/>
      <c r="M246" s="603"/>
      <c r="N246" s="603"/>
      <c r="O246" s="606"/>
      <c r="P246" s="574"/>
      <c r="Q246" s="603"/>
      <c r="R246" s="606"/>
      <c r="S246" s="606"/>
      <c r="T246" s="606"/>
      <c r="U246" s="606"/>
      <c r="V246" s="606"/>
    </row>
    <row r="247" spans="2:22" s="576" customFormat="1">
      <c r="B247" s="573"/>
      <c r="C247" s="574"/>
      <c r="D247" s="574"/>
      <c r="E247" s="574"/>
      <c r="F247" s="574"/>
      <c r="G247" s="574"/>
      <c r="H247" s="574"/>
      <c r="I247" s="575"/>
      <c r="J247" s="575"/>
      <c r="K247" s="574"/>
      <c r="L247" s="574"/>
      <c r="M247" s="575"/>
      <c r="N247" s="575"/>
      <c r="O247" s="606"/>
      <c r="P247" s="606"/>
      <c r="Q247" s="606"/>
      <c r="R247" s="606"/>
      <c r="S247" s="606"/>
      <c r="T247" s="606"/>
      <c r="U247" s="606"/>
      <c r="V247" s="606"/>
    </row>
    <row r="248" spans="2:22" s="576" customFormat="1">
      <c r="B248" s="573"/>
      <c r="C248" s="574"/>
      <c r="D248" s="574"/>
      <c r="E248" s="574"/>
      <c r="F248" s="574"/>
      <c r="G248" s="574"/>
      <c r="H248" s="574"/>
      <c r="I248" s="575"/>
      <c r="J248" s="575"/>
      <c r="K248" s="574"/>
      <c r="L248" s="574"/>
      <c r="M248" s="575"/>
      <c r="N248" s="575"/>
      <c r="O248" s="606"/>
      <c r="P248" s="606"/>
      <c r="Q248" s="606"/>
      <c r="R248" s="606"/>
      <c r="S248" s="606"/>
      <c r="T248" s="606"/>
      <c r="U248" s="606"/>
      <c r="V248" s="606"/>
    </row>
    <row r="249" spans="2:22" s="576" customFormat="1">
      <c r="B249" s="573"/>
      <c r="C249" s="574"/>
      <c r="D249" s="574"/>
      <c r="E249" s="574"/>
      <c r="F249" s="574"/>
      <c r="G249" s="574"/>
      <c r="H249" s="574"/>
      <c r="I249" s="575"/>
      <c r="J249" s="575"/>
      <c r="K249" s="574"/>
      <c r="L249" s="574"/>
      <c r="M249" s="575"/>
      <c r="N249" s="575"/>
      <c r="O249" s="606"/>
      <c r="P249" s="606"/>
      <c r="Q249" s="606"/>
      <c r="R249" s="606"/>
      <c r="S249" s="606"/>
      <c r="T249" s="606"/>
      <c r="U249" s="606"/>
      <c r="V249" s="606"/>
    </row>
    <row r="250" spans="2:22" s="576" customFormat="1">
      <c r="B250" s="1209" t="s">
        <v>460</v>
      </c>
      <c r="C250" s="1209"/>
      <c r="D250" s="1209"/>
      <c r="E250" s="1209"/>
      <c r="F250" s="1209"/>
      <c r="G250" s="574"/>
      <c r="H250" s="574"/>
      <c r="I250" s="575"/>
      <c r="J250" s="575"/>
      <c r="K250" s="574"/>
      <c r="L250" s="574"/>
      <c r="M250" s="575"/>
      <c r="N250" s="575"/>
      <c r="O250" s="1210"/>
      <c r="P250" s="1210"/>
      <c r="Q250" s="1210"/>
      <c r="R250" s="1210"/>
      <c r="S250" s="1210"/>
      <c r="T250" s="606"/>
      <c r="U250" s="606"/>
      <c r="V250" s="606"/>
    </row>
    <row r="251" spans="2:22" s="576" customFormat="1">
      <c r="B251" s="612" t="str">
        <f>CHOOSE(jezyk,n!A1670,n!B1670,n!C1670,n!D1666)</f>
        <v>Imię i nazwisko</v>
      </c>
      <c r="C251" s="613"/>
      <c r="D251" s="613"/>
      <c r="E251" s="613"/>
      <c r="F251" s="613"/>
      <c r="G251" s="574"/>
      <c r="H251" s="574"/>
      <c r="I251" s="575"/>
      <c r="J251" s="575"/>
      <c r="K251" s="574"/>
      <c r="L251" s="574"/>
      <c r="M251" s="575"/>
      <c r="N251" s="575"/>
      <c r="O251" s="575"/>
      <c r="P251" s="575"/>
      <c r="Q251" s="606"/>
      <c r="R251" s="606"/>
      <c r="S251" s="606"/>
      <c r="T251" s="606"/>
      <c r="U251" s="606"/>
      <c r="V251" s="606"/>
    </row>
    <row r="252" spans="2:22" s="576" customFormat="1">
      <c r="B252" s="612" t="str">
        <f>CHOOSE(jezyk,n!A1671,n!B1671,n!C1671,n!D1667)</f>
        <v>członek zarządu</v>
      </c>
      <c r="C252" s="613"/>
      <c r="D252" s="613"/>
      <c r="E252" s="613"/>
      <c r="F252" s="613"/>
      <c r="G252" s="574"/>
      <c r="H252" s="574"/>
      <c r="I252" s="575"/>
      <c r="J252" s="575"/>
      <c r="K252" s="574"/>
      <c r="L252" s="574"/>
      <c r="M252" s="575"/>
      <c r="N252" s="575"/>
      <c r="O252" s="575"/>
      <c r="P252" s="575"/>
      <c r="Q252" s="606"/>
      <c r="R252" s="606"/>
      <c r="S252" s="606"/>
      <c r="T252" s="606"/>
      <c r="U252" s="606"/>
      <c r="V252" s="606"/>
    </row>
  </sheetData>
  <dataConsolidate/>
  <mergeCells count="57">
    <mergeCell ref="B1:V1"/>
    <mergeCell ref="H21:S21"/>
    <mergeCell ref="H22:S22"/>
    <mergeCell ref="H23:S23"/>
    <mergeCell ref="B47:F47"/>
    <mergeCell ref="X64:AM64"/>
    <mergeCell ref="B130:V130"/>
    <mergeCell ref="D133:S133"/>
    <mergeCell ref="D136:S136"/>
    <mergeCell ref="D142:S142"/>
    <mergeCell ref="C86:V86"/>
    <mergeCell ref="E108:M108"/>
    <mergeCell ref="E110:M110"/>
    <mergeCell ref="D117:S117"/>
    <mergeCell ref="E98:M98"/>
    <mergeCell ref="E106:M106"/>
    <mergeCell ref="E100:M100"/>
    <mergeCell ref="C82:V82"/>
    <mergeCell ref="D139:S139"/>
    <mergeCell ref="D119:S119"/>
    <mergeCell ref="D134:S134"/>
    <mergeCell ref="B159:V159"/>
    <mergeCell ref="D129:S129"/>
    <mergeCell ref="B157:V157"/>
    <mergeCell ref="B155:V155"/>
    <mergeCell ref="D125:S125"/>
    <mergeCell ref="D127:S127"/>
    <mergeCell ref="D137:S137"/>
    <mergeCell ref="D140:S140"/>
    <mergeCell ref="D143:S143"/>
    <mergeCell ref="C90:V90"/>
    <mergeCell ref="C92:V92"/>
    <mergeCell ref="D123:S123"/>
    <mergeCell ref="D121:S121"/>
    <mergeCell ref="B250:F250"/>
    <mergeCell ref="O250:S250"/>
    <mergeCell ref="B244:I244"/>
    <mergeCell ref="B240:V240"/>
    <mergeCell ref="B194:V194"/>
    <mergeCell ref="B238:V238"/>
    <mergeCell ref="B196:V196"/>
    <mergeCell ref="B202:V202"/>
    <mergeCell ref="B213:V213"/>
    <mergeCell ref="B215:V215"/>
    <mergeCell ref="B217:V217"/>
    <mergeCell ref="B223:V223"/>
    <mergeCell ref="C180:V180"/>
    <mergeCell ref="B166:V166"/>
    <mergeCell ref="B224:V224"/>
    <mergeCell ref="B226:V226"/>
    <mergeCell ref="B232:V232"/>
    <mergeCell ref="B205:V205"/>
    <mergeCell ref="B185:V185"/>
    <mergeCell ref="B203:V203"/>
    <mergeCell ref="B192:V192"/>
    <mergeCell ref="C199:V200"/>
    <mergeCell ref="C206:V206"/>
  </mergeCells>
  <phoneticPr fontId="30" type="noConversion"/>
  <dataValidations xWindow="755" yWindow="595" count="1">
    <dataValidation type="list" allowBlank="1" showInputMessage="1" showErrorMessage="1" sqref="W187" xr:uid="{00000000-0002-0000-3200-000000000000}">
      <formula1>"tak,nie"</formula1>
    </dataValidation>
  </dataValidations>
  <hyperlinks>
    <hyperlink ref="B1:V1" location="'spis treści'!A1" display="SPIS TREŚCI" xr:uid="{00000000-0004-0000-3200-000000000000}"/>
    <hyperlink ref="D58:N58" location="'SPRAWOZDANIE S.A.'!A155" display="'SPRAWOZDANIE S.A.'!A155" xr:uid="{00000000-0004-0000-3200-000001000000}"/>
    <hyperlink ref="D60:N60" location="'SPRAWOZDANIE S.A.'!A174" display="'SPRAWOZDANIE S.A.'!A174" xr:uid="{00000000-0004-0000-3200-000002000000}"/>
    <hyperlink ref="D62" location="'SPRAWOZDANIE S.A.'!A473" display="'SPRAWOZDANIE S.A.'!A473" xr:uid="{00000000-0004-0000-3200-000003000000}"/>
    <hyperlink ref="D72:N72" location="'SPRAWOZDANIE S.A.'!A497" display="'SPRAWOZDANIE S.A.'!A497" xr:uid="{00000000-0004-0000-3200-000004000000}"/>
    <hyperlink ref="D70:N70" location="'SPRAWOZDANIE S.A.'!A489" display="'SPRAWOZDANIE S.A.'!A489" xr:uid="{00000000-0004-0000-3200-000005000000}"/>
    <hyperlink ref="D70:M70" location="'SPRAWOZDANIE S.A.'!A229" display="'SPRAWOZDANIE S.A.'!A229" xr:uid="{00000000-0004-0000-3200-000006000000}"/>
    <hyperlink ref="D56:H56" location="'SPRAWOZDANIE S.A.'!A144" display="'SPRAWOZDANIE S.A.'!A144" xr:uid="{00000000-0004-0000-3200-000007000000}"/>
    <hyperlink ref="D62:S62" location="'SPRAWOZDANIE S.A.'!A481" display="'SPRAWOZDANIE S.A.'!A481" xr:uid="{00000000-0004-0000-3200-000008000000}"/>
    <hyperlink ref="D66" location="'SPRAWOZDANIE S.A.'!A501" display="WAŻNIEJSZE OSIĄGNIĘCIA W DZIEDZINIE BADAŃ I ROZWOJU" xr:uid="{00000000-0004-0000-3200-000009000000}"/>
    <hyperlink ref="D68" location="'SPRAWOZDANIE S.A.'!A511" display="INFORMACJE O NABYCIU UDZIAŁÓW (AKCJI) WŁASNYCH" xr:uid="{00000000-0004-0000-3200-00000A000000}"/>
    <hyperlink ref="D72:M72" location="'SPRAWOZDANIE S.A.'!A235" display="'SPRAWOZDANIE S.A.'!A235" xr:uid="{00000000-0004-0000-3200-00000B000000}"/>
    <hyperlink ref="D54:M54" location="'SPRAWOZDANIE S.A.'!A75" display="'SPRAWOZDANIE S.A.'!A75" xr:uid="{00000000-0004-0000-3200-00000C000000}"/>
    <hyperlink ref="D56" location="'SPRAWOZDANIE S.A.'!A152" display="'SPRAWOZDANIE S.A.'!A152" xr:uid="{00000000-0004-0000-3200-00000D000000}"/>
    <hyperlink ref="D58:M58" location="'SPRAWOZDANIE S.A.'!A163" display="'SPRAWOZDANIE S.A.'!A163" xr:uid="{00000000-0004-0000-3200-00000E000000}"/>
    <hyperlink ref="D60:M60" location="'SPRAWOZDANIE S.A.'!A182" display="'SPRAWOZDANIE S.A.'!A182" xr:uid="{00000000-0004-0000-3200-00000F000000}"/>
    <hyperlink ref="D62:M62" location="'SPRAWOZDANIE S.A.'!A189" display="'SPRAWOZDANIE S.A.'!A189" xr:uid="{00000000-0004-0000-3200-000010000000}"/>
    <hyperlink ref="D64:S64" location="'SPRAWOZDANIE S.A.'!A199" display="'SPRAWOZDANIE S.A.'!A199" xr:uid="{00000000-0004-0000-3200-000011000000}"/>
    <hyperlink ref="D66:S66" location="'SPRAWOZDANIE S.A.'!A209" display="'SPRAWOZDANIE S.A.'!A209" xr:uid="{00000000-0004-0000-3200-000012000000}"/>
    <hyperlink ref="D68:S68" location="'SPRAWOZDANIE S.A.'!A219" display="'SPRAWOZDANIE S.A.'!A219" xr:uid="{00000000-0004-0000-3200-000013000000}"/>
  </hyperlinks>
  <pageMargins left="0.75" right="0.75" top="1" bottom="1" header="0.5" footer="0.5"/>
  <pageSetup paperSize="9" orientation="portrait" r:id="rId1"/>
  <headerFooter alignWithMargins="0"/>
  <rowBreaks count="6" manualBreakCount="6">
    <brk id="46" max="16383" man="1"/>
    <brk id="74" max="16383" man="1"/>
    <brk id="112" max="16383" man="1"/>
    <brk id="151" max="16383" man="1"/>
    <brk id="198" max="16383" man="1"/>
    <brk id="2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23254-3751-482A-BAD0-4BF2BB1B8279}">
  <sheetPr codeName="Arkusz12"/>
  <dimension ref="A1:F45"/>
  <sheetViews>
    <sheetView workbookViewId="0">
      <pane ySplit="1" topLeftCell="A2" activePane="bottomLeft" state="frozen"/>
      <selection pane="bottomLeft" activeCell="B24" sqref="B24"/>
    </sheetView>
  </sheetViews>
  <sheetFormatPr defaultRowHeight="12.75"/>
  <cols>
    <col min="2" max="2" width="18.42578125" bestFit="1" customWidth="1"/>
    <col min="3" max="3" width="18.42578125" customWidth="1"/>
  </cols>
  <sheetData>
    <row r="1" spans="1:6">
      <c r="B1" s="700" t="s">
        <v>6782</v>
      </c>
      <c r="C1" s="700" t="s">
        <v>6592</v>
      </c>
      <c r="D1" s="700" t="s">
        <v>6000</v>
      </c>
      <c r="E1" s="700" t="s">
        <v>6783</v>
      </c>
      <c r="F1" s="701" t="s">
        <v>6840</v>
      </c>
    </row>
    <row r="2" spans="1:6">
      <c r="A2" t="str">
        <f t="shared" ref="A2:A24" si="0">MONTH(C2)&amp;"."&amp;YEAR(C2)</f>
        <v>3.2019</v>
      </c>
      <c r="B2" s="22" t="s">
        <v>6859</v>
      </c>
      <c r="C2" s="698">
        <v>43555</v>
      </c>
      <c r="D2" s="22">
        <v>4.3013000000000003</v>
      </c>
      <c r="E2">
        <v>3.8365</v>
      </c>
      <c r="F2" s="22">
        <v>4.9960000000000004</v>
      </c>
    </row>
    <row r="3" spans="1:6">
      <c r="A3" t="str">
        <f t="shared" si="0"/>
        <v>6.2019</v>
      </c>
      <c r="B3" s="22" t="s">
        <v>6860</v>
      </c>
      <c r="C3" s="698">
        <v>43644</v>
      </c>
      <c r="D3" s="22">
        <v>4.2519999999999998</v>
      </c>
      <c r="E3">
        <v>3.7336</v>
      </c>
      <c r="F3" s="22">
        <v>4.7331000000000003</v>
      </c>
    </row>
    <row r="4" spans="1:6">
      <c r="A4" t="str">
        <f t="shared" si="0"/>
        <v>9.2019</v>
      </c>
      <c r="B4" s="22" t="s">
        <v>6858</v>
      </c>
      <c r="C4" s="698">
        <v>43738</v>
      </c>
      <c r="D4" s="22">
        <v>4.3735999999999997</v>
      </c>
      <c r="E4" s="704">
        <v>4</v>
      </c>
      <c r="F4" s="22">
        <v>4.9313000000000002</v>
      </c>
    </row>
    <row r="5" spans="1:6">
      <c r="A5" t="str">
        <f t="shared" si="0"/>
        <v>12.2019</v>
      </c>
      <c r="B5" s="22" t="s">
        <v>6857</v>
      </c>
      <c r="C5" s="698">
        <v>43830</v>
      </c>
      <c r="D5" s="22">
        <v>4.2584999999999997</v>
      </c>
      <c r="E5">
        <v>3.7976999999999999</v>
      </c>
      <c r="F5" s="22">
        <v>4.9970999999999997</v>
      </c>
    </row>
    <row r="6" spans="1:6">
      <c r="A6" t="str">
        <f t="shared" si="0"/>
        <v>3.2020</v>
      </c>
      <c r="B6" s="22" t="s">
        <v>6856</v>
      </c>
      <c r="C6" s="698">
        <v>43921</v>
      </c>
      <c r="D6" s="22">
        <v>4.5522999999999998</v>
      </c>
      <c r="E6">
        <v>4.1466000000000003</v>
      </c>
      <c r="F6" s="22">
        <v>5.1052</v>
      </c>
    </row>
    <row r="7" spans="1:6">
      <c r="A7" t="str">
        <f t="shared" si="0"/>
        <v>6.2020</v>
      </c>
      <c r="B7" s="22" t="s">
        <v>6855</v>
      </c>
      <c r="C7" s="698">
        <v>44012</v>
      </c>
      <c r="D7" s="22">
        <v>4.4660000000000002</v>
      </c>
      <c r="E7">
        <v>3.9805999999999999</v>
      </c>
      <c r="F7" s="22">
        <v>4.8851000000000004</v>
      </c>
    </row>
    <row r="8" spans="1:6">
      <c r="A8" t="str">
        <f t="shared" si="0"/>
        <v>9.2020</v>
      </c>
      <c r="B8" s="22" t="s">
        <v>6854</v>
      </c>
      <c r="C8" s="698">
        <v>44104</v>
      </c>
      <c r="D8" s="22">
        <v>4.5267999999999997</v>
      </c>
      <c r="E8">
        <v>3.8658000000000001</v>
      </c>
      <c r="F8" s="22">
        <v>4.9560000000000004</v>
      </c>
    </row>
    <row r="9" spans="1:6">
      <c r="A9" t="str">
        <f t="shared" si="0"/>
        <v>12.2020</v>
      </c>
      <c r="B9" s="22" t="s">
        <v>6853</v>
      </c>
      <c r="C9" s="698">
        <v>44196</v>
      </c>
      <c r="D9" s="22">
        <v>4.6147999999999998</v>
      </c>
      <c r="E9">
        <v>3.7584</v>
      </c>
      <c r="F9" s="22">
        <v>5.1326999999999998</v>
      </c>
    </row>
    <row r="10" spans="1:6">
      <c r="A10" t="str">
        <f t="shared" si="0"/>
        <v>3.2021</v>
      </c>
      <c r="B10" s="22" t="s">
        <v>6849</v>
      </c>
      <c r="C10" s="698">
        <v>44286</v>
      </c>
      <c r="D10" s="22">
        <v>4.6603000000000003</v>
      </c>
      <c r="E10">
        <v>3.9676</v>
      </c>
      <c r="F10" s="22">
        <v>5.4679000000000002</v>
      </c>
    </row>
    <row r="11" spans="1:6">
      <c r="A11" t="str">
        <f t="shared" si="0"/>
        <v>6.2021</v>
      </c>
      <c r="B11" s="22" t="s">
        <v>6850</v>
      </c>
      <c r="C11" s="698">
        <v>44377</v>
      </c>
      <c r="D11" s="22">
        <v>4.5208000000000004</v>
      </c>
      <c r="E11">
        <v>3.8035000000000001</v>
      </c>
      <c r="F11" s="22">
        <v>5.2615999999999996</v>
      </c>
    </row>
    <row r="12" spans="1:6">
      <c r="A12" t="str">
        <f t="shared" si="0"/>
        <v>9.2021</v>
      </c>
      <c r="B12" s="22" t="s">
        <v>6851</v>
      </c>
      <c r="C12" s="698">
        <v>44469</v>
      </c>
      <c r="D12" s="22">
        <v>4.6329000000000002</v>
      </c>
      <c r="E12">
        <v>3.9925000000000002</v>
      </c>
      <c r="F12" s="22">
        <v>5.3653000000000004</v>
      </c>
    </row>
    <row r="13" spans="1:6">
      <c r="A13" t="str">
        <f t="shared" si="0"/>
        <v>12.2021</v>
      </c>
      <c r="B13" s="22" t="s">
        <v>6852</v>
      </c>
      <c r="C13" s="698">
        <v>44561</v>
      </c>
      <c r="D13" s="22">
        <v>4.5994000000000002</v>
      </c>
      <c r="E13">
        <v>4.0599999999999996</v>
      </c>
      <c r="F13" s="22">
        <v>5.4846000000000004</v>
      </c>
    </row>
    <row r="14" spans="1:6">
      <c r="A14" t="str">
        <f t="shared" si="0"/>
        <v>3.2022</v>
      </c>
      <c r="B14" s="22" t="s">
        <v>6846</v>
      </c>
      <c r="C14" s="698">
        <v>44651</v>
      </c>
      <c r="D14" s="22">
        <v>4.6524999999999999</v>
      </c>
      <c r="E14">
        <v>4.1801000000000004</v>
      </c>
      <c r="F14" s="22">
        <v>5.4842000000000004</v>
      </c>
    </row>
    <row r="15" spans="1:6">
      <c r="A15" t="str">
        <f t="shared" si="0"/>
        <v>6.2022</v>
      </c>
      <c r="B15" s="22" t="s">
        <v>6847</v>
      </c>
      <c r="C15" s="698">
        <v>44742</v>
      </c>
      <c r="D15" s="22">
        <v>4.6806000000000001</v>
      </c>
      <c r="E15">
        <v>4.4824999999999999</v>
      </c>
      <c r="F15" s="22">
        <v>5.4428999999999998</v>
      </c>
    </row>
    <row r="16" spans="1:6">
      <c r="A16" t="str">
        <f t="shared" si="0"/>
        <v>9.2022</v>
      </c>
      <c r="B16" s="22" t="s">
        <v>6848</v>
      </c>
      <c r="C16" s="698">
        <v>44834</v>
      </c>
      <c r="D16" s="22">
        <v>4.8697999999999997</v>
      </c>
      <c r="E16">
        <v>4.9532999999999996</v>
      </c>
      <c r="F16" s="22">
        <v>5.556</v>
      </c>
    </row>
    <row r="17" spans="1:6">
      <c r="A17" t="str">
        <f t="shared" si="0"/>
        <v>12.2022</v>
      </c>
      <c r="B17" s="22" t="s">
        <v>6593</v>
      </c>
      <c r="C17" s="699">
        <v>44925</v>
      </c>
      <c r="D17" s="22">
        <v>4.6898999999999997</v>
      </c>
      <c r="E17" s="22">
        <v>4.4017999999999997</v>
      </c>
      <c r="F17" s="22">
        <v>5.2957000000000001</v>
      </c>
    </row>
    <row r="18" spans="1:6">
      <c r="A18" t="str">
        <f t="shared" si="0"/>
        <v>3.2023</v>
      </c>
      <c r="B18" s="22" t="s">
        <v>6841</v>
      </c>
      <c r="C18" s="698">
        <v>45016</v>
      </c>
      <c r="D18">
        <v>4.6755000000000004</v>
      </c>
      <c r="E18">
        <v>4.2934000000000001</v>
      </c>
      <c r="F18">
        <v>5.3106999999999998</v>
      </c>
    </row>
    <row r="19" spans="1:6">
      <c r="A19" t="str">
        <f t="shared" si="0"/>
        <v>6.2023</v>
      </c>
      <c r="B19" s="22" t="s">
        <v>6842</v>
      </c>
      <c r="C19" s="698">
        <v>45107</v>
      </c>
      <c r="D19" s="22">
        <v>4.4503000000000004</v>
      </c>
      <c r="E19" s="22">
        <v>4.1066000000000003</v>
      </c>
      <c r="F19" s="22">
        <v>5.1795999999999998</v>
      </c>
    </row>
    <row r="20" spans="1:6">
      <c r="A20" t="str">
        <f t="shared" si="0"/>
        <v>9.2023</v>
      </c>
      <c r="B20" s="22" t="s">
        <v>6843</v>
      </c>
      <c r="C20" s="698">
        <v>45198</v>
      </c>
      <c r="D20" s="22">
        <v>4.6356000000000002</v>
      </c>
      <c r="E20" s="702">
        <v>4.3696999999999999</v>
      </c>
      <c r="F20" s="22">
        <v>5.3464</v>
      </c>
    </row>
    <row r="21" spans="1:6">
      <c r="A21" t="str">
        <f t="shared" si="0"/>
        <v>12.2023</v>
      </c>
      <c r="B21" s="22" t="s">
        <v>6804</v>
      </c>
      <c r="C21" s="699">
        <v>45289</v>
      </c>
      <c r="D21" s="22">
        <v>4.3479999999999999</v>
      </c>
      <c r="E21" s="22">
        <v>3.9350000000000001</v>
      </c>
      <c r="F21" s="22">
        <v>4.9996999999999998</v>
      </c>
    </row>
    <row r="22" spans="1:6">
      <c r="A22" t="str">
        <f t="shared" si="0"/>
        <v>3.2024</v>
      </c>
      <c r="B22" s="22" t="s">
        <v>6845</v>
      </c>
      <c r="C22" s="698">
        <v>45380</v>
      </c>
      <c r="D22" s="22">
        <v>4.3009000000000004</v>
      </c>
      <c r="E22" s="22">
        <v>3.9885999999999999</v>
      </c>
      <c r="F22" s="22">
        <v>5.03</v>
      </c>
    </row>
    <row r="23" spans="1:6">
      <c r="A23" t="str">
        <f t="shared" si="0"/>
        <v>6.2024</v>
      </c>
      <c r="B23" s="22" t="s">
        <v>6844</v>
      </c>
      <c r="C23" s="698">
        <v>45471</v>
      </c>
      <c r="D23" s="22">
        <v>4.3129999999999997</v>
      </c>
      <c r="E23">
        <v>4.032</v>
      </c>
      <c r="F23" s="22">
        <v>5.0941999999999998</v>
      </c>
    </row>
    <row r="24" spans="1:6">
      <c r="A24" t="str">
        <f t="shared" si="0"/>
        <v>9.2024</v>
      </c>
      <c r="B24" s="22" t="s">
        <v>6877</v>
      </c>
      <c r="C24" s="711">
        <v>45565</v>
      </c>
      <c r="D24" s="22">
        <v>4.2790999999999997</v>
      </c>
      <c r="E24" s="22">
        <v>3.8193000000000001</v>
      </c>
      <c r="F24" s="22">
        <v>5.1241000000000003</v>
      </c>
    </row>
    <row r="25" spans="1:6">
      <c r="A25" t="str">
        <f>IF(B25&lt;&gt;"",MONTH(C25)&amp;"."&amp;YEAR(C25),"")</f>
        <v>12.2024</v>
      </c>
      <c r="B25" s="22" t="s">
        <v>6900</v>
      </c>
      <c r="C25" s="698">
        <v>45657</v>
      </c>
      <c r="D25" s="720">
        <v>4.2729999999999997</v>
      </c>
      <c r="E25" s="22">
        <v>4.1012000000000004</v>
      </c>
      <c r="F25" s="22">
        <v>5.1487999999999996</v>
      </c>
    </row>
    <row r="26" spans="1:6">
      <c r="A26" t="str">
        <f t="shared" ref="A26:A45" si="1">IF(B26&lt;&gt;"",MONTH(C26)&amp;"."&amp;YEAR(C26),"")</f>
        <v/>
      </c>
    </row>
    <row r="27" spans="1:6">
      <c r="A27" t="str">
        <f t="shared" si="1"/>
        <v/>
      </c>
    </row>
    <row r="28" spans="1:6">
      <c r="A28" t="str">
        <f t="shared" si="1"/>
        <v/>
      </c>
    </row>
    <row r="29" spans="1:6">
      <c r="A29" t="str">
        <f t="shared" si="1"/>
        <v/>
      </c>
    </row>
    <row r="30" spans="1:6">
      <c r="A30" t="str">
        <f t="shared" si="1"/>
        <v/>
      </c>
    </row>
    <row r="31" spans="1:6">
      <c r="A31" t="str">
        <f t="shared" si="1"/>
        <v/>
      </c>
    </row>
    <row r="32" spans="1:6">
      <c r="A32" t="str">
        <f t="shared" si="1"/>
        <v/>
      </c>
    </row>
    <row r="33" spans="1:1">
      <c r="A33" t="str">
        <f t="shared" si="1"/>
        <v/>
      </c>
    </row>
    <row r="34" spans="1:1">
      <c r="A34" t="str">
        <f t="shared" si="1"/>
        <v/>
      </c>
    </row>
    <row r="35" spans="1:1">
      <c r="A35" t="str">
        <f t="shared" si="1"/>
        <v/>
      </c>
    </row>
    <row r="36" spans="1:1">
      <c r="A36" t="str">
        <f t="shared" si="1"/>
        <v/>
      </c>
    </row>
    <row r="37" spans="1:1">
      <c r="A37" t="str">
        <f t="shared" si="1"/>
        <v/>
      </c>
    </row>
    <row r="38" spans="1:1">
      <c r="A38" t="str">
        <f t="shared" si="1"/>
        <v/>
      </c>
    </row>
    <row r="39" spans="1:1">
      <c r="A39" t="str">
        <f t="shared" si="1"/>
        <v/>
      </c>
    </row>
    <row r="40" spans="1:1">
      <c r="A40" t="str">
        <f t="shared" si="1"/>
        <v/>
      </c>
    </row>
    <row r="41" spans="1:1">
      <c r="A41" t="str">
        <f t="shared" si="1"/>
        <v/>
      </c>
    </row>
    <row r="42" spans="1:1">
      <c r="A42" t="str">
        <f t="shared" si="1"/>
        <v/>
      </c>
    </row>
    <row r="43" spans="1:1">
      <c r="A43" t="str">
        <f t="shared" si="1"/>
        <v/>
      </c>
    </row>
    <row r="44" spans="1:1">
      <c r="A44" t="str">
        <f t="shared" si="1"/>
        <v/>
      </c>
    </row>
    <row r="45" spans="1:1">
      <c r="A45" t="str">
        <f t="shared" si="1"/>
        <v/>
      </c>
    </row>
  </sheetData>
  <autoFilter ref="A1:F23" xr:uid="{0A123254-3751-482A-BAD0-4BF2BB1B8279}">
    <sortState xmlns:xlrd2="http://schemas.microsoft.com/office/spreadsheetml/2017/richdata2" ref="A2:F23">
      <sortCondition ref="C1:C23"/>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3"/>
  <dimension ref="B1:D35"/>
  <sheetViews>
    <sheetView showGridLines="0" view="pageBreakPreview" topLeftCell="A19" zoomScale="130" zoomScaleNormal="100" zoomScaleSheetLayoutView="130" workbookViewId="0"/>
  </sheetViews>
  <sheetFormatPr defaultColWidth="9.140625" defaultRowHeight="12.75"/>
  <cols>
    <col min="1" max="1" width="9.140625" style="66"/>
    <col min="2" max="2" width="4.28515625" style="66" customWidth="1"/>
    <col min="3" max="3" width="75.140625" style="66" customWidth="1"/>
    <col min="4" max="16384" width="9.140625" style="66"/>
  </cols>
  <sheetData>
    <row r="1" spans="2:4">
      <c r="C1" s="442" t="str">
        <f>CHOOSE(jezyk,n!A1331,n!B1331,n!C1331,n!D1329)</f>
        <v>SPIS TREŚCI</v>
      </c>
      <c r="D1" s="131" t="s">
        <v>6421</v>
      </c>
    </row>
    <row r="2" spans="2:4">
      <c r="C2" s="443"/>
    </row>
    <row r="3" spans="2:4">
      <c r="B3" s="72"/>
      <c r="C3" s="444" t="str">
        <f>CHOOSE(jezyk,n!A1332,n!B1332,n!C1332,n!D1330)</f>
        <v>GA – dane ogólne o Spółce</v>
      </c>
    </row>
    <row r="4" spans="2:4">
      <c r="B4" s="72"/>
      <c r="C4" s="444" t="s">
        <v>2972</v>
      </c>
    </row>
    <row r="5" spans="2:4">
      <c r="B5" s="72"/>
      <c r="C5" s="444" t="str">
        <f>CHOOSE(jezyk,n!A1333,n!B1333,n!C1333,n!D1331)</f>
        <v>Wprowadzenie do sprawozdania finansowego</v>
      </c>
    </row>
    <row r="6" spans="2:4">
      <c r="B6" s="72"/>
      <c r="C6" s="444" t="str">
        <f>CHOOSE(jezyk,n!A1334,n!B1334,n!C1334,n!D1332)</f>
        <v>Bilans</v>
      </c>
    </row>
    <row r="7" spans="2:4">
      <c r="B7" s="72"/>
      <c r="C7" s="444" t="s">
        <v>2973</v>
      </c>
    </row>
    <row r="8" spans="2:4">
      <c r="B8" s="72"/>
      <c r="C8" s="444" t="s">
        <v>2974</v>
      </c>
    </row>
    <row r="9" spans="2:4">
      <c r="B9" s="72"/>
      <c r="C9" s="444" t="str">
        <f>CHOOSE(jezyk,n!A1335,n!B1335,n!C1335,n!D1333)</f>
        <v>RZiS Por. – rachunek zysków i strat w wersji porównawczej</v>
      </c>
    </row>
    <row r="10" spans="2:4">
      <c r="B10" s="72"/>
      <c r="C10" s="444" t="s">
        <v>2975</v>
      </c>
    </row>
    <row r="11" spans="2:4">
      <c r="B11" s="72"/>
      <c r="C11" s="444" t="str">
        <f>CHOOSE(jezyk,n!A1336,n!B1336,n!C1336,n!D1334)</f>
        <v>RZiS Kal. – rachunek zysków i strat w wersji kalkulacyjnej</v>
      </c>
    </row>
    <row r="12" spans="2:4">
      <c r="B12" s="72"/>
      <c r="C12" s="444" t="str">
        <f>CHOOSE(jezyk,n!A1337,n!B1337,n!C1337,n!D1335)</f>
        <v>CF mp – rachunek przepływów środków pieniężnych sporządzony metodą pośrednią</v>
      </c>
    </row>
    <row r="13" spans="2:4">
      <c r="B13" s="72"/>
      <c r="C13" s="444" t="s">
        <v>2976</v>
      </c>
    </row>
    <row r="14" spans="2:4" ht="12.75" customHeight="1">
      <c r="B14" s="72"/>
      <c r="C14" s="444" t="str">
        <f>CHOOSE(jezyk,n!A1338,n!B1338,n!C1338,n!D1336)</f>
        <v>CF mb – rachunek przepływów środków pieniężnych sporządzony metodą bezpośrednią</v>
      </c>
    </row>
    <row r="15" spans="2:4">
      <c r="B15" s="72"/>
      <c r="C15" s="444" t="str">
        <f>CHOOSE(jezyk,n!A1339,n!B1339,n!C1339,n!D1337)</f>
        <v>Z. Zm. w Kap. – zestawienie zmian w kapitale (funduszu) własnym</v>
      </c>
    </row>
    <row r="16" spans="2:4">
      <c r="B16" s="72"/>
      <c r="C16" s="444" t="str">
        <f>CHOOSE(jezyk,n!A1340,n!B1340,n!C1340,n!D1338)</f>
        <v>nota 1.1.a – zestawienie wartości niematerialnych i prawnych</v>
      </c>
    </row>
    <row r="17" spans="2:3">
      <c r="B17" s="72"/>
      <c r="C17" s="444" t="str">
        <f>CHOOSE(jezyk,n!A1341,n!B1341,n!C1341,n!D1339)</f>
        <v>nota 1.1.b – zestawienie rzeczowych aktywów trwałych</v>
      </c>
    </row>
    <row r="18" spans="2:3">
      <c r="B18" s="72"/>
      <c r="C18" s="444" t="str">
        <f>CHOOSE(jezyk,n!A1342,n!B1342,n!C1342,n!D1340)</f>
        <v>nota 1.1.c – zestawienie inwestycji długoterminowych</v>
      </c>
    </row>
    <row r="19" spans="2:3" ht="38.25">
      <c r="B19" s="72"/>
      <c r="C19" s="444" t="str">
        <f>CHOOSE(jezyk,n!A1343,n!B1343,n!C1343,n!D1341)</f>
        <v>nota 1.3–1.10 – grunty użytkowane wieczyście, środki trwałe w leasingu, najmie, dzierżawie, papiery wartościowe, odpisy aktualizujące należności,  struktura własności kapitału własnego,  zestawienie zmian kapitałów własnych, propozycje podziału zysku lub pokrycia straty</v>
      </c>
    </row>
    <row r="20" spans="2:3" ht="12.75" customHeight="1">
      <c r="B20" s="72"/>
      <c r="C20" s="444" t="str">
        <f>CHOOSE(jezyk,n!A1344,n!B1344,n!C1344,n!D1342)</f>
        <v>nota 1.11 – zestawienie rezerw na zobowiązania</v>
      </c>
    </row>
    <row r="21" spans="2:3">
      <c r="B21" s="72"/>
      <c r="C21" s="444" t="str">
        <f>CHOOSE(jezyk,n!A1345,n!B1345,n!C1345,n!D1343)</f>
        <v>nota 1.12 – zobowiązania długoterminowe</v>
      </c>
    </row>
    <row r="22" spans="2:3" ht="24.75" customHeight="1">
      <c r="B22" s="72"/>
      <c r="C22" s="444" t="str">
        <f>CHOOSE(jezyk,n!A1346,n!B1346,n!C1346,n!D1344)</f>
        <v>nota 1.13 – wykaz grup zobowiązań zabezpieczonych na majątku jednostki (ze wskazaniem jego rodzaju)</v>
      </c>
    </row>
    <row r="23" spans="2:3" ht="12.75" customHeight="1">
      <c r="B23" s="72"/>
      <c r="C23" s="444" t="str">
        <f>CHOOSE(jezyk,n!A1347,n!B1347,n!C1347,n!D1345)</f>
        <v>nota 1.14 – zestawienie czynnych i biernych rozliczeń międzyokresowych</v>
      </c>
    </row>
    <row r="24" spans="2:3" ht="12.75" customHeight="1">
      <c r="B24" s="72"/>
      <c r="C24" s="444" t="str">
        <f>CHOOSE(jezyk,n!A1348,n!B1348,n!C1348,n!D1346)</f>
        <v>nota 1.15. – należności i zobowiązania wykazywane w więcej niż jednej pozycji bilansu</v>
      </c>
    </row>
    <row r="25" spans="2:3" ht="39" customHeight="1">
      <c r="B25" s="72"/>
      <c r="C25" s="444" t="str">
        <f>CHOOSE(jezyk,n!A1349,n!B1349,n!C1349,n!D1347)&amp;" "&amp;CHOOSE(jezyk,n!A1350,n!B1350,n!C1350,n!D1348)&amp;" "&amp;CHOOSE(jezyk,n!A1351,n!B1351,n!C1351,n!D1349)</f>
        <v>nota 1.16. - zobowiązania warunkowe nota 1.17. - Aktywa niebędące instrumentami finansowymi, wyceniane wg wartości godziwej nota 1.18. - Środki pieniężne zgromadzone na rachunku VAT, o którym mowaw art.. 62a ust.1 ustawy z dn. 29.08.1997 - Prawo bankowe</v>
      </c>
    </row>
    <row r="26" spans="2:3" ht="65.25" customHeight="1">
      <c r="B26" s="72"/>
      <c r="C26" s="444" t="str">
        <f>CHOOSE(jezyk,n!A1352,n!B1352,n!C1352,n!D1350)</f>
        <v>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v>
      </c>
    </row>
    <row r="27" spans="2:3" ht="38.25" customHeight="1">
      <c r="B27" s="72"/>
      <c r="C27" s="444" t="str">
        <f>CHOOSE(jezyk,n!A1353,n!B1353,n!C1353,n!D1351)&amp;" "&amp;CHOOSE(jezyk,n!A1354,n!B1354,n!C1354,n!D1352)</f>
        <v>nota 3 - Kursy przyjęte do wyceny pozycji bilansu oraz rachunku zysków i strat wyrażonych w walutach obcych nota 4 – struktura środków pieniężnych przyjętych do rachunku przepływu pieniężnych</v>
      </c>
    </row>
    <row r="28" spans="2:3" ht="25.5">
      <c r="B28" s="72"/>
      <c r="C28" s="444" t="str">
        <f>CHOOSE(jezyk,n!A1355,n!B1355,n!C1355,n!D1353)</f>
        <v xml:space="preserve">nota 5 – informacje o zatrudnieniu i wynagrodzeniach członków Zarządu, Rady Nadzorczej oraz Biegłego Rewidenta </v>
      </c>
    </row>
    <row r="29" spans="2:3" ht="28.5" customHeight="1">
      <c r="B29" s="72"/>
      <c r="C29" s="444" t="str">
        <f>CHOOSE(jezyk,n!A1356,n!B1356,n!C1356,n!D1354)</f>
        <v>nota 6 – informacje o istotnych zdarzeniach dotyczących lat ubiegłych lub powstałych po dniu bilansowym nie ujętych w sprawozdaniu finansowym oraz zmiany zasad (polityki) rachunkowości</v>
      </c>
    </row>
    <row r="30" spans="2:3" ht="29.25" customHeight="1">
      <c r="B30" s="72"/>
      <c r="C30" s="444" t="str">
        <f>CHOOSE(jezyk,n!A1357,n!B1357,n!C1357,n!D1355)</f>
        <v>nota 7 – informacje o wspólnych przedsięwzięciach, które nie podlegają konsolidacji, transakcjach z jednostkami powiązanymi, wykaz spółek powiązanych, przyczynach odstąpienia od konsolidacji</v>
      </c>
    </row>
    <row r="31" spans="2:3">
      <c r="B31" s="72"/>
      <c r="C31" s="444" t="str">
        <f>CHOOSE(jezyk,n!A1358,n!B1358,n!C1358,n!D1356)</f>
        <v>nota 8 – informacje o połączeniu spółek (metoda nabycia lub łączenia udziałów)</v>
      </c>
    </row>
    <row r="32" spans="2:3">
      <c r="B32" s="72"/>
      <c r="C32" s="444" t="str">
        <f>CHOOSE(jezyk,n!A1359,n!B1359,n!C1359,n!D1357)&amp;" "</f>
        <v xml:space="preserve">nota 9 – informacje o zagrożeniu kontynuowania działalności </v>
      </c>
    </row>
    <row r="33" spans="2:3">
      <c r="B33" s="72"/>
      <c r="C33" s="444" t="str">
        <f>CHOOSE(jezyk,n!A1360,n!B1360,n!C1360,n!D1358)</f>
        <v>nota 10 – inne istotne informacje</v>
      </c>
    </row>
    <row r="34" spans="2:3" ht="25.5" hidden="1" customHeight="1">
      <c r="B34" s="72"/>
      <c r="C34" s="444"/>
    </row>
    <row r="35" spans="2:3" hidden="1">
      <c r="C35" s="445" t="str">
        <f>CHOOSE(jezyk,n!A1363,n!B1363,n!C1363,n!D1361)</f>
        <v>SPRAWOZDANIE – sprawozdanie Zarządu z działalności jednostki</v>
      </c>
    </row>
  </sheetData>
  <phoneticPr fontId="0" type="noConversion"/>
  <hyperlinks>
    <hyperlink ref="C3" location="GA!A1" display="GA - dane ogólne o Spółce" xr:uid="{00000000-0004-0000-0A00-000000000000}"/>
    <hyperlink ref="C5" location="Wprowadzenie!A1" display="Wprowadzenie!A1" xr:uid="{00000000-0004-0000-0A00-000001000000}"/>
    <hyperlink ref="C6" location="Bilans!A1" display="Bilans!A1" xr:uid="{00000000-0004-0000-0A00-000002000000}"/>
    <hyperlink ref="C9" location="'RZiS Por.'!A1" display="'RZiS Por.'!A1" xr:uid="{00000000-0004-0000-0A00-000003000000}"/>
    <hyperlink ref="C11" location="'RZiS Kal.'!A1" display="'RZiS Kal.'!A1" xr:uid="{00000000-0004-0000-0A00-000004000000}"/>
    <hyperlink ref="C12" location="'CF mp'!A1" display="'CF mp'!A1" xr:uid="{00000000-0004-0000-0A00-000005000000}"/>
    <hyperlink ref="C14" location="'CF mb'!A1" display="'CF mb'!A1" xr:uid="{00000000-0004-0000-0A00-000006000000}"/>
    <hyperlink ref="C15" location="'Z. Zm. w Kap.'!A1" display="'Z. Zm. w Kap.'!A1" xr:uid="{00000000-0004-0000-0A00-000007000000}"/>
    <hyperlink ref="C17" location="'nota 1.1.-1.2'!B72" display="'nota 1.1.-1.2'!B72" xr:uid="{00000000-0004-0000-0A00-000008000000}"/>
    <hyperlink ref="C16" location="'nota 1.1.-1.2'!B6" display="'nota 1.1.-1.2'!B6" xr:uid="{00000000-0004-0000-0A00-000009000000}"/>
    <hyperlink ref="C18" location="'nota 1.1.-1.2'!B164" display="'nota 1.1.-1.2'!B164" xr:uid="{00000000-0004-0000-0A00-00000A000000}"/>
    <hyperlink ref="C19" location="'nota 1.3-1.10'!A1" display="'nota 1.3-1.10'!A1" xr:uid="{00000000-0004-0000-0A00-00000B000000}"/>
    <hyperlink ref="C20" location="'nota 1.11-1.15'!A6" display="'nota 1.11-1.15'!A6" xr:uid="{00000000-0004-0000-0A00-00000C000000}"/>
    <hyperlink ref="C21" location="'nota 1.11-1.15'!C38" display="'nota 1.11-1.15'!C38" xr:uid="{00000000-0004-0000-0A00-00000D000000}"/>
    <hyperlink ref="C23" location="'nota 1.11-1.15'!C80" display="'nota 1.11-1.15'!C80" xr:uid="{00000000-0004-0000-0A00-00000E000000}"/>
    <hyperlink ref="C24" location="'nota 1.11-1.15'!C119" display="'nota 1.11-1.15'!C119" xr:uid="{00000000-0004-0000-0A00-00000F000000}"/>
    <hyperlink ref="C26" location="'nota 2'!A1" display="'nota 2'!A1" xr:uid="{00000000-0004-0000-0A00-000010000000}"/>
    <hyperlink ref="C27" location="'nota 3,4'!A1" display="'nota 3,4'!A1" xr:uid="{00000000-0004-0000-0A00-000011000000}"/>
    <hyperlink ref="C28" location="'nota 5'!A1" display="'nota 5'!A1" xr:uid="{00000000-0004-0000-0A00-000012000000}"/>
    <hyperlink ref="C29" location="'nota 6'!A1" display="'nota 6'!A1" xr:uid="{00000000-0004-0000-0A00-000013000000}"/>
    <hyperlink ref="C30" location="'nota 7'!A1" display="'nota 7'!A1" xr:uid="{00000000-0004-0000-0A00-000014000000}"/>
    <hyperlink ref="C31" location="'nota 8-11'!A1" display="'nota 8-11'!A1" xr:uid="{00000000-0004-0000-0A00-000015000000}"/>
    <hyperlink ref="C32" location="'nota 8-11'!B59" display="'nota 8-11'!B59" xr:uid="{00000000-0004-0000-0A00-000016000000}"/>
    <hyperlink ref="C35" location="SPRAWOZDANIE!A1" display="SPRAWOZDANIE!A1" xr:uid="{00000000-0004-0000-0A00-000017000000}"/>
    <hyperlink ref="C25" location="'nota 1.16-1.19'!A1" display="'nota 1.16-1.19'!A1" xr:uid="{00000000-0004-0000-0A00-000018000000}"/>
    <hyperlink ref="C4" location="Tytułowa!A1" display="Strona tytułowa SF" xr:uid="{00000000-0004-0000-0A00-000019000000}"/>
    <hyperlink ref="C7" location="'Bilans-korekty'!A1" display="Bilans - korekty" xr:uid="{00000000-0004-0000-0A00-00001A000000}"/>
    <hyperlink ref="C8" location="'Bilans po korektach'!A1" display="Bilans  po korektach" xr:uid="{00000000-0004-0000-0A00-00001B000000}"/>
    <hyperlink ref="C10" location="'RZiS Por. po korektach'!A1" display="RZiS Por. po korektach" xr:uid="{00000000-0004-0000-0A00-00001C000000}"/>
    <hyperlink ref="C13" location="'CF kalkulacja'!A1" display="CF kalkulacja" xr:uid="{00000000-0004-0000-0A00-00001D000000}"/>
    <hyperlink ref="C22" location="'nota 1.11-1.15'!C70" display="'nota 1.11-1.15'!C70" xr:uid="{00000000-0004-0000-0A00-00001E000000}"/>
    <hyperlink ref="C33" location="'nota 8-11'!B66" display="'nota 8-11'!B66" xr:uid="{00000000-0004-0000-0A00-00001F000000}"/>
  </hyperlinks>
  <pageMargins left="0.74803149606299213" right="0.74803149606299213"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
    <tabColor rgb="FF00B0F0"/>
  </sheetPr>
  <dimension ref="A1:R74"/>
  <sheetViews>
    <sheetView showGridLines="0" view="pageBreakPreview" zoomScaleNormal="100" zoomScaleSheetLayoutView="100" workbookViewId="0">
      <selection activeCell="B52" sqref="B52"/>
    </sheetView>
  </sheetViews>
  <sheetFormatPr defaultColWidth="9.85546875" defaultRowHeight="12.75"/>
  <cols>
    <col min="1" max="1" width="9.85546875" style="22"/>
    <col min="2" max="2" width="38.85546875" style="22" customWidth="1"/>
    <col min="3" max="3" width="18.7109375" style="22" bestFit="1" customWidth="1"/>
    <col min="4" max="4" width="10.5703125" style="23" customWidth="1"/>
    <col min="5" max="6" width="10.85546875" style="22" bestFit="1" customWidth="1"/>
    <col min="7" max="7" width="14.140625" style="22" customWidth="1"/>
    <col min="8" max="8" width="29.5703125" style="22" customWidth="1"/>
    <col min="9" max="11" width="9.85546875" style="22"/>
    <col min="12" max="12" width="28.140625" style="22" bestFit="1" customWidth="1"/>
    <col min="13" max="13" width="22.7109375" style="22" bestFit="1" customWidth="1"/>
    <col min="14" max="14" width="18.140625" style="22" bestFit="1" customWidth="1"/>
    <col min="15" max="15" width="24.140625" style="22" bestFit="1" customWidth="1"/>
    <col min="16" max="16" width="24.5703125" style="22" bestFit="1" customWidth="1"/>
    <col min="17" max="17" width="24.140625" style="22" bestFit="1" customWidth="1"/>
    <col min="18" max="16384" width="9.85546875" style="22"/>
  </cols>
  <sheetData>
    <row r="1" spans="2:16">
      <c r="B1" s="731" t="s">
        <v>1257</v>
      </c>
      <c r="C1" s="731"/>
      <c r="D1" s="731"/>
      <c r="E1" s="731"/>
      <c r="F1" s="731"/>
      <c r="G1" s="731"/>
      <c r="H1" s="731"/>
      <c r="I1" s="731"/>
    </row>
    <row r="2" spans="2:16">
      <c r="B2" s="21" t="str">
        <f>CHOOSE(jezyk,n!A3,n!B3,n!C3,n!D3)</f>
        <v>Reguły wprowadzania:</v>
      </c>
      <c r="C2" s="446"/>
      <c r="F2" s="447" t="s">
        <v>6789</v>
      </c>
      <c r="G2" s="686">
        <v>45688</v>
      </c>
    </row>
    <row r="3" spans="2:16">
      <c r="L3" s="466"/>
    </row>
    <row r="4" spans="2:16">
      <c r="B4" s="21" t="str">
        <f>CHOOSE(jezyk,n!A4,n!B4,n!C4,n!D4)</f>
        <v>pola do wypełnienia</v>
      </c>
      <c r="C4" s="21"/>
      <c r="D4" s="17"/>
    </row>
    <row r="5" spans="2:16">
      <c r="B5" s="21" t="str">
        <f>CHOOSE(jezyk,n!A5,n!B5,n!C5,n!D5)</f>
        <v>dane przeniesione z innego arkusza</v>
      </c>
      <c r="C5" s="21"/>
      <c r="D5" s="18"/>
    </row>
    <row r="6" spans="2:16">
      <c r="B6" s="21" t="str">
        <f>CHOOSE(jezyk,n!A6,n!B6,n!C6,n!D6)</f>
        <v>pola kontrolne</v>
      </c>
      <c r="C6" s="21"/>
      <c r="D6" s="19"/>
    </row>
    <row r="7" spans="2:16">
      <c r="B7" s="21" t="str">
        <f>CHOOSE(jezyk,n!A7,n!B7,n!C7,n!D7)</f>
        <v>formuły</v>
      </c>
      <c r="C7" s="21"/>
      <c r="D7" s="20"/>
      <c r="L7" s="466"/>
    </row>
    <row r="8" spans="2:16" hidden="1">
      <c r="B8" s="21" t="s">
        <v>5837</v>
      </c>
      <c r="C8" s="21"/>
      <c r="D8" s="71"/>
    </row>
    <row r="9" spans="2:16">
      <c r="B9" s="21"/>
      <c r="C9" s="21"/>
      <c r="D9" s="21"/>
    </row>
    <row r="10" spans="2:16">
      <c r="B10" s="732" t="str">
        <f>CHOOSE(jezyk,n!A2,n!B2,n!C2,n!D2)</f>
        <v>UWAGA !!!  Dane z żółtych pól nie są tłumaczone automatycznie.</v>
      </c>
      <c r="C10" s="732"/>
      <c r="D10" s="732"/>
      <c r="E10" s="732"/>
      <c r="F10" s="732"/>
      <c r="G10" s="732"/>
      <c r="H10" s="732"/>
    </row>
    <row r="11" spans="2:16">
      <c r="C11" s="21"/>
      <c r="D11" s="22"/>
    </row>
    <row r="12" spans="2:16">
      <c r="B12" s="446" t="str">
        <f>CHOOSE(jezyk,n!A8,n!B8,n!C8,n!D8)</f>
        <v>Wprowadź odpowiednie dane:</v>
      </c>
      <c r="C12" s="21"/>
      <c r="D12" s="22"/>
    </row>
    <row r="14" spans="2:16">
      <c r="B14" s="22" t="s">
        <v>1480</v>
      </c>
      <c r="C14" s="21"/>
      <c r="D14" s="24">
        <v>1</v>
      </c>
      <c r="L14" s="716"/>
      <c r="M14" s="67"/>
      <c r="N14" s="67"/>
      <c r="O14" s="67"/>
      <c r="P14" s="67"/>
    </row>
    <row r="15" spans="2:16">
      <c r="B15" s="22" t="s">
        <v>2770</v>
      </c>
      <c r="C15" s="73"/>
      <c r="D15" s="64">
        <v>2024</v>
      </c>
      <c r="E15" s="625" t="str">
        <f>IF(LEN(ro)&gt;4,LEFT(ro,4)&amp;"_"&amp;RIGHT(ro,4),"")</f>
        <v/>
      </c>
      <c r="L15" s="243"/>
      <c r="M15" s="243"/>
      <c r="N15" s="243"/>
      <c r="O15" s="243"/>
      <c r="P15" s="243"/>
    </row>
    <row r="16" spans="2:16">
      <c r="B16" s="21" t="str">
        <f>CHOOSE(jezyk,n!A9,n!B9,n!C9,n!D9)</f>
        <v>nazwa Spółki</v>
      </c>
      <c r="C16" s="448"/>
      <c r="D16" s="17" t="s">
        <v>6924</v>
      </c>
      <c r="E16" s="17"/>
      <c r="F16" s="21"/>
      <c r="G16" s="21" t="s">
        <v>6336</v>
      </c>
      <c r="H16" s="73">
        <v>1</v>
      </c>
      <c r="L16" s="66"/>
      <c r="M16" s="66"/>
      <c r="N16" s="67"/>
      <c r="O16" s="66"/>
      <c r="P16" s="66"/>
    </row>
    <row r="17" spans="2:18">
      <c r="B17" s="21" t="str">
        <f>CHOOSE(jezyk,n!A10,n!B10,n!C10,n!D10)</f>
        <v>ulica i numer</v>
      </c>
      <c r="C17" s="448"/>
      <c r="D17" s="17" t="s">
        <v>6925</v>
      </c>
      <c r="E17" s="17"/>
      <c r="F17" s="21"/>
      <c r="G17" s="21" t="s">
        <v>6377</v>
      </c>
      <c r="H17" s="688">
        <v>7011174664</v>
      </c>
      <c r="L17" s="66"/>
      <c r="M17" s="66"/>
      <c r="N17" s="67"/>
      <c r="O17" s="66"/>
      <c r="P17" s="66"/>
    </row>
    <row r="18" spans="2:18">
      <c r="B18" s="21" t="str">
        <f>CHOOSE(jezyk,n!A11,n!B11,n!C11,n!D11)</f>
        <v>kod pocztowy</v>
      </c>
      <c r="C18" s="448"/>
      <c r="D18" s="17" t="s">
        <v>6926</v>
      </c>
      <c r="E18" s="17"/>
      <c r="F18" s="21"/>
      <c r="G18" s="21" t="s">
        <v>6378</v>
      </c>
      <c r="H18" s="687">
        <v>1069165</v>
      </c>
      <c r="L18" s="66"/>
      <c r="M18" s="66"/>
      <c r="N18" s="67"/>
      <c r="O18" s="66"/>
      <c r="P18" s="66"/>
    </row>
    <row r="19" spans="2:18">
      <c r="B19" s="21" t="str">
        <f>CHOOSE(jezyk,n!A12,n!B12,n!C12,n!D12)</f>
        <v>siedziba</v>
      </c>
      <c r="C19" s="448"/>
      <c r="D19" s="17" t="s">
        <v>6927</v>
      </c>
      <c r="E19" s="17"/>
      <c r="F19" s="21"/>
      <c r="G19" s="21"/>
      <c r="H19" s="33" t="s">
        <v>321</v>
      </c>
    </row>
    <row r="20" spans="2:18">
      <c r="B20" s="21"/>
      <c r="C20" s="448"/>
      <c r="D20" s="448"/>
      <c r="E20" s="448"/>
      <c r="F20" s="448"/>
      <c r="G20" s="448"/>
      <c r="H20" s="448"/>
      <c r="L20" s="66"/>
      <c r="M20" s="66"/>
      <c r="N20" s="67"/>
      <c r="O20" s="66"/>
      <c r="P20" s="66"/>
    </row>
    <row r="21" spans="2:18">
      <c r="B21" s="21" t="s">
        <v>5479</v>
      </c>
      <c r="C21" s="448"/>
      <c r="D21" s="448" t="str">
        <f>CHOOSE(jezyk,n!A27,n!B27,n!C27,n!D27)</f>
        <v>Sprawozdanie finansowe sporządzone za rok obrotowy 2024</v>
      </c>
      <c r="E21" s="448"/>
      <c r="F21" s="448"/>
      <c r="G21" s="448"/>
      <c r="H21" s="448"/>
      <c r="L21" s="66"/>
      <c r="M21" s="66"/>
      <c r="N21" s="67"/>
      <c r="O21" s="66"/>
      <c r="P21" s="66"/>
    </row>
    <row r="22" spans="2:18" ht="21" customHeight="1">
      <c r="B22" s="706" t="s">
        <v>6861</v>
      </c>
      <c r="C22" s="705" t="s">
        <v>6928</v>
      </c>
      <c r="D22" s="448" t="s">
        <v>6000</v>
      </c>
      <c r="E22" s="448" t="s">
        <v>6783</v>
      </c>
      <c r="F22" s="448" t="s">
        <v>6840</v>
      </c>
      <c r="G22" s="448"/>
      <c r="H22" s="448"/>
      <c r="L22" s="66"/>
      <c r="M22" s="66"/>
      <c r="N22" s="67"/>
      <c r="O22" s="66"/>
      <c r="P22" s="66"/>
    </row>
    <row r="23" spans="2:18">
      <c r="B23" s="21" t="str">
        <f>CHOOSE(jezyk,n!A13,n!B13,n!C13,n!D13)</f>
        <v>Dzień bilansowy</v>
      </c>
      <c r="C23" s="21"/>
      <c r="D23" s="25" t="str">
        <f>(IF(D26&lt;10,"0"&amp;D26,D26)&amp;"."&amp;(IF(D25&lt;10,"0"&amp;D25,D25)&amp;"."&amp;D24))</f>
        <v>31.12.2024</v>
      </c>
      <c r="E23" s="25" t="s">
        <v>764</v>
      </c>
    </row>
    <row r="24" spans="2:18">
      <c r="B24" s="21" t="str">
        <f>CHOOSE(jezyk,n!A14,n!B14,n!C14,n!D14)</f>
        <v>rok</v>
      </c>
      <c r="C24" s="21"/>
      <c r="D24" s="26">
        <v>2024</v>
      </c>
      <c r="L24" s="717"/>
      <c r="M24" s="66"/>
      <c r="N24" s="66"/>
      <c r="O24" s="67"/>
      <c r="P24" s="67"/>
      <c r="Q24" s="67"/>
      <c r="R24" s="67"/>
    </row>
    <row r="25" spans="2:18">
      <c r="B25" s="21" t="str">
        <f>CHOOSE(jezyk,n!A15,n!B15,n!C15,n!D15)</f>
        <v>miesiąc</v>
      </c>
      <c r="C25" s="21"/>
      <c r="D25" s="27">
        <v>12</v>
      </c>
      <c r="L25" s="243"/>
      <c r="M25" s="243"/>
      <c r="N25" s="243"/>
      <c r="O25" s="243"/>
      <c r="P25" s="243"/>
      <c r="Q25" s="243"/>
      <c r="R25" s="718"/>
    </row>
    <row r="26" spans="2:18">
      <c r="B26" s="21" t="str">
        <f>CHOOSE(jezyk,n!A16,n!B16,n!C16,n!D16)</f>
        <v>dzień</v>
      </c>
      <c r="C26" s="21"/>
      <c r="D26" s="26">
        <v>31</v>
      </c>
      <c r="L26" s="66"/>
      <c r="M26" s="66"/>
      <c r="N26" s="66"/>
      <c r="O26" s="66"/>
      <c r="P26" s="66"/>
      <c r="Q26" s="66"/>
      <c r="R26" s="67"/>
    </row>
    <row r="27" spans="2:18">
      <c r="B27" s="21"/>
      <c r="D27" s="22"/>
      <c r="L27" s="66"/>
      <c r="M27" s="66"/>
      <c r="N27" s="66"/>
      <c r="O27" s="66"/>
      <c r="P27" s="66"/>
      <c r="Q27" s="66"/>
      <c r="R27" s="67"/>
    </row>
    <row r="28" spans="2:18">
      <c r="B28" s="21" t="str">
        <f>CHOOSE(jezyk,n!A17,n!B17,n!C17,n!D17)</f>
        <v>Rok obrotowy rozpoczyna się:</v>
      </c>
      <c r="D28" s="25" t="str">
        <f>(IF(D31&lt;10,"0"&amp;D31,D31)&amp;"."&amp;(IF(D30&lt;10,"0"&amp;D30,D30)&amp;"."&amp;D29))</f>
        <v>19.10.2023</v>
      </c>
      <c r="L28" s="66"/>
      <c r="M28" s="66"/>
      <c r="N28" s="66"/>
      <c r="O28" s="66"/>
      <c r="P28" s="66"/>
      <c r="Q28" s="66"/>
      <c r="R28" s="67"/>
    </row>
    <row r="29" spans="2:18">
      <c r="B29" s="21" t="str">
        <f>CHOOSE(jezyk,n!A14,n!B14,n!C14,n!D14)</f>
        <v>rok</v>
      </c>
      <c r="D29" s="26">
        <v>2023</v>
      </c>
      <c r="L29" s="66"/>
      <c r="M29" s="66"/>
      <c r="N29" s="66"/>
      <c r="O29" s="66"/>
      <c r="P29" s="66"/>
      <c r="Q29" s="66"/>
      <c r="R29" s="67"/>
    </row>
    <row r="30" spans="2:18">
      <c r="B30" s="21" t="str">
        <f>CHOOSE(jezyk,n!A15,n!B15,n!C15,n!D15)</f>
        <v>miesiąc</v>
      </c>
      <c r="D30" s="27">
        <v>10</v>
      </c>
      <c r="L30" s="66"/>
      <c r="M30" s="106"/>
      <c r="N30" s="106"/>
      <c r="O30" s="66"/>
      <c r="P30" s="66"/>
      <c r="Q30" s="66"/>
      <c r="R30" s="67"/>
    </row>
    <row r="31" spans="2:18">
      <c r="B31" s="21" t="str">
        <f>CHOOSE(jezyk,n!A16,n!B16,n!C16,n!D16)</f>
        <v>dzień</v>
      </c>
      <c r="D31" s="26">
        <v>19</v>
      </c>
      <c r="L31" s="66"/>
      <c r="M31" s="66"/>
      <c r="N31" s="66"/>
      <c r="O31" s="66"/>
      <c r="P31" s="66"/>
      <c r="Q31" s="66"/>
      <c r="R31" s="67"/>
    </row>
    <row r="32" spans="2:18" hidden="1">
      <c r="B32" s="21"/>
      <c r="D32" s="28"/>
    </row>
    <row r="33" spans="2:16" hidden="1">
      <c r="B33" s="21" t="str">
        <f>CHOOSE(jezyk,n!A18,n!B18,n!C18,n!D18)</f>
        <v>Poprzedni dzień bilansowy</v>
      </c>
      <c r="D33" s="25" t="str">
        <f>(IF(D36&lt;10,"0"&amp;D36,D36)&amp;"."&amp;(IF(D35&lt;10,"0"&amp;D35,D35)&amp;"."&amp;D34))</f>
        <v>31.12.2023</v>
      </c>
      <c r="E33" s="25" t="str">
        <f>(IF(E36&lt;10,"0"&amp;E36,E36)&amp;"."&amp;(IF(E35&lt;10,"0"&amp;E35,E35)&amp;"."&amp;E34))</f>
        <v>19.10.2022</v>
      </c>
    </row>
    <row r="34" spans="2:16" hidden="1">
      <c r="B34" s="21" t="str">
        <f>CHOOSE(jezyk,n!A14,n!B14,n!C14,n!D14)</f>
        <v>rok</v>
      </c>
      <c r="D34" s="68">
        <f>D24-1</f>
        <v>2023</v>
      </c>
      <c r="E34" s="68">
        <f>IF(D29&lt;&gt;D24,D34-1,D34)</f>
        <v>2022</v>
      </c>
      <c r="G34" s="449"/>
    </row>
    <row r="35" spans="2:16" hidden="1">
      <c r="B35" s="21" t="str">
        <f>CHOOSE(jezyk,n!A15,n!B15,n!C15,n!D15)</f>
        <v>miesiąc</v>
      </c>
      <c r="D35" s="30">
        <f>D25</f>
        <v>12</v>
      </c>
      <c r="E35" s="32">
        <f>D30</f>
        <v>10</v>
      </c>
    </row>
    <row r="36" spans="2:16" hidden="1">
      <c r="B36" s="21" t="str">
        <f>CHOOSE(jezyk,n!A16,n!B16,n!C16,n!D16)</f>
        <v>dzień</v>
      </c>
      <c r="D36" s="29">
        <f>D26</f>
        <v>31</v>
      </c>
      <c r="E36" s="31">
        <f>D31</f>
        <v>19</v>
      </c>
    </row>
    <row r="37" spans="2:16" hidden="1">
      <c r="D37" s="22"/>
    </row>
    <row r="38" spans="2:16" hidden="1">
      <c r="B38" s="22" t="str">
        <f>CHOOSE(jezyk,n!A19,n!B19,n!C19,n!D19)</f>
        <v>Dzień bilansowy sprzed 2 lat</v>
      </c>
      <c r="D38" s="25" t="str">
        <f>(IF(D41&lt;10,"0"&amp;D41,D41)&amp;"."&amp;(IF(D40&lt;10,"0"&amp;D40,D40)&amp;"."&amp;D39))</f>
        <v>31.12.2022</v>
      </c>
      <c r="E38" s="25" t="str">
        <f>(IF(E41&lt;10,"0"&amp;E41,E41)&amp;"."&amp;(IF(E40&lt;10,"0"&amp;E40,E40)&amp;"."&amp;E39))</f>
        <v>19.10.2021</v>
      </c>
    </row>
    <row r="39" spans="2:16" hidden="1">
      <c r="B39" s="21" t="str">
        <f>CHOOSE(jezyk,n!A14,n!B14,n!C14,n!D14)</f>
        <v>rok</v>
      </c>
      <c r="D39" s="68">
        <f>D34-1</f>
        <v>2022</v>
      </c>
      <c r="E39" s="68">
        <f>IF(D29&lt;&gt;D24,D39-1,D39)</f>
        <v>2021</v>
      </c>
    </row>
    <row r="40" spans="2:16" hidden="1">
      <c r="B40" s="21" t="str">
        <f>CHOOSE(jezyk,n!A15,n!B15,n!C15,n!D15)</f>
        <v>miesiąc</v>
      </c>
      <c r="D40" s="32">
        <f>D35</f>
        <v>12</v>
      </c>
      <c r="E40" s="32">
        <f>E35</f>
        <v>10</v>
      </c>
    </row>
    <row r="41" spans="2:16" hidden="1">
      <c r="B41" s="21" t="str">
        <f>CHOOSE(jezyk,n!A16,n!B16,n!C16,n!D16)</f>
        <v>dzień</v>
      </c>
      <c r="D41" s="31">
        <f>D36</f>
        <v>31</v>
      </c>
      <c r="E41" s="31">
        <f>E36</f>
        <v>19</v>
      </c>
    </row>
    <row r="42" spans="2:16">
      <c r="D42" s="22"/>
    </row>
    <row r="43" spans="2:16">
      <c r="B43" s="22" t="str">
        <f>CHOOSE(jezyk,n!A20,n!B20,n!C20,n!D20)</f>
        <v>Spółka sporządza rachunek zysków i strat w wersji</v>
      </c>
      <c r="D43" s="22"/>
      <c r="H43" s="450"/>
      <c r="I43" s="450"/>
    </row>
    <row r="44" spans="2:16" ht="13.5" thickBot="1">
      <c r="B44" s="22" t="str">
        <f>IF(wrach=1,CHOOSE(jezyk,n!A21,n!B21,n!C21,n!D21),CHOOSE(jezyk,n!A22,n!B22,n!C22,n!D22))</f>
        <v>porównawczej</v>
      </c>
      <c r="D44" s="33">
        <v>1</v>
      </c>
      <c r="H44" s="450"/>
      <c r="I44" s="450"/>
    </row>
    <row r="45" spans="2:16">
      <c r="D45" s="22"/>
      <c r="L45" s="451" t="s">
        <v>6480</v>
      </c>
      <c r="M45" s="452"/>
      <c r="N45" s="453" t="s">
        <v>6447</v>
      </c>
      <c r="O45" s="453" t="s">
        <v>6446</v>
      </c>
      <c r="P45" s="454" t="s">
        <v>6481</v>
      </c>
    </row>
    <row r="46" spans="2:16" ht="38.25">
      <c r="B46" s="22" t="str">
        <f>CHOOSE(jezyk,n!A23,n!B23,n!C23,n!D23)</f>
        <v>Spółka sporządza CF w wersji</v>
      </c>
      <c r="D46" s="22"/>
      <c r="L46" s="455">
        <v>2023</v>
      </c>
      <c r="M46" s="456" t="s">
        <v>6482</v>
      </c>
      <c r="N46" s="457" t="str">
        <f>"Dz. U. z "&amp;L46&amp;" r., poz. "&amp;L47&amp;IF(L48="TAK"," z późn. zm.","")</f>
        <v>Dz. U. z 2023 r., poz. 120 z późn. zm.</v>
      </c>
      <c r="O46" s="458" t="str">
        <f>"Dz. U. Jahrgang "&amp;L46&amp;", Pos. "&amp;L47&amp;IF(L48="TAK"," m.Ä.","")</f>
        <v>Dz. U. Jahrgang 2023, Pos. 120 m.Ä.</v>
      </c>
      <c r="P46" s="459" t="str">
        <f>"Journal of Laws of "&amp;L46&amp;", item "&amp;L47&amp;IF(L48="TAK",", as amended","")</f>
        <v>Journal of Laws of 2023, item 120, as amended</v>
      </c>
    </row>
    <row r="47" spans="2:16" ht="16.149999999999999" customHeight="1">
      <c r="B47" s="22" t="str">
        <f>IF(wCF=0,CHOOSE(jezyk,n!A24,n!B24,n!C24,n!D24),IF(wCF=1,CHOOSE(jezyk,n!A25,n!B25,n!C25,n!D25),CHOOSE(jezyk,n!A26,n!B26,n!C26,n!D26)))</f>
        <v>nie sporządza</v>
      </c>
      <c r="D47" s="33">
        <v>0</v>
      </c>
      <c r="L47" s="455">
        <v>120</v>
      </c>
      <c r="M47" s="456" t="s">
        <v>6483</v>
      </c>
      <c r="N47" s="457" t="str">
        <f>"Dz. U. Z "&amp;L46&amp;" r., POZ. "&amp;L47&amp;IF(L48="TAK"," z późn. zm.","")</f>
        <v>Dz. U. Z 2023 r., POZ. 120 z późn. zm.</v>
      </c>
      <c r="O47" s="458" t="str">
        <f>"DZ. U. JAHRGANG "&amp;L46&amp;", POS. "&amp;L47&amp;IF(L48="TAK"," M.Ä.","")</f>
        <v>DZ. U. JAHRGANG 2023, POS. 120 M.Ä.</v>
      </c>
      <c r="P47" s="459" t="str">
        <f>"JOURNAL OF LAWS OF "&amp;L46&amp;", ITEM "&amp;L47&amp;IF(L48="TAK",", AS AMENDED","")</f>
        <v>JOURNAL OF LAWS OF 2023, ITEM 120, AS AMENDED</v>
      </c>
    </row>
    <row r="48" spans="2:16" ht="13.5" thickBot="1">
      <c r="D48" s="22"/>
      <c r="L48" s="460" t="s">
        <v>6591</v>
      </c>
      <c r="M48" s="283" t="s">
        <v>6484</v>
      </c>
      <c r="N48" s="280"/>
      <c r="O48" s="281"/>
      <c r="P48" s="282"/>
    </row>
    <row r="49" spans="2:17">
      <c r="B49" s="22" t="s">
        <v>5944</v>
      </c>
      <c r="D49" s="74">
        <f>IF(wCF=0,0,1)</f>
        <v>0</v>
      </c>
    </row>
    <row r="50" spans="2:17" ht="13.5" thickBot="1">
      <c r="D50" s="22"/>
    </row>
    <row r="51" spans="2:17">
      <c r="B51" s="22" t="s">
        <v>6112</v>
      </c>
      <c r="D51" s="73" t="s">
        <v>4649</v>
      </c>
      <c r="L51" s="679" t="s">
        <v>6781</v>
      </c>
      <c r="M51" s="680" t="str">
        <f>dzb</f>
        <v>31.12.2024</v>
      </c>
      <c r="N51" s="681" t="str">
        <f>pdz</f>
        <v>31.12.2023</v>
      </c>
      <c r="O51" s="22" t="s">
        <v>6867</v>
      </c>
    </row>
    <row r="52" spans="2:17">
      <c r="D52" s="22"/>
      <c r="L52" s="455" t="s">
        <v>6000</v>
      </c>
      <c r="M52" s="456">
        <f>VLOOKUP(MONTH(M$51)&amp;"."&amp;YEAR(M$51),kurs_nbp!$A:$F,4,0)</f>
        <v>4.2729999999999997</v>
      </c>
      <c r="N52" s="456">
        <f>VLOOKUP(MONTH(N$51)&amp;"."&amp;YEAR(N$51),kurs_nbp!$A:$F,4,0)</f>
        <v>4.3479999999999999</v>
      </c>
      <c r="O52" s="22" t="s">
        <v>6862</v>
      </c>
      <c r="P52" s="22" t="s">
        <v>6866</v>
      </c>
    </row>
    <row r="53" spans="2:17">
      <c r="B53" s="22" t="str">
        <f>CHOOSE(jezyk,n!A28,n!B28,n!C28,n!D28)</f>
        <v>Data sporządzenia sprawozdania finansowego</v>
      </c>
      <c r="D53" s="25" t="str">
        <f>(IF(D56&lt;10,"0"&amp;D56,D56)&amp;"."&amp;(IF(D55&lt;10,"0"&amp;D55,D55)&amp;"."&amp;D54))</f>
        <v>28.02.2025</v>
      </c>
      <c r="L53" s="455" t="s">
        <v>6783</v>
      </c>
      <c r="M53" s="456">
        <f>VLOOKUP(MONTH(M$51)&amp;"."&amp;YEAR(M$51),kurs_nbp!$A:$F,5,0)</f>
        <v>4.1012000000000004</v>
      </c>
      <c r="N53" s="456">
        <f>VLOOKUP(MONTH(N$51)&amp;"."&amp;YEAR(N$51),kurs_nbp!$A:$F,5,0)</f>
        <v>3.9350000000000001</v>
      </c>
      <c r="O53" s="22" t="s">
        <v>6863</v>
      </c>
      <c r="P53" s="22" t="s">
        <v>6865</v>
      </c>
      <c r="Q53" s="22" t="s">
        <v>6873</v>
      </c>
    </row>
    <row r="54" spans="2:17">
      <c r="B54" s="21" t="str">
        <f>CHOOSE(jezyk,n!A14,n!B14,n!C14,n!D14)</f>
        <v>rok</v>
      </c>
      <c r="D54" s="26">
        <v>2025</v>
      </c>
      <c r="L54" s="455" t="s">
        <v>6840</v>
      </c>
      <c r="M54" s="456">
        <f>VLOOKUP(MONTH(M$51)&amp;"."&amp;YEAR(M$51),kurs_nbp!$A:$F,6,0)</f>
        <v>5.1487999999999996</v>
      </c>
      <c r="N54" s="456">
        <f>VLOOKUP(MONTH(N$51)&amp;"."&amp;YEAR(N$51),kurs_nbp!$A:$F,6,0)</f>
        <v>4.9996999999999998</v>
      </c>
      <c r="O54" s="22" t="s">
        <v>6864</v>
      </c>
      <c r="P54" s="22" t="s">
        <v>6871</v>
      </c>
      <c r="Q54" s="22" t="s">
        <v>6872</v>
      </c>
    </row>
    <row r="55" spans="2:17">
      <c r="B55" s="21" t="str">
        <f>CHOOSE(jezyk,n!A15,n!B15,n!C15,n!D15)</f>
        <v>miesiąc</v>
      </c>
      <c r="D55" s="27">
        <v>2</v>
      </c>
      <c r="L55" s="455" t="s">
        <v>6782</v>
      </c>
      <c r="M55" s="456" t="str">
        <f>VLOOKUP(MONTH(M$51)&amp;"."&amp;YEAR(M$51),kurs_nbp!$A:$F,2,0)</f>
        <v>252/A/NBP/2024</v>
      </c>
      <c r="N55" s="456" t="str">
        <f>VLOOKUP(MONTH(N$51)&amp;"."&amp;YEAR(N$51),kurs_nbp!$A:$F,2,0)</f>
        <v>251/A/NBP/2023</v>
      </c>
    </row>
    <row r="56" spans="2:17" ht="12" customHeight="1" thickBot="1">
      <c r="B56" s="21" t="str">
        <f>CHOOSE(jezyk,n!A16,n!B16,n!C16,n!D16)</f>
        <v>dzień</v>
      </c>
      <c r="D56" s="461">
        <v>28</v>
      </c>
      <c r="L56" s="682" t="s">
        <v>6592</v>
      </c>
      <c r="M56" s="703">
        <f>VLOOKUP(MONTH(M$51)&amp;"."&amp;YEAR(M$51),kurs_nbp!$A:$F,3,0)</f>
        <v>45657</v>
      </c>
      <c r="N56" s="703">
        <f>VLOOKUP(MONTH(N$51)&amp;"."&amp;YEAR(N$51),kurs_nbp!$A:$F,3,0)</f>
        <v>45289</v>
      </c>
    </row>
    <row r="57" spans="2:17" hidden="1">
      <c r="B57" s="22" t="s">
        <v>2670</v>
      </c>
      <c r="D57" s="462" t="s">
        <v>6379</v>
      </c>
      <c r="J57" s="463" t="s">
        <v>6425</v>
      </c>
      <c r="M57" s="449"/>
    </row>
    <row r="59" spans="2:17">
      <c r="B59" s="464" t="s">
        <v>5962</v>
      </c>
    </row>
    <row r="61" spans="2:17">
      <c r="B61" s="22" t="s">
        <v>5590</v>
      </c>
      <c r="D61" s="73" t="s">
        <v>5960</v>
      </c>
    </row>
    <row r="62" spans="2:17">
      <c r="B62" s="22" t="s">
        <v>5591</v>
      </c>
      <c r="D62" s="73" t="s">
        <v>6591</v>
      </c>
    </row>
    <row r="63" spans="2:17">
      <c r="B63" s="22" t="s">
        <v>5961</v>
      </c>
      <c r="D63" s="73" t="s">
        <v>5960</v>
      </c>
    </row>
    <row r="64" spans="2:17">
      <c r="B64" s="464" t="str">
        <f>IF(AND(D61="TAK",D62="NIE",D63="TAK"),"WYPEŁNIJ NOTĘ NR 12. W TAKIM PRZYPADKU NIE JEST KONIECZNE SPORZĄDZANIE SZD","SPÓŁKA POWINNA SPORZĄDZIĆ SPRAWOZDANIE Z DZIAŁALNOŚCI")</f>
        <v>SPÓŁKA POWINNA SPORZĄDZIĆ SPRAWOZDANIE Z DZIAŁALNOŚCI</v>
      </c>
    </row>
    <row r="65" spans="1:8">
      <c r="B65" s="723"/>
      <c r="C65" s="700"/>
      <c r="D65" s="724"/>
      <c r="E65" s="700"/>
      <c r="F65" s="700"/>
      <c r="G65" s="700"/>
      <c r="H65" s="700"/>
    </row>
    <row r="66" spans="1:8">
      <c r="B66" s="464" t="s">
        <v>6902</v>
      </c>
    </row>
    <row r="67" spans="1:8">
      <c r="A67" s="22" t="s">
        <v>6904</v>
      </c>
      <c r="B67" s="22" t="s">
        <v>6901</v>
      </c>
      <c r="C67" s="721"/>
      <c r="D67" s="721"/>
      <c r="E67" s="722"/>
      <c r="F67" s="274" t="s">
        <v>4649</v>
      </c>
    </row>
    <row r="68" spans="1:8">
      <c r="A68" s="22" t="s">
        <v>6905</v>
      </c>
      <c r="B68" s="164" t="s">
        <v>6903</v>
      </c>
      <c r="D68" s="22"/>
      <c r="F68" s="274" t="s">
        <v>4648</v>
      </c>
    </row>
    <row r="69" spans="1:8">
      <c r="A69" s="22" t="s">
        <v>6907</v>
      </c>
      <c r="B69" s="164" t="s">
        <v>6906</v>
      </c>
      <c r="C69" s="725"/>
      <c r="D69" s="726"/>
      <c r="E69" s="722"/>
      <c r="F69" s="274" t="s">
        <v>4649</v>
      </c>
    </row>
    <row r="70" spans="1:8">
      <c r="A70" s="22" t="s">
        <v>6909</v>
      </c>
      <c r="B70" s="164" t="s">
        <v>6908</v>
      </c>
      <c r="C70" s="725"/>
      <c r="D70" s="726"/>
      <c r="E70" s="722"/>
      <c r="F70" s="274" t="s">
        <v>4649</v>
      </c>
    </row>
    <row r="73" spans="1:8">
      <c r="F73" s="727" t="s">
        <v>4649</v>
      </c>
    </row>
    <row r="74" spans="1:8">
      <c r="F74" s="727" t="s">
        <v>4649</v>
      </c>
    </row>
  </sheetData>
  <autoFilter ref="G16" xr:uid="{00000000-0009-0000-0000-000009000000}"/>
  <mergeCells count="2">
    <mergeCell ref="B1:I1"/>
    <mergeCell ref="B10:H10"/>
  </mergeCells>
  <phoneticPr fontId="12" type="noConversion"/>
  <dataValidations xWindow="728" yWindow="623" count="21">
    <dataValidation type="list" allowBlank="1" showInputMessage="1" showErrorMessage="1" error="wpisz liczbę z zakresu 1-12" promptTitle="Miesiąc" prompt="Podaj wartość między 1, a 12 (włącznie)" sqref="D25 D30 D35:E35 D55 E40" xr:uid="{00000000-0002-0000-0900-000000000000}">
      <formula1>"1,2,3,4,5,6,7,8,9,10,11,12"</formula1>
    </dataValidation>
    <dataValidation type="list" allowBlank="1" showInputMessage="1" showErrorMessage="1" errorTitle="Nieprawidłowa wartość." error="Wybierz:_x000a_1 - język polski_x000a_2 - Deutsch_x000a_3 - english_x000a_4 - pozycja wolna (nieaktywne)" promptTitle="Wybierz język" prompt="1 - język polski_x000a_2 - Deutsch_x000a_3 - english_x000a_4 - pozycja wolna (nieaktywna)_x000a_" sqref="D14" xr:uid="{00000000-0002-0000-0900-000001000000}">
      <formula1>"1,2,3,4"</formula1>
    </dataValidation>
    <dataValidation type="list" allowBlank="1" showInputMessage="1" showErrorMessage="1" promptTitle="Dzień bilansowy" prompt="Podaj wartość między 28, a 31 (włącznie)" sqref="D26" xr:uid="{00000000-0002-0000-0900-000002000000}">
      <formula1>"28,29,30,31"</formula1>
    </dataValidation>
    <dataValidation type="decimal" allowBlank="1" showInputMessage="1" showErrorMessage="1" promptTitle="Dzień bilansowy" prompt="Podaj wartość między 1, a 31 (włącznie)" sqref="D36 D41" xr:uid="{00000000-0002-0000-0900-000003000000}">
      <formula1>1</formula1>
      <formula2>31</formula2>
    </dataValidation>
    <dataValidation type="list" allowBlank="1" showInputMessage="1" showErrorMessage="1" error="Wprowadź:_x000a_1 - dla wersji porównawczej rachunku zysków i strat,_x000a_2 - dla wersji kalkulacyjnej rachunku zysków i strat" prompt="1 - porównawczej, Gesamtkostenverfahren, nature_x000a_2 - kalkulacyjnej, Umsatzkostenverfahren, function" sqref="D44" xr:uid="{00000000-0002-0000-0900-000004000000}">
      <formula1>"1,2"</formula1>
    </dataValidation>
    <dataValidation type="list" operator="equal" allowBlank="1" showInputMessage="1" showErrorMessage="1" prompt="siedzibą: jest (np. Warszawa); są (np. Tychy)" sqref="H19" xr:uid="{00000000-0002-0000-0900-000005000000}">
      <formula1>"jest,są"</formula1>
    </dataValidation>
    <dataValidation type="list" allowBlank="1" showInputMessage="1" showErrorMessage="1" prompt="0- nie dotyczy; betrifft nicht; not applicable_x000a_1- bezpośredniej, direkte, direct_x000a_2- pośredniej, indirekte, indirect " sqref="D47" xr:uid="{00000000-0002-0000-0900-000006000000}">
      <formula1>"0,1,2"</formula1>
    </dataValidation>
    <dataValidation type="list" allowBlank="1" showInputMessage="1" showErrorMessage="1" promptTitle="Miesiąc" prompt="Podaj wartość między 1, a 12 (włącznie)" sqref="D40" xr:uid="{00000000-0002-0000-0900-000007000000}">
      <formula1>"1,2,3,4,5,6,7,8,9,10,11,12"</formula1>
    </dataValidation>
    <dataValidation type="decimal" allowBlank="1" showInputMessage="1" showErrorMessage="1" promptTitle="Dzień bilansowy" prompt="Podaj wartość między 28, a 31 (włącznie)" sqref="D31 E36 E41" xr:uid="{00000000-0002-0000-0900-000008000000}">
      <formula1>1</formula1>
      <formula2>31</formula2>
    </dataValidation>
    <dataValidation type="list" allowBlank="1" showInputMessage="1" showErrorMessage="1" promptTitle="Rok badany" prompt="Podaj wartość między 1997, a rokiem bieżącym (włącznie)" sqref="D24 D29 D39:E39 D34:E34" xr:uid="{00000000-0002-0000-0900-000009000000}">
      <formula1>"2016,2017,2018,2019,2020,2021,2022,2023,2024,2025,2026"</formula1>
    </dataValidation>
    <dataValidation type="list" allowBlank="1" showInputMessage="1" showErrorMessage="1" sqref="D61:D63 L48" xr:uid="{00000000-0002-0000-0900-00000E000000}">
      <formula1>"TAK,NIE"</formula1>
    </dataValidation>
    <dataValidation type="list" allowBlank="1" showInputMessage="1" showErrorMessage="1" prompt="0- nie sporządza_x000a_1- sporządza" sqref="D49" xr:uid="{00000000-0002-0000-0900-000010000000}">
      <formula1>"0,1"</formula1>
    </dataValidation>
    <dataValidation type="list" allowBlank="1" showInputMessage="1" showErrorMessage="1" promptTitle="Rok badany" prompt="Podaj wartość między 1997, a rokiem bieżącym (włącznie)" sqref="D54" xr:uid="{00000000-0002-0000-0900-000011000000}">
      <formula1>"2018,2019,2020,2021,2022,2023,2024,2025,2026,2027"</formula1>
    </dataValidation>
    <dataValidation type="list" allowBlank="1" showInputMessage="1" showErrorMessage="1" prompt="W przypadku uzupełnienia tak zostanie dodana 3-cia kolumna do Bilansu po korektach i RZISPor po korektach oraz uzupełnią się odpowiednio dane do schemy JPK." sqref="D51" xr:uid="{00000000-0002-0000-0900-000015000000}">
      <formula1>"tak,nie"</formula1>
    </dataValidation>
    <dataValidation type="list" allowBlank="1" showInputMessage="1" showErrorMessage="1" prompt="1- Sp. z o.o._x000a_2 - SA_x000a_3 - inne" sqref="H16" xr:uid="{00000000-0002-0000-0900-00001D000000}">
      <formula1>"1,2,3"</formula1>
    </dataValidation>
    <dataValidation type="textLength" allowBlank="1" showInputMessage="1" showErrorMessage="1" error="Podany numer NIP ma nieprawidłową ilość cyfr." sqref="H17" xr:uid="{4779B9F0-170C-4663-AB2C-BDC9FC678051}">
      <formula1>10</formula1>
      <formula2>10</formula2>
    </dataValidation>
    <dataValidation type="textLength" allowBlank="1" showInputMessage="1" showErrorMessage="1" errorTitle="Niepoprawny numer KRS" error="Wpisany numer KRS jest za długi!" sqref="H18" xr:uid="{58CB41E4-A09D-4B03-86A0-A666E3243842}">
      <formula1>1</formula1>
      <formula2>10</formula2>
    </dataValidation>
    <dataValidation type="textLength" allowBlank="1" showInputMessage="1" showErrorMessage="1" errorTitle="Błędny rok obrotowy" error="Rok obrotowy może być wprowadzony tylko w takiej postaci 2023 lub 2022/2023" sqref="D15" xr:uid="{2467879B-8A4B-40A9-B77E-12DF1A3B081C}">
      <formula1>4</formula1>
      <formula2>9</formula2>
    </dataValidation>
    <dataValidation type="list" allowBlank="1" showInputMessage="1" showErrorMessage="1" sqref="C22" xr:uid="{4E063C90-4780-44A7-996D-99CE332ED783}">
      <formula1>"jedna,dwie,trzy"</formula1>
    </dataValidation>
    <dataValidation type="list" allowBlank="1" showInputMessage="1" showErrorMessage="1" sqref="D22:F22" xr:uid="{B0B1640F-09BD-44C5-9490-9C957097D369}">
      <formula1>"Wskaż,EUR,USD,GBP"</formula1>
    </dataValidation>
    <dataValidation type="list" allowBlank="1" showInputMessage="1" showErrorMessage="1" sqref="F67:F70" xr:uid="{3E03C275-FC47-4AD2-A86C-10F5D5EC56B9}">
      <formula1>"tak,nie"</formula1>
    </dataValidation>
  </dataValidations>
  <hyperlinks>
    <hyperlink ref="B1:I1" location="'spis treści'!A1" display="SPIS TREŚCI" xr:uid="{00000000-0004-0000-0900-000000000000}"/>
  </hyperlinks>
  <printOptions horizontalCentered="1" verticalCentered="1"/>
  <pageMargins left="0.78740157480314965" right="0.78740157480314965" top="0.98425196850393704" bottom="0.98425196850393704" header="0.51181102362204722" footer="0.51181102362204722"/>
  <pageSetup paperSize="9" scale="64" orientation="portrait" horizontalDpi="360" verticalDpi="360" r:id="rId1"/>
  <headerFooter>
    <oddHeader>&amp;C wprowadzenie&amp;R&amp;"GoldenOldStyle,Regular"&amp;24Rödl &amp;&amp; Partner</oddHeader>
    <oddFooter>&amp;R&amp;F
&amp;D</oddFooter>
  </headerFooter>
  <ignoredErrors>
    <ignoredError sqref="D28 D23 D53"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47"/>
  <dimension ref="A1:D656"/>
  <sheetViews>
    <sheetView topLeftCell="A630" workbookViewId="0"/>
  </sheetViews>
  <sheetFormatPr defaultColWidth="8.85546875" defaultRowHeight="12.75"/>
  <cols>
    <col min="1" max="1" width="8.85546875" style="67"/>
    <col min="2" max="3" width="118.28515625" style="67" customWidth="1"/>
    <col min="4" max="4" width="144" style="67" bestFit="1" customWidth="1"/>
    <col min="5" max="16384" width="8.85546875" style="67"/>
  </cols>
  <sheetData>
    <row r="1" spans="1:4" ht="15">
      <c r="A1" s="316" t="s">
        <v>3075</v>
      </c>
      <c r="B1" s="316" t="s">
        <v>2970</v>
      </c>
      <c r="C1" s="316" t="s">
        <v>1626</v>
      </c>
    </row>
    <row r="2" spans="1:4" ht="15">
      <c r="A2" s="316" t="s">
        <v>3731</v>
      </c>
      <c r="B2" s="316" t="s">
        <v>3076</v>
      </c>
      <c r="C2" s="316" t="s">
        <v>4658</v>
      </c>
      <c r="D2" s="467" t="s">
        <v>3076</v>
      </c>
    </row>
    <row r="3" spans="1:4" ht="15">
      <c r="A3" s="316" t="s">
        <v>3732</v>
      </c>
      <c r="B3" s="316" t="s">
        <v>3077</v>
      </c>
      <c r="C3" s="316" t="s">
        <v>4659</v>
      </c>
      <c r="D3" s="67" t="s">
        <v>5182</v>
      </c>
    </row>
    <row r="4" spans="1:4" ht="15">
      <c r="A4" s="316" t="s">
        <v>3733</v>
      </c>
      <c r="B4" s="316" t="s">
        <v>3078</v>
      </c>
      <c r="C4" s="316" t="s">
        <v>4660</v>
      </c>
      <c r="D4" s="67" t="s">
        <v>5183</v>
      </c>
    </row>
    <row r="5" spans="1:4" ht="15">
      <c r="A5" s="316" t="s">
        <v>3734</v>
      </c>
      <c r="B5" s="316" t="s">
        <v>3079</v>
      </c>
      <c r="C5" s="316" t="s">
        <v>4661</v>
      </c>
      <c r="D5" s="67" t="s">
        <v>5184</v>
      </c>
    </row>
    <row r="6" spans="1:4" ht="15">
      <c r="A6" s="316" t="s">
        <v>3735</v>
      </c>
      <c r="B6" s="316" t="s">
        <v>3080</v>
      </c>
      <c r="C6" s="316" t="s">
        <v>4662</v>
      </c>
      <c r="D6" s="67" t="s">
        <v>5185</v>
      </c>
    </row>
    <row r="7" spans="1:4" ht="15">
      <c r="A7" s="316" t="s">
        <v>3736</v>
      </c>
      <c r="B7" s="316" t="s">
        <v>3081</v>
      </c>
      <c r="C7" s="316" t="s">
        <v>4663</v>
      </c>
      <c r="D7" s="467" t="s">
        <v>3081</v>
      </c>
    </row>
    <row r="8" spans="1:4" ht="15">
      <c r="A8" s="316" t="s">
        <v>3737</v>
      </c>
      <c r="B8" s="316" t="s">
        <v>3082</v>
      </c>
      <c r="C8" s="316" t="s">
        <v>4664</v>
      </c>
      <c r="D8" s="467" t="s">
        <v>3082</v>
      </c>
    </row>
    <row r="9" spans="1:4" ht="15">
      <c r="A9" s="316" t="s">
        <v>3738</v>
      </c>
      <c r="B9" s="316" t="s">
        <v>3083</v>
      </c>
      <c r="C9" s="316" t="s">
        <v>4665</v>
      </c>
      <c r="D9" s="67" t="s">
        <v>5186</v>
      </c>
    </row>
    <row r="10" spans="1:4" ht="15">
      <c r="A10" s="316" t="s">
        <v>3739</v>
      </c>
      <c r="B10" s="316" t="s">
        <v>3084</v>
      </c>
      <c r="C10" s="316" t="s">
        <v>4666</v>
      </c>
      <c r="D10" s="467" t="s">
        <v>3084</v>
      </c>
    </row>
    <row r="11" spans="1:4" ht="15">
      <c r="A11" s="316" t="s">
        <v>3740</v>
      </c>
      <c r="B11" s="316" t="s">
        <v>3085</v>
      </c>
      <c r="C11" s="316" t="s">
        <v>4667</v>
      </c>
      <c r="D11" s="467" t="s">
        <v>3085</v>
      </c>
    </row>
    <row r="12" spans="1:4" ht="15">
      <c r="A12" s="316" t="s">
        <v>3741</v>
      </c>
      <c r="B12" s="316" t="s">
        <v>3086</v>
      </c>
      <c r="C12" s="316" t="s">
        <v>4668</v>
      </c>
      <c r="D12" s="467" t="s">
        <v>3086</v>
      </c>
    </row>
    <row r="13" spans="1:4" ht="15">
      <c r="A13" s="316" t="s">
        <v>3742</v>
      </c>
      <c r="B13" s="316" t="s">
        <v>3087</v>
      </c>
      <c r="C13" s="316" t="s">
        <v>4669</v>
      </c>
      <c r="D13" s="467" t="s">
        <v>3087</v>
      </c>
    </row>
    <row r="14" spans="1:4" ht="15">
      <c r="A14" s="316" t="s">
        <v>3743</v>
      </c>
      <c r="B14" s="316" t="s">
        <v>3088</v>
      </c>
      <c r="C14" s="316" t="s">
        <v>4670</v>
      </c>
      <c r="D14" s="467" t="s">
        <v>3088</v>
      </c>
    </row>
    <row r="15" spans="1:4" ht="15">
      <c r="A15" s="316" t="s">
        <v>3744</v>
      </c>
      <c r="B15" s="316" t="s">
        <v>3089</v>
      </c>
      <c r="C15" s="316" t="s">
        <v>4671</v>
      </c>
      <c r="D15" s="467" t="s">
        <v>3089</v>
      </c>
    </row>
    <row r="16" spans="1:4" ht="15">
      <c r="A16" s="316" t="s">
        <v>3745</v>
      </c>
      <c r="B16" s="316" t="s">
        <v>3090</v>
      </c>
      <c r="C16" s="316" t="s">
        <v>4672</v>
      </c>
      <c r="D16" s="467" t="s">
        <v>3090</v>
      </c>
    </row>
    <row r="17" spans="1:4" ht="15">
      <c r="A17" s="316" t="s">
        <v>3746</v>
      </c>
      <c r="B17" s="316" t="s">
        <v>3091</v>
      </c>
      <c r="C17" s="316" t="s">
        <v>4673</v>
      </c>
      <c r="D17" s="467" t="s">
        <v>3091</v>
      </c>
    </row>
    <row r="18" spans="1:4" ht="15">
      <c r="A18" s="316" t="s">
        <v>3747</v>
      </c>
      <c r="B18" s="316" t="s">
        <v>3092</v>
      </c>
      <c r="C18" s="316" t="s">
        <v>4674</v>
      </c>
      <c r="D18" s="467" t="s">
        <v>3092</v>
      </c>
    </row>
    <row r="19" spans="1:4" ht="15">
      <c r="A19" s="316" t="s">
        <v>3748</v>
      </c>
      <c r="B19" s="316" t="s">
        <v>3093</v>
      </c>
      <c r="C19" s="316" t="s">
        <v>4675</v>
      </c>
      <c r="D19" s="467" t="s">
        <v>3093</v>
      </c>
    </row>
    <row r="20" spans="1:4" ht="15">
      <c r="A20" s="316" t="s">
        <v>3749</v>
      </c>
      <c r="B20" s="316" t="s">
        <v>3094</v>
      </c>
      <c r="C20" s="316" t="s">
        <v>4676</v>
      </c>
      <c r="D20" s="467" t="s">
        <v>3094</v>
      </c>
    </row>
    <row r="21" spans="1:4" ht="15">
      <c r="A21" s="316" t="s">
        <v>3750</v>
      </c>
      <c r="B21" s="316" t="s">
        <v>3095</v>
      </c>
      <c r="C21" s="316" t="s">
        <v>4677</v>
      </c>
      <c r="D21" s="467" t="s">
        <v>3095</v>
      </c>
    </row>
    <row r="22" spans="1:4" ht="15">
      <c r="A22" s="316" t="s">
        <v>3751</v>
      </c>
      <c r="B22" s="316" t="s">
        <v>3096</v>
      </c>
      <c r="C22" s="316" t="s">
        <v>4678</v>
      </c>
      <c r="D22" s="467" t="s">
        <v>3096</v>
      </c>
    </row>
    <row r="23" spans="1:4" ht="15">
      <c r="A23" s="316" t="s">
        <v>3752</v>
      </c>
      <c r="B23" s="316" t="s">
        <v>3097</v>
      </c>
      <c r="C23" s="316" t="s">
        <v>4679</v>
      </c>
      <c r="D23" s="467" t="s">
        <v>3097</v>
      </c>
    </row>
    <row r="24" spans="1:4" ht="15">
      <c r="A24" s="316" t="s">
        <v>3753</v>
      </c>
      <c r="B24" s="316" t="s">
        <v>3098</v>
      </c>
      <c r="C24" s="316" t="s">
        <v>4680</v>
      </c>
      <c r="D24" s="467" t="s">
        <v>3098</v>
      </c>
    </row>
    <row r="25" spans="1:4" ht="15">
      <c r="A25" s="316" t="s">
        <v>3754</v>
      </c>
      <c r="B25" s="316" t="s">
        <v>3099</v>
      </c>
      <c r="C25" s="316" t="s">
        <v>4681</v>
      </c>
      <c r="D25" s="467" t="s">
        <v>3099</v>
      </c>
    </row>
    <row r="26" spans="1:4" ht="15">
      <c r="A26" s="316" t="s">
        <v>3755</v>
      </c>
      <c r="B26" s="316" t="s">
        <v>3100</v>
      </c>
      <c r="C26" s="316" t="s">
        <v>4682</v>
      </c>
      <c r="D26" s="467" t="s">
        <v>3100</v>
      </c>
    </row>
    <row r="27" spans="1:4" ht="15">
      <c r="A27" s="316" t="s">
        <v>3756</v>
      </c>
      <c r="B27" s="316" t="s">
        <v>3101</v>
      </c>
      <c r="C27" s="316" t="s">
        <v>4683</v>
      </c>
      <c r="D27" s="467" t="s">
        <v>3101</v>
      </c>
    </row>
    <row r="28" spans="1:4" ht="15">
      <c r="A28" s="316" t="s">
        <v>3757</v>
      </c>
      <c r="B28" s="316" t="s">
        <v>3102</v>
      </c>
      <c r="C28" s="316" t="s">
        <v>4684</v>
      </c>
      <c r="D28" s="467" t="s">
        <v>3102</v>
      </c>
    </row>
    <row r="29" spans="1:4" ht="15">
      <c r="A29" s="316" t="s">
        <v>3758</v>
      </c>
      <c r="B29" s="316" t="s">
        <v>3103</v>
      </c>
      <c r="C29" s="316" t="s">
        <v>4685</v>
      </c>
      <c r="D29" s="467" t="s">
        <v>3103</v>
      </c>
    </row>
    <row r="30" spans="1:4" ht="15">
      <c r="A30" s="316" t="s">
        <v>3759</v>
      </c>
      <c r="B30" s="316" t="s">
        <v>3104</v>
      </c>
      <c r="C30" s="316" t="s">
        <v>4686</v>
      </c>
      <c r="D30" s="467" t="s">
        <v>3104</v>
      </c>
    </row>
    <row r="31" spans="1:4" ht="15">
      <c r="A31" s="316" t="s">
        <v>3760</v>
      </c>
      <c r="B31" s="316" t="s">
        <v>3105</v>
      </c>
      <c r="C31" s="316" t="s">
        <v>4687</v>
      </c>
      <c r="D31" s="467" t="s">
        <v>3105</v>
      </c>
    </row>
    <row r="32" spans="1:4" ht="15">
      <c r="A32" s="316" t="s">
        <v>3761</v>
      </c>
      <c r="B32" s="316" t="s">
        <v>3106</v>
      </c>
      <c r="C32" s="316" t="s">
        <v>4688</v>
      </c>
      <c r="D32" s="467" t="s">
        <v>3106</v>
      </c>
    </row>
    <row r="33" spans="1:4" ht="15">
      <c r="A33" s="316" t="s">
        <v>3762</v>
      </c>
      <c r="B33" s="316" t="s">
        <v>3107</v>
      </c>
      <c r="C33" s="316" t="s">
        <v>4689</v>
      </c>
      <c r="D33" s="467" t="s">
        <v>3107</v>
      </c>
    </row>
    <row r="34" spans="1:4" ht="15">
      <c r="A34" s="316" t="s">
        <v>3763</v>
      </c>
      <c r="B34" s="316" t="s">
        <v>3108</v>
      </c>
      <c r="C34" s="316" t="s">
        <v>4690</v>
      </c>
      <c r="D34" s="467" t="s">
        <v>3108</v>
      </c>
    </row>
    <row r="35" spans="1:4" ht="15">
      <c r="A35" s="316" t="s">
        <v>3764</v>
      </c>
      <c r="B35" s="316" t="s">
        <v>3109</v>
      </c>
      <c r="C35" s="316" t="s">
        <v>4691</v>
      </c>
      <c r="D35" s="467" t="s">
        <v>3109</v>
      </c>
    </row>
    <row r="36" spans="1:4" ht="15">
      <c r="A36" s="316" t="s">
        <v>3765</v>
      </c>
      <c r="B36" s="316" t="s">
        <v>3110</v>
      </c>
      <c r="C36" s="316" t="s">
        <v>4692</v>
      </c>
      <c r="D36" s="67" t="s">
        <v>5187</v>
      </c>
    </row>
    <row r="37" spans="1:4" ht="15">
      <c r="A37" s="316" t="s">
        <v>3766</v>
      </c>
      <c r="B37" s="316" t="s">
        <v>3111</v>
      </c>
      <c r="C37" s="318" t="s">
        <v>3111</v>
      </c>
      <c r="D37" s="467" t="s">
        <v>3111</v>
      </c>
    </row>
    <row r="38" spans="1:4" ht="15">
      <c r="A38" s="316" t="s">
        <v>3767</v>
      </c>
      <c r="B38" s="316" t="s">
        <v>3112</v>
      </c>
      <c r="C38" s="318" t="s">
        <v>3112</v>
      </c>
      <c r="D38" s="467" t="s">
        <v>3112</v>
      </c>
    </row>
    <row r="39" spans="1:4" ht="15">
      <c r="A39" s="316" t="s">
        <v>3768</v>
      </c>
      <c r="B39" s="316" t="s">
        <v>3113</v>
      </c>
      <c r="C39" s="318" t="s">
        <v>3113</v>
      </c>
      <c r="D39" s="467" t="s">
        <v>3113</v>
      </c>
    </row>
    <row r="40" spans="1:4" ht="15">
      <c r="A40" s="316" t="s">
        <v>3769</v>
      </c>
      <c r="B40" s="316" t="s">
        <v>3114</v>
      </c>
      <c r="C40" s="318" t="s">
        <v>3114</v>
      </c>
      <c r="D40" s="467" t="s">
        <v>3114</v>
      </c>
    </row>
    <row r="41" spans="1:4" ht="15">
      <c r="A41" s="316" t="s">
        <v>3770</v>
      </c>
      <c r="B41" s="316" t="s">
        <v>3115</v>
      </c>
      <c r="C41" s="316" t="s">
        <v>4693</v>
      </c>
      <c r="D41" s="467" t="s">
        <v>3115</v>
      </c>
    </row>
    <row r="42" spans="1:4" ht="15">
      <c r="A42" s="316" t="s">
        <v>3771</v>
      </c>
      <c r="B42" s="316" t="s">
        <v>3116</v>
      </c>
      <c r="C42" s="316" t="s">
        <v>4694</v>
      </c>
      <c r="D42" s="467" t="s">
        <v>3116</v>
      </c>
    </row>
    <row r="43" spans="1:4" ht="15">
      <c r="A43" s="316" t="s">
        <v>3772</v>
      </c>
      <c r="B43" s="316" t="s">
        <v>3117</v>
      </c>
      <c r="C43" s="316" t="s">
        <v>4695</v>
      </c>
      <c r="D43" s="467" t="s">
        <v>3117</v>
      </c>
    </row>
    <row r="44" spans="1:4" ht="15">
      <c r="A44" s="316" t="s">
        <v>3773</v>
      </c>
      <c r="B44" s="316" t="s">
        <v>3118</v>
      </c>
      <c r="C44" s="316" t="s">
        <v>4696</v>
      </c>
      <c r="D44" s="467" t="s">
        <v>3118</v>
      </c>
    </row>
    <row r="45" spans="1:4" ht="15">
      <c r="A45" s="316" t="s">
        <v>3774</v>
      </c>
      <c r="B45" s="316" t="s">
        <v>3119</v>
      </c>
      <c r="C45" s="316" t="s">
        <v>4697</v>
      </c>
      <c r="D45" s="467" t="s">
        <v>3119</v>
      </c>
    </row>
    <row r="46" spans="1:4" ht="15">
      <c r="A46" s="316" t="s">
        <v>3775</v>
      </c>
      <c r="B46" s="316" t="s">
        <v>3120</v>
      </c>
      <c r="C46" s="316" t="s">
        <v>4698</v>
      </c>
      <c r="D46" s="467" t="s">
        <v>3120</v>
      </c>
    </row>
    <row r="47" spans="1:4" ht="15">
      <c r="A47" s="316" t="s">
        <v>3776</v>
      </c>
      <c r="B47" s="316" t="s">
        <v>3121</v>
      </c>
      <c r="C47" s="316" t="s">
        <v>4699</v>
      </c>
      <c r="D47" s="467" t="s">
        <v>3121</v>
      </c>
    </row>
    <row r="48" spans="1:4" ht="15">
      <c r="A48" s="316" t="s">
        <v>3777</v>
      </c>
      <c r="B48" s="316" t="s">
        <v>3122</v>
      </c>
      <c r="C48" s="316" t="s">
        <v>4700</v>
      </c>
      <c r="D48" s="467" t="s">
        <v>3122</v>
      </c>
    </row>
    <row r="49" spans="1:4" ht="15">
      <c r="A49" s="316" t="s">
        <v>3778</v>
      </c>
      <c r="B49" s="316" t="s">
        <v>3123</v>
      </c>
      <c r="C49" s="316" t="s">
        <v>4701</v>
      </c>
      <c r="D49" s="467" t="s">
        <v>3123</v>
      </c>
    </row>
    <row r="50" spans="1:4" ht="15">
      <c r="A50" s="316" t="s">
        <v>3779</v>
      </c>
      <c r="B50" s="316" t="s">
        <v>3124</v>
      </c>
      <c r="C50" s="316" t="s">
        <v>4702</v>
      </c>
      <c r="D50" s="467" t="s">
        <v>3124</v>
      </c>
    </row>
    <row r="51" spans="1:4" ht="15">
      <c r="A51" s="316" t="s">
        <v>3780</v>
      </c>
      <c r="B51" s="316" t="s">
        <v>3125</v>
      </c>
      <c r="C51" s="316" t="s">
        <v>4703</v>
      </c>
      <c r="D51" s="467" t="s">
        <v>3125</v>
      </c>
    </row>
    <row r="52" spans="1:4" ht="15">
      <c r="A52" s="316" t="s">
        <v>3781</v>
      </c>
      <c r="B52" s="316" t="s">
        <v>3126</v>
      </c>
      <c r="C52" s="316" t="s">
        <v>4704</v>
      </c>
      <c r="D52" s="467" t="s">
        <v>3126</v>
      </c>
    </row>
    <row r="53" spans="1:4" ht="15">
      <c r="A53" s="316" t="s">
        <v>3782</v>
      </c>
      <c r="B53" s="316" t="s">
        <v>3127</v>
      </c>
      <c r="C53" s="316" t="s">
        <v>4705</v>
      </c>
      <c r="D53" s="467" t="s">
        <v>3127</v>
      </c>
    </row>
    <row r="54" spans="1:4" ht="15">
      <c r="A54" s="316" t="s">
        <v>3783</v>
      </c>
      <c r="B54" s="316" t="s">
        <v>3128</v>
      </c>
      <c r="C54" s="316" t="s">
        <v>4706</v>
      </c>
      <c r="D54" s="467" t="s">
        <v>3128</v>
      </c>
    </row>
    <row r="55" spans="1:4" ht="15">
      <c r="A55" s="316" t="s">
        <v>3784</v>
      </c>
      <c r="B55" s="316" t="s">
        <v>3129</v>
      </c>
      <c r="C55" s="316" t="s">
        <v>4707</v>
      </c>
      <c r="D55" s="467" t="s">
        <v>3129</v>
      </c>
    </row>
    <row r="56" spans="1:4" ht="15">
      <c r="A56" s="316" t="s">
        <v>3785</v>
      </c>
      <c r="B56" s="316" t="s">
        <v>3130</v>
      </c>
      <c r="C56" s="316" t="s">
        <v>4708</v>
      </c>
      <c r="D56" s="467" t="s">
        <v>3130</v>
      </c>
    </row>
    <row r="57" spans="1:4" ht="15">
      <c r="A57" s="316" t="s">
        <v>3786</v>
      </c>
      <c r="B57" s="316" t="s">
        <v>3131</v>
      </c>
      <c r="C57" s="316" t="s">
        <v>4709</v>
      </c>
      <c r="D57" s="467" t="s">
        <v>3131</v>
      </c>
    </row>
    <row r="58" spans="1:4" ht="15">
      <c r="A58" s="316" t="s">
        <v>3787</v>
      </c>
      <c r="B58" s="316" t="s">
        <v>3132</v>
      </c>
      <c r="C58" s="316" t="s">
        <v>4710</v>
      </c>
      <c r="D58" s="467" t="s">
        <v>3132</v>
      </c>
    </row>
    <row r="59" spans="1:4" ht="15">
      <c r="A59" s="316" t="s">
        <v>3788</v>
      </c>
      <c r="B59" s="316" t="s">
        <v>3133</v>
      </c>
      <c r="C59" s="316" t="s">
        <v>4711</v>
      </c>
      <c r="D59" s="67" t="s">
        <v>5188</v>
      </c>
    </row>
    <row r="60" spans="1:4" ht="15">
      <c r="A60" s="316" t="s">
        <v>3789</v>
      </c>
      <c r="B60" s="316" t="s">
        <v>3134</v>
      </c>
      <c r="C60" s="316" t="s">
        <v>4712</v>
      </c>
      <c r="D60" s="67" t="s">
        <v>5189</v>
      </c>
    </row>
    <row r="61" spans="1:4" ht="15">
      <c r="A61" s="316" t="s">
        <v>3790</v>
      </c>
      <c r="B61" s="316" t="s">
        <v>3135</v>
      </c>
      <c r="C61" s="316" t="s">
        <v>4713</v>
      </c>
      <c r="D61" s="467" t="s">
        <v>3135</v>
      </c>
    </row>
    <row r="62" spans="1:4" ht="15">
      <c r="A62" s="316" t="s">
        <v>3791</v>
      </c>
      <c r="B62" s="316" t="s">
        <v>3136</v>
      </c>
      <c r="C62" s="316" t="s">
        <v>4714</v>
      </c>
      <c r="D62" s="67" t="s">
        <v>5190</v>
      </c>
    </row>
    <row r="63" spans="1:4" ht="15">
      <c r="A63" s="316" t="s">
        <v>3792</v>
      </c>
      <c r="B63" s="316" t="s">
        <v>3137</v>
      </c>
      <c r="C63" s="316" t="s">
        <v>4715</v>
      </c>
      <c r="D63" s="67" t="s">
        <v>5191</v>
      </c>
    </row>
    <row r="64" spans="1:4" ht="15">
      <c r="A64" s="316" t="s">
        <v>3793</v>
      </c>
      <c r="B64" s="316" t="s">
        <v>3138</v>
      </c>
      <c r="C64" s="316" t="s">
        <v>4716</v>
      </c>
      <c r="D64" s="467" t="s">
        <v>3138</v>
      </c>
    </row>
    <row r="65" spans="1:4" ht="15">
      <c r="A65" s="316" t="s">
        <v>3794</v>
      </c>
      <c r="B65" s="316" t="s">
        <v>3139</v>
      </c>
      <c r="C65" s="316" t="s">
        <v>4717</v>
      </c>
      <c r="D65" s="467" t="s">
        <v>3139</v>
      </c>
    </row>
    <row r="66" spans="1:4" ht="15">
      <c r="A66" s="316" t="s">
        <v>3795</v>
      </c>
      <c r="B66" s="316" t="s">
        <v>3140</v>
      </c>
      <c r="C66" s="316" t="s">
        <v>4718</v>
      </c>
      <c r="D66" s="467" t="s">
        <v>3140</v>
      </c>
    </row>
    <row r="67" spans="1:4" ht="15">
      <c r="A67" s="316" t="s">
        <v>3796</v>
      </c>
      <c r="B67" s="316" t="s">
        <v>3141</v>
      </c>
      <c r="C67" s="316" t="s">
        <v>4719</v>
      </c>
      <c r="D67" s="67" t="s">
        <v>5192</v>
      </c>
    </row>
    <row r="68" spans="1:4" ht="15">
      <c r="A68" s="316" t="s">
        <v>3797</v>
      </c>
      <c r="B68" s="316" t="s">
        <v>3142</v>
      </c>
      <c r="C68" s="316" t="s">
        <v>4720</v>
      </c>
      <c r="D68" s="467" t="s">
        <v>3142</v>
      </c>
    </row>
    <row r="69" spans="1:4" ht="15">
      <c r="A69" s="316" t="s">
        <v>3798</v>
      </c>
      <c r="B69" s="316" t="s">
        <v>3143</v>
      </c>
      <c r="C69" s="316" t="s">
        <v>4721</v>
      </c>
      <c r="D69" s="467" t="s">
        <v>3143</v>
      </c>
    </row>
    <row r="70" spans="1:4" ht="15">
      <c r="A70" s="316" t="s">
        <v>3799</v>
      </c>
      <c r="B70" s="316" t="s">
        <v>3144</v>
      </c>
      <c r="C70" s="316" t="s">
        <v>4722</v>
      </c>
      <c r="D70" s="467" t="s">
        <v>3144</v>
      </c>
    </row>
    <row r="71" spans="1:4" ht="15">
      <c r="A71" s="316" t="s">
        <v>3800</v>
      </c>
      <c r="B71" s="316" t="s">
        <v>3145</v>
      </c>
      <c r="C71" s="316" t="s">
        <v>4723</v>
      </c>
      <c r="D71" s="467" t="s">
        <v>3145</v>
      </c>
    </row>
    <row r="72" spans="1:4" ht="15">
      <c r="A72" s="316" t="s">
        <v>3801</v>
      </c>
      <c r="B72" s="316" t="s">
        <v>3146</v>
      </c>
      <c r="C72" s="318" t="s">
        <v>3146</v>
      </c>
      <c r="D72" s="67" t="s">
        <v>5193</v>
      </c>
    </row>
    <row r="73" spans="1:4" ht="15">
      <c r="A73" s="316" t="s">
        <v>3802</v>
      </c>
      <c r="B73" s="316" t="s">
        <v>3147</v>
      </c>
      <c r="C73" s="316" t="s">
        <v>4724</v>
      </c>
      <c r="D73" s="467" t="s">
        <v>3147</v>
      </c>
    </row>
    <row r="74" spans="1:4" ht="15">
      <c r="A74" s="316" t="s">
        <v>3803</v>
      </c>
      <c r="B74" s="316" t="s">
        <v>3148</v>
      </c>
      <c r="C74" s="318" t="s">
        <v>3148</v>
      </c>
      <c r="D74" s="467" t="s">
        <v>3148</v>
      </c>
    </row>
    <row r="75" spans="1:4" ht="15">
      <c r="A75" s="316" t="s">
        <v>3804</v>
      </c>
      <c r="B75" s="316" t="s">
        <v>3149</v>
      </c>
      <c r="C75" s="316" t="s">
        <v>4725</v>
      </c>
      <c r="D75" s="467" t="s">
        <v>3149</v>
      </c>
    </row>
    <row r="76" spans="1:4" ht="15">
      <c r="A76" s="316" t="s">
        <v>3805</v>
      </c>
      <c r="B76" s="316" t="s">
        <v>3150</v>
      </c>
      <c r="C76" s="316" t="s">
        <v>4726</v>
      </c>
      <c r="D76" s="467" t="s">
        <v>3150</v>
      </c>
    </row>
    <row r="77" spans="1:4" ht="15">
      <c r="A77" s="316" t="s">
        <v>3806</v>
      </c>
      <c r="B77" s="316" t="s">
        <v>3151</v>
      </c>
      <c r="C77" s="316" t="s">
        <v>4727</v>
      </c>
      <c r="D77" s="467" t="s">
        <v>3151</v>
      </c>
    </row>
    <row r="78" spans="1:4" ht="15">
      <c r="A78" s="316" t="s">
        <v>3807</v>
      </c>
      <c r="B78" s="316" t="s">
        <v>3152</v>
      </c>
      <c r="C78" s="316" t="s">
        <v>4728</v>
      </c>
      <c r="D78" s="467" t="s">
        <v>3152</v>
      </c>
    </row>
    <row r="79" spans="1:4" ht="15">
      <c r="A79" s="316" t="s">
        <v>3808</v>
      </c>
      <c r="B79" s="316" t="s">
        <v>3153</v>
      </c>
      <c r="C79" s="316" t="s">
        <v>4729</v>
      </c>
      <c r="D79" s="67" t="s">
        <v>5194</v>
      </c>
    </row>
    <row r="80" spans="1:4" ht="15">
      <c r="A80" s="316" t="s">
        <v>3809</v>
      </c>
      <c r="B80" s="316" t="s">
        <v>3154</v>
      </c>
      <c r="C80" s="316" t="s">
        <v>4730</v>
      </c>
      <c r="D80" s="67" t="s">
        <v>5195</v>
      </c>
    </row>
    <row r="81" spans="1:4" ht="15">
      <c r="A81" s="316" t="s">
        <v>3810</v>
      </c>
      <c r="B81" s="316" t="s">
        <v>3155</v>
      </c>
      <c r="C81" s="318" t="s">
        <v>3155</v>
      </c>
      <c r="D81" s="467" t="s">
        <v>3155</v>
      </c>
    </row>
    <row r="82" spans="1:4" ht="15">
      <c r="A82" s="316" t="s">
        <v>3811</v>
      </c>
      <c r="B82" s="316" t="s">
        <v>3156</v>
      </c>
      <c r="C82" s="318" t="s">
        <v>3156</v>
      </c>
      <c r="D82" s="467" t="s">
        <v>3156</v>
      </c>
    </row>
    <row r="83" spans="1:4" ht="15">
      <c r="A83" s="316" t="s">
        <v>3812</v>
      </c>
      <c r="B83" s="316" t="s">
        <v>3157</v>
      </c>
      <c r="C83" s="318" t="s">
        <v>3157</v>
      </c>
      <c r="D83" s="467" t="s">
        <v>3157</v>
      </c>
    </row>
    <row r="84" spans="1:4" ht="15">
      <c r="A84" s="316" t="s">
        <v>3813</v>
      </c>
      <c r="B84" s="316" t="s">
        <v>3158</v>
      </c>
      <c r="C84" s="318" t="s">
        <v>3158</v>
      </c>
      <c r="D84" s="467" t="s">
        <v>3158</v>
      </c>
    </row>
    <row r="85" spans="1:4" ht="15">
      <c r="A85" s="316" t="s">
        <v>3814</v>
      </c>
      <c r="B85" s="316" t="s">
        <v>3159</v>
      </c>
      <c r="C85" s="318" t="s">
        <v>3159</v>
      </c>
      <c r="D85" s="467" t="s">
        <v>3159</v>
      </c>
    </row>
    <row r="86" spans="1:4" ht="15">
      <c r="A86" s="316" t="s">
        <v>3815</v>
      </c>
      <c r="B86" s="316" t="s">
        <v>3160</v>
      </c>
      <c r="C86" s="318" t="s">
        <v>3160</v>
      </c>
      <c r="D86" s="467" t="s">
        <v>3160</v>
      </c>
    </row>
    <row r="87" spans="1:4" ht="15">
      <c r="A87" s="316" t="s">
        <v>3816</v>
      </c>
      <c r="B87" s="316" t="s">
        <v>3161</v>
      </c>
      <c r="C87" s="318" t="s">
        <v>3161</v>
      </c>
      <c r="D87" s="467" t="s">
        <v>3161</v>
      </c>
    </row>
    <row r="88" spans="1:4" ht="15">
      <c r="A88" s="316" t="s">
        <v>3817</v>
      </c>
      <c r="B88" s="316" t="s">
        <v>3162</v>
      </c>
      <c r="C88" s="318" t="s">
        <v>3162</v>
      </c>
      <c r="D88" s="467" t="s">
        <v>3162</v>
      </c>
    </row>
    <row r="89" spans="1:4" ht="15">
      <c r="A89" s="316" t="s">
        <v>3818</v>
      </c>
      <c r="B89" s="316" t="s">
        <v>3163</v>
      </c>
      <c r="C89" s="318" t="s">
        <v>3163</v>
      </c>
      <c r="D89" s="467" t="s">
        <v>3163</v>
      </c>
    </row>
    <row r="90" spans="1:4" ht="15">
      <c r="A90" s="316" t="s">
        <v>3819</v>
      </c>
      <c r="B90" s="316" t="s">
        <v>3164</v>
      </c>
      <c r="C90" s="318" t="s">
        <v>3164</v>
      </c>
      <c r="D90" s="467" t="s">
        <v>3164</v>
      </c>
    </row>
    <row r="91" spans="1:4" ht="15">
      <c r="A91" s="316" t="s">
        <v>3820</v>
      </c>
      <c r="B91" s="316" t="s">
        <v>3165</v>
      </c>
      <c r="C91" s="316" t="s">
        <v>4731</v>
      </c>
      <c r="D91" s="467" t="s">
        <v>3165</v>
      </c>
    </row>
    <row r="92" spans="1:4" ht="15">
      <c r="A92" s="316" t="s">
        <v>3821</v>
      </c>
      <c r="B92" s="316" t="s">
        <v>3166</v>
      </c>
      <c r="C92" s="318" t="s">
        <v>3166</v>
      </c>
      <c r="D92" s="467" t="s">
        <v>3166</v>
      </c>
    </row>
    <row r="93" spans="1:4" ht="15">
      <c r="A93" s="316" t="s">
        <v>3822</v>
      </c>
      <c r="B93" s="316" t="s">
        <v>3167</v>
      </c>
      <c r="C93" s="316" t="s">
        <v>4732</v>
      </c>
      <c r="D93" s="467" t="s">
        <v>3167</v>
      </c>
    </row>
    <row r="94" spans="1:4" ht="15">
      <c r="A94" s="316" t="s">
        <v>3823</v>
      </c>
      <c r="B94" s="316" t="s">
        <v>3168</v>
      </c>
      <c r="C94" s="316" t="s">
        <v>4733</v>
      </c>
      <c r="D94" s="467" t="s">
        <v>3168</v>
      </c>
    </row>
    <row r="95" spans="1:4" ht="15">
      <c r="A95" s="316" t="s">
        <v>3824</v>
      </c>
      <c r="B95" s="316" t="s">
        <v>3169</v>
      </c>
      <c r="C95" s="316" t="s">
        <v>4734</v>
      </c>
      <c r="D95" s="467" t="s">
        <v>3169</v>
      </c>
    </row>
    <row r="96" spans="1:4" ht="15">
      <c r="A96" s="316" t="s">
        <v>3825</v>
      </c>
      <c r="B96" s="316" t="s">
        <v>3170</v>
      </c>
      <c r="C96" s="316" t="s">
        <v>4735</v>
      </c>
      <c r="D96" s="467" t="s">
        <v>3170</v>
      </c>
    </row>
    <row r="97" spans="1:4" ht="15">
      <c r="A97" s="316" t="s">
        <v>3826</v>
      </c>
      <c r="B97" s="316" t="s">
        <v>3171</v>
      </c>
      <c r="C97" s="316" t="s">
        <v>4736</v>
      </c>
      <c r="D97" s="467" t="s">
        <v>3171</v>
      </c>
    </row>
    <row r="98" spans="1:4" ht="15">
      <c r="A98" s="316" t="s">
        <v>3827</v>
      </c>
      <c r="B98" s="316" t="s">
        <v>3172</v>
      </c>
      <c r="C98" s="318" t="s">
        <v>3172</v>
      </c>
      <c r="D98" s="467" t="s">
        <v>3172</v>
      </c>
    </row>
    <row r="99" spans="1:4" ht="15">
      <c r="A99" s="316" t="s">
        <v>3828</v>
      </c>
      <c r="B99" s="316" t="s">
        <v>3173</v>
      </c>
      <c r="C99" s="318" t="s">
        <v>3173</v>
      </c>
      <c r="D99" s="467" t="s">
        <v>3173</v>
      </c>
    </row>
    <row r="100" spans="1:4" ht="15">
      <c r="A100" s="316" t="s">
        <v>3829</v>
      </c>
      <c r="B100" s="316" t="s">
        <v>3174</v>
      </c>
      <c r="C100" s="318" t="s">
        <v>3174</v>
      </c>
      <c r="D100" s="467" t="s">
        <v>3174</v>
      </c>
    </row>
    <row r="101" spans="1:4" ht="15">
      <c r="A101" s="316" t="s">
        <v>3830</v>
      </c>
      <c r="B101" s="316" t="s">
        <v>3175</v>
      </c>
      <c r="C101" s="318" t="s">
        <v>3175</v>
      </c>
      <c r="D101" s="467" t="s">
        <v>3175</v>
      </c>
    </row>
    <row r="102" spans="1:4" ht="15">
      <c r="A102" s="316" t="s">
        <v>3831</v>
      </c>
      <c r="B102" s="316" t="s">
        <v>3176</v>
      </c>
      <c r="C102" s="318" t="s">
        <v>3176</v>
      </c>
      <c r="D102" s="467" t="s">
        <v>3176</v>
      </c>
    </row>
    <row r="103" spans="1:4" ht="15">
      <c r="A103" s="316" t="s">
        <v>3832</v>
      </c>
      <c r="B103" s="316" t="s">
        <v>3177</v>
      </c>
      <c r="C103" s="318" t="s">
        <v>3177</v>
      </c>
      <c r="D103" s="467" t="s">
        <v>3177</v>
      </c>
    </row>
    <row r="104" spans="1:4" ht="15">
      <c r="A104" s="316" t="s">
        <v>3833</v>
      </c>
      <c r="B104" s="316" t="s">
        <v>3178</v>
      </c>
      <c r="C104" s="318" t="s">
        <v>3178</v>
      </c>
      <c r="D104" s="467" t="s">
        <v>3178</v>
      </c>
    </row>
    <row r="105" spans="1:4" ht="15">
      <c r="A105" s="316" t="s">
        <v>3834</v>
      </c>
      <c r="B105" s="316" t="s">
        <v>3179</v>
      </c>
      <c r="C105" s="318" t="s">
        <v>3179</v>
      </c>
      <c r="D105" s="467" t="s">
        <v>3179</v>
      </c>
    </row>
    <row r="106" spans="1:4" ht="15">
      <c r="A106" s="316" t="s">
        <v>3835</v>
      </c>
      <c r="B106" s="316" t="s">
        <v>3180</v>
      </c>
      <c r="C106" s="318" t="s">
        <v>3180</v>
      </c>
      <c r="D106" s="67" t="s">
        <v>5196</v>
      </c>
    </row>
    <row r="107" spans="1:4" ht="15">
      <c r="A107" s="316" t="s">
        <v>3836</v>
      </c>
      <c r="B107" s="316" t="s">
        <v>3181</v>
      </c>
      <c r="C107" s="318" t="s">
        <v>3181</v>
      </c>
      <c r="D107" s="467" t="s">
        <v>3181</v>
      </c>
    </row>
    <row r="108" spans="1:4" ht="15">
      <c r="A108" s="316" t="s">
        <v>3837</v>
      </c>
      <c r="B108" s="316" t="s">
        <v>3182</v>
      </c>
      <c r="C108" s="318" t="s">
        <v>3182</v>
      </c>
      <c r="D108" s="467" t="s">
        <v>3182</v>
      </c>
    </row>
    <row r="109" spans="1:4" ht="15">
      <c r="A109" s="316" t="s">
        <v>3838</v>
      </c>
      <c r="B109" s="316" t="s">
        <v>3183</v>
      </c>
      <c r="C109" s="318" t="s">
        <v>3183</v>
      </c>
      <c r="D109" s="467" t="s">
        <v>3183</v>
      </c>
    </row>
    <row r="110" spans="1:4" ht="15">
      <c r="A110" s="316" t="s">
        <v>3839</v>
      </c>
      <c r="B110" s="316" t="s">
        <v>3184</v>
      </c>
      <c r="C110" s="318" t="s">
        <v>3184</v>
      </c>
      <c r="D110" s="467" t="s">
        <v>3184</v>
      </c>
    </row>
    <row r="111" spans="1:4" ht="15">
      <c r="A111" s="316" t="s">
        <v>3840</v>
      </c>
      <c r="B111" s="316" t="s">
        <v>3185</v>
      </c>
      <c r="C111" s="316" t="s">
        <v>4737</v>
      </c>
      <c r="D111" s="467" t="s">
        <v>3185</v>
      </c>
    </row>
    <row r="112" spans="1:4" ht="15">
      <c r="A112" s="316" t="s">
        <v>3841</v>
      </c>
      <c r="B112" s="316" t="s">
        <v>3186</v>
      </c>
      <c r="C112" s="316" t="s">
        <v>4738</v>
      </c>
      <c r="D112" s="467" t="s">
        <v>3186</v>
      </c>
    </row>
    <row r="113" spans="1:4" ht="15">
      <c r="A113" s="316" t="s">
        <v>3842</v>
      </c>
      <c r="B113" s="316" t="s">
        <v>3187</v>
      </c>
      <c r="C113" s="318" t="s">
        <v>3187</v>
      </c>
      <c r="D113" s="467" t="s">
        <v>3187</v>
      </c>
    </row>
    <row r="114" spans="1:4" ht="15">
      <c r="A114" s="316" t="s">
        <v>3843</v>
      </c>
      <c r="B114" s="316" t="s">
        <v>3188</v>
      </c>
      <c r="C114" s="318" t="s">
        <v>3188</v>
      </c>
      <c r="D114" s="467" t="s">
        <v>3188</v>
      </c>
    </row>
    <row r="115" spans="1:4" ht="15">
      <c r="A115" s="316" t="s">
        <v>3844</v>
      </c>
      <c r="B115" s="316" t="s">
        <v>3189</v>
      </c>
      <c r="C115" s="316" t="s">
        <v>4739</v>
      </c>
      <c r="D115" s="467" t="s">
        <v>3189</v>
      </c>
    </row>
    <row r="116" spans="1:4" ht="15">
      <c r="A116" s="316" t="s">
        <v>3845</v>
      </c>
      <c r="B116" s="316" t="s">
        <v>3190</v>
      </c>
      <c r="C116" s="316" t="s">
        <v>4740</v>
      </c>
      <c r="D116" s="67" t="s">
        <v>5197</v>
      </c>
    </row>
    <row r="117" spans="1:4" ht="15">
      <c r="A117" s="316" t="s">
        <v>3846</v>
      </c>
      <c r="B117" s="316" t="s">
        <v>3191</v>
      </c>
      <c r="C117" s="316" t="s">
        <v>4741</v>
      </c>
      <c r="D117" s="67" t="s">
        <v>5198</v>
      </c>
    </row>
    <row r="118" spans="1:4" ht="15">
      <c r="A118" s="316" t="s">
        <v>3847</v>
      </c>
      <c r="B118" s="316" t="s">
        <v>3192</v>
      </c>
      <c r="C118" s="316" t="s">
        <v>4742</v>
      </c>
      <c r="D118" s="67" t="s">
        <v>5199</v>
      </c>
    </row>
    <row r="119" spans="1:4" ht="15">
      <c r="A119" s="316" t="s">
        <v>3848</v>
      </c>
      <c r="B119" s="316" t="s">
        <v>3193</v>
      </c>
      <c r="C119" s="318" t="s">
        <v>3193</v>
      </c>
      <c r="D119" s="67" t="s">
        <v>5200</v>
      </c>
    </row>
    <row r="120" spans="1:4" ht="15">
      <c r="A120" s="316" t="s">
        <v>3849</v>
      </c>
      <c r="B120" s="316" t="s">
        <v>3194</v>
      </c>
      <c r="C120" s="316" t="s">
        <v>4743</v>
      </c>
      <c r="D120" s="67" t="s">
        <v>5201</v>
      </c>
    </row>
    <row r="121" spans="1:4" ht="15">
      <c r="A121" s="316" t="s">
        <v>3850</v>
      </c>
      <c r="B121" s="316" t="s">
        <v>3195</v>
      </c>
      <c r="C121" s="316" t="s">
        <v>4744</v>
      </c>
      <c r="D121" s="67" t="s">
        <v>5202</v>
      </c>
    </row>
    <row r="122" spans="1:4" ht="15">
      <c r="A122" s="316" t="s">
        <v>3851</v>
      </c>
      <c r="B122" s="316" t="s">
        <v>3196</v>
      </c>
      <c r="C122" s="316" t="s">
        <v>4745</v>
      </c>
      <c r="D122" s="467" t="s">
        <v>3196</v>
      </c>
    </row>
    <row r="123" spans="1:4" ht="15">
      <c r="A123" s="316" t="s">
        <v>3852</v>
      </c>
      <c r="B123" s="316" t="s">
        <v>3197</v>
      </c>
      <c r="C123" s="316" t="s">
        <v>4746</v>
      </c>
      <c r="D123" s="67" t="s">
        <v>5203</v>
      </c>
    </row>
    <row r="124" spans="1:4" ht="15">
      <c r="A124" s="316" t="s">
        <v>3853</v>
      </c>
      <c r="B124" s="316" t="s">
        <v>3198</v>
      </c>
      <c r="C124" s="316" t="s">
        <v>4747</v>
      </c>
      <c r="D124" s="67" t="s">
        <v>5204</v>
      </c>
    </row>
    <row r="125" spans="1:4" ht="15">
      <c r="A125" s="316" t="s">
        <v>3854</v>
      </c>
      <c r="B125" s="316" t="s">
        <v>3199</v>
      </c>
      <c r="C125" s="316" t="s">
        <v>4748</v>
      </c>
      <c r="D125" s="467" t="s">
        <v>3199</v>
      </c>
    </row>
    <row r="126" spans="1:4" ht="15">
      <c r="A126" s="316" t="s">
        <v>3855</v>
      </c>
      <c r="B126" s="316" t="s">
        <v>3200</v>
      </c>
      <c r="C126" s="316" t="s">
        <v>4749</v>
      </c>
      <c r="D126" s="67" t="s">
        <v>5205</v>
      </c>
    </row>
    <row r="127" spans="1:4" ht="15">
      <c r="A127" s="316" t="s">
        <v>3856</v>
      </c>
      <c r="B127" s="316" t="s">
        <v>3201</v>
      </c>
      <c r="C127" s="316" t="s">
        <v>4750</v>
      </c>
      <c r="D127" s="467" t="s">
        <v>3201</v>
      </c>
    </row>
    <row r="128" spans="1:4" ht="15">
      <c r="A128" s="316" t="s">
        <v>3857</v>
      </c>
      <c r="B128" s="316" t="s">
        <v>3202</v>
      </c>
      <c r="C128" s="316" t="s">
        <v>4751</v>
      </c>
      <c r="D128" s="67" t="s">
        <v>5206</v>
      </c>
    </row>
    <row r="129" spans="1:4" ht="15">
      <c r="A129" s="316" t="s">
        <v>3858</v>
      </c>
      <c r="B129" s="316" t="s">
        <v>3203</v>
      </c>
      <c r="C129" s="318" t="s">
        <v>3203</v>
      </c>
      <c r="D129" s="67" t="s">
        <v>5207</v>
      </c>
    </row>
    <row r="130" spans="1:4" ht="15">
      <c r="A130" s="316" t="s">
        <v>3859</v>
      </c>
      <c r="B130" s="316" t="s">
        <v>3204</v>
      </c>
      <c r="C130" s="316" t="s">
        <v>4752</v>
      </c>
      <c r="D130" s="67" t="s">
        <v>5208</v>
      </c>
    </row>
    <row r="131" spans="1:4" ht="15">
      <c r="A131" s="316" t="s">
        <v>3860</v>
      </c>
      <c r="B131" s="316" t="s">
        <v>3205</v>
      </c>
      <c r="C131" s="316" t="s">
        <v>4753</v>
      </c>
      <c r="D131" s="67" t="s">
        <v>5209</v>
      </c>
    </row>
    <row r="132" spans="1:4" ht="15">
      <c r="A132" s="316" t="s">
        <v>3861</v>
      </c>
      <c r="B132" s="316" t="s">
        <v>3206</v>
      </c>
      <c r="C132" s="316" t="s">
        <v>4754</v>
      </c>
      <c r="D132" s="67" t="s">
        <v>5210</v>
      </c>
    </row>
    <row r="133" spans="1:4" ht="15">
      <c r="A133" s="316" t="s">
        <v>3862</v>
      </c>
      <c r="B133" s="316" t="s">
        <v>3207</v>
      </c>
      <c r="C133" s="316" t="s">
        <v>4755</v>
      </c>
      <c r="D133" s="467" t="s">
        <v>3207</v>
      </c>
    </row>
    <row r="134" spans="1:4" ht="15">
      <c r="A134" s="316" t="s">
        <v>3863</v>
      </c>
      <c r="B134" s="316" t="s">
        <v>3208</v>
      </c>
      <c r="C134" s="316" t="s">
        <v>4756</v>
      </c>
      <c r="D134" s="467" t="s">
        <v>3208</v>
      </c>
    </row>
    <row r="135" spans="1:4" ht="15">
      <c r="A135" s="316" t="s">
        <v>3864</v>
      </c>
      <c r="B135" s="316" t="s">
        <v>3209</v>
      </c>
      <c r="C135" s="316" t="s">
        <v>4757</v>
      </c>
      <c r="D135" s="467" t="s">
        <v>3209</v>
      </c>
    </row>
    <row r="136" spans="1:4" ht="15">
      <c r="A136" s="316" t="s">
        <v>3865</v>
      </c>
      <c r="B136" s="316" t="s">
        <v>3210</v>
      </c>
      <c r="C136" s="316" t="s">
        <v>4758</v>
      </c>
      <c r="D136" s="467" t="s">
        <v>3210</v>
      </c>
    </row>
    <row r="137" spans="1:4" ht="15">
      <c r="A137" s="316" t="s">
        <v>3866</v>
      </c>
      <c r="B137" s="316" t="s">
        <v>3211</v>
      </c>
      <c r="C137" s="318" t="s">
        <v>3211</v>
      </c>
      <c r="D137" s="67" t="s">
        <v>5211</v>
      </c>
    </row>
    <row r="138" spans="1:4" ht="15">
      <c r="A138" s="316" t="s">
        <v>3867</v>
      </c>
      <c r="B138" s="316" t="s">
        <v>3212</v>
      </c>
      <c r="C138" s="316" t="s">
        <v>4759</v>
      </c>
      <c r="D138" s="467" t="s">
        <v>3212</v>
      </c>
    </row>
    <row r="139" spans="1:4" ht="15">
      <c r="A139" s="316" t="s">
        <v>3868</v>
      </c>
      <c r="B139" s="316" t="s">
        <v>3213</v>
      </c>
      <c r="C139" s="316" t="s">
        <v>4760</v>
      </c>
      <c r="D139" s="467" t="s">
        <v>3213</v>
      </c>
    </row>
    <row r="140" spans="1:4" ht="15">
      <c r="A140" s="316" t="s">
        <v>3869</v>
      </c>
      <c r="B140" s="316" t="s">
        <v>3214</v>
      </c>
      <c r="C140" s="316" t="s">
        <v>4761</v>
      </c>
      <c r="D140" s="467" t="s">
        <v>3214</v>
      </c>
    </row>
    <row r="141" spans="1:4" ht="15">
      <c r="A141" s="316" t="s">
        <v>3870</v>
      </c>
      <c r="B141" s="316" t="s">
        <v>3215</v>
      </c>
      <c r="C141" s="316" t="s">
        <v>4762</v>
      </c>
      <c r="D141" s="67" t="s">
        <v>5212</v>
      </c>
    </row>
    <row r="142" spans="1:4" ht="15">
      <c r="A142" s="316" t="s">
        <v>3871</v>
      </c>
      <c r="B142" s="316" t="s">
        <v>3216</v>
      </c>
      <c r="C142" s="316" t="s">
        <v>4763</v>
      </c>
      <c r="D142" s="467" t="s">
        <v>3216</v>
      </c>
    </row>
    <row r="143" spans="1:4" ht="15">
      <c r="A143" s="316" t="s">
        <v>3872</v>
      </c>
      <c r="B143" s="316" t="s">
        <v>3217</v>
      </c>
      <c r="C143" s="316" t="s">
        <v>4764</v>
      </c>
      <c r="D143" s="467" t="s">
        <v>3217</v>
      </c>
    </row>
    <row r="144" spans="1:4" ht="15">
      <c r="A144" s="316" t="s">
        <v>3873</v>
      </c>
      <c r="B144" s="316" t="s">
        <v>3218</v>
      </c>
      <c r="C144" s="316" t="s">
        <v>4765</v>
      </c>
      <c r="D144" s="467" t="s">
        <v>3218</v>
      </c>
    </row>
    <row r="145" spans="1:4" ht="15">
      <c r="A145" s="316" t="s">
        <v>3874</v>
      </c>
      <c r="B145" s="316" t="s">
        <v>3219</v>
      </c>
      <c r="C145" s="316" t="s">
        <v>4766</v>
      </c>
      <c r="D145" s="467" t="s">
        <v>3219</v>
      </c>
    </row>
    <row r="146" spans="1:4" ht="15">
      <c r="A146" s="316" t="s">
        <v>3875</v>
      </c>
      <c r="B146" s="316" t="s">
        <v>3220</v>
      </c>
      <c r="C146" s="316" t="s">
        <v>4767</v>
      </c>
      <c r="D146" s="467" t="s">
        <v>3220</v>
      </c>
    </row>
    <row r="147" spans="1:4" ht="15">
      <c r="A147" s="316" t="s">
        <v>3876</v>
      </c>
      <c r="B147" s="316" t="s">
        <v>3221</v>
      </c>
      <c r="C147" s="318" t="s">
        <v>3221</v>
      </c>
      <c r="D147" s="467" t="s">
        <v>3221</v>
      </c>
    </row>
    <row r="148" spans="1:4" ht="15">
      <c r="A148" s="316" t="s">
        <v>3877</v>
      </c>
      <c r="B148" s="316" t="s">
        <v>3222</v>
      </c>
      <c r="C148" s="318" t="s">
        <v>3222</v>
      </c>
      <c r="D148" s="467" t="s">
        <v>3222</v>
      </c>
    </row>
    <row r="149" spans="1:4" ht="15">
      <c r="A149" s="316" t="s">
        <v>3878</v>
      </c>
      <c r="B149" s="316" t="s">
        <v>3223</v>
      </c>
      <c r="C149" s="316" t="s">
        <v>4768</v>
      </c>
      <c r="D149" s="467" t="s">
        <v>3223</v>
      </c>
    </row>
    <row r="150" spans="1:4" ht="15">
      <c r="A150" s="316" t="s">
        <v>3879</v>
      </c>
      <c r="B150" s="316" t="s">
        <v>3224</v>
      </c>
      <c r="C150" s="316" t="s">
        <v>4769</v>
      </c>
      <c r="D150" s="67" t="s">
        <v>5213</v>
      </c>
    </row>
    <row r="151" spans="1:4" ht="15">
      <c r="A151" s="316" t="s">
        <v>3880</v>
      </c>
      <c r="B151" s="316" t="s">
        <v>3225</v>
      </c>
      <c r="C151" s="316" t="s">
        <v>4770</v>
      </c>
      <c r="D151" s="67" t="s">
        <v>5214</v>
      </c>
    </row>
    <row r="152" spans="1:4" ht="15">
      <c r="A152" s="316" t="s">
        <v>3881</v>
      </c>
      <c r="B152" s="316" t="s">
        <v>3226</v>
      </c>
      <c r="C152" s="316" t="s">
        <v>4771</v>
      </c>
      <c r="D152" s="467" t="s">
        <v>3226</v>
      </c>
    </row>
    <row r="153" spans="1:4" ht="15">
      <c r="A153" s="316" t="s">
        <v>3882</v>
      </c>
      <c r="B153" s="316" t="s">
        <v>3227</v>
      </c>
      <c r="C153" s="316" t="s">
        <v>4772</v>
      </c>
      <c r="D153" s="467" t="s">
        <v>3227</v>
      </c>
    </row>
    <row r="154" spans="1:4" ht="15">
      <c r="A154" s="316" t="s">
        <v>3883</v>
      </c>
      <c r="B154" s="316" t="s">
        <v>3228</v>
      </c>
      <c r="C154" s="316" t="s">
        <v>4773</v>
      </c>
      <c r="D154" s="67" t="s">
        <v>5215</v>
      </c>
    </row>
    <row r="155" spans="1:4" ht="15">
      <c r="A155" s="316" t="s">
        <v>3884</v>
      </c>
      <c r="B155" s="316" t="s">
        <v>3229</v>
      </c>
      <c r="C155" s="318" t="s">
        <v>3229</v>
      </c>
      <c r="D155" s="467" t="s">
        <v>3229</v>
      </c>
    </row>
    <row r="156" spans="1:4" ht="15">
      <c r="A156" s="316" t="s">
        <v>3885</v>
      </c>
      <c r="B156" s="316" t="s">
        <v>3230</v>
      </c>
      <c r="C156" s="316" t="s">
        <v>4774</v>
      </c>
      <c r="D156" s="67" t="s">
        <v>5216</v>
      </c>
    </row>
    <row r="157" spans="1:4" ht="15">
      <c r="A157" s="316" t="s">
        <v>3886</v>
      </c>
      <c r="B157" s="316" t="s">
        <v>3231</v>
      </c>
      <c r="C157" s="316" t="s">
        <v>4775</v>
      </c>
      <c r="D157" s="67" t="s">
        <v>5217</v>
      </c>
    </row>
    <row r="158" spans="1:4" ht="15">
      <c r="A158" s="316" t="s">
        <v>3887</v>
      </c>
      <c r="B158" s="316" t="s">
        <v>3232</v>
      </c>
      <c r="C158" s="316" t="s">
        <v>4776</v>
      </c>
      <c r="D158" s="67" t="s">
        <v>5218</v>
      </c>
    </row>
    <row r="159" spans="1:4" ht="15">
      <c r="A159" s="316" t="s">
        <v>3888</v>
      </c>
      <c r="B159" s="316" t="s">
        <v>3233</v>
      </c>
      <c r="C159" s="316" t="s">
        <v>4777</v>
      </c>
      <c r="D159" s="67" t="s">
        <v>5219</v>
      </c>
    </row>
    <row r="160" spans="1:4" ht="15">
      <c r="A160" s="316" t="s">
        <v>3889</v>
      </c>
      <c r="B160" s="316" t="s">
        <v>3234</v>
      </c>
      <c r="C160" s="316" t="s">
        <v>4778</v>
      </c>
      <c r="D160" s="467" t="s">
        <v>3234</v>
      </c>
    </row>
    <row r="161" spans="1:4" ht="15">
      <c r="A161" s="316" t="s">
        <v>3890</v>
      </c>
      <c r="B161" s="316" t="s">
        <v>3235</v>
      </c>
      <c r="C161" s="316" t="s">
        <v>4779</v>
      </c>
      <c r="D161" s="467" t="s">
        <v>3235</v>
      </c>
    </row>
    <row r="162" spans="1:4" ht="15">
      <c r="A162" s="316" t="s">
        <v>3891</v>
      </c>
      <c r="B162" s="316" t="s">
        <v>3236</v>
      </c>
      <c r="C162" s="316" t="s">
        <v>4780</v>
      </c>
      <c r="D162" s="467" t="s">
        <v>3236</v>
      </c>
    </row>
    <row r="163" spans="1:4" ht="15">
      <c r="A163" s="316" t="s">
        <v>3892</v>
      </c>
      <c r="B163" s="316" t="s">
        <v>3237</v>
      </c>
      <c r="C163" s="316" t="s">
        <v>4781</v>
      </c>
      <c r="D163" s="67" t="s">
        <v>5214</v>
      </c>
    </row>
    <row r="164" spans="1:4" ht="15">
      <c r="A164" s="316" t="s">
        <v>3893</v>
      </c>
      <c r="B164" s="316" t="s">
        <v>3238</v>
      </c>
      <c r="C164" s="316" t="s">
        <v>4782</v>
      </c>
      <c r="D164" s="467" t="s">
        <v>3238</v>
      </c>
    </row>
    <row r="165" spans="1:4" ht="15">
      <c r="A165" s="316" t="s">
        <v>3894</v>
      </c>
      <c r="B165" s="316" t="s">
        <v>3239</v>
      </c>
      <c r="C165" s="316" t="s">
        <v>4783</v>
      </c>
      <c r="D165" s="467" t="s">
        <v>3239</v>
      </c>
    </row>
    <row r="166" spans="1:4" ht="15">
      <c r="A166" s="316" t="s">
        <v>3895</v>
      </c>
      <c r="B166" s="316" t="s">
        <v>3240</v>
      </c>
      <c r="C166" s="316" t="s">
        <v>4784</v>
      </c>
      <c r="D166" s="467" t="s">
        <v>3240</v>
      </c>
    </row>
    <row r="167" spans="1:4" ht="15">
      <c r="A167" s="316" t="s">
        <v>3896</v>
      </c>
      <c r="B167" s="316" t="s">
        <v>3241</v>
      </c>
      <c r="C167" s="316" t="s">
        <v>4785</v>
      </c>
      <c r="D167" s="67" t="s">
        <v>5220</v>
      </c>
    </row>
    <row r="168" spans="1:4" ht="15">
      <c r="A168" s="316" t="s">
        <v>3897</v>
      </c>
      <c r="B168" s="316" t="s">
        <v>3242</v>
      </c>
      <c r="C168" s="318" t="s">
        <v>3242</v>
      </c>
      <c r="D168" s="467" t="s">
        <v>3242</v>
      </c>
    </row>
    <row r="169" spans="1:4" ht="15">
      <c r="A169" s="316" t="s">
        <v>3898</v>
      </c>
      <c r="B169" s="316" t="s">
        <v>3243</v>
      </c>
      <c r="C169" s="316" t="s">
        <v>4786</v>
      </c>
      <c r="D169" s="467" t="s">
        <v>3243</v>
      </c>
    </row>
    <row r="170" spans="1:4" ht="15">
      <c r="A170" s="316" t="s">
        <v>3899</v>
      </c>
      <c r="B170" s="316" t="s">
        <v>3244</v>
      </c>
      <c r="C170" s="316" t="s">
        <v>4787</v>
      </c>
      <c r="D170" s="467" t="s">
        <v>3244</v>
      </c>
    </row>
    <row r="171" spans="1:4" ht="15">
      <c r="A171" s="316" t="s">
        <v>3900</v>
      </c>
      <c r="B171" s="316" t="s">
        <v>3245</v>
      </c>
      <c r="C171" s="316" t="s">
        <v>4788</v>
      </c>
      <c r="D171" s="467" t="s">
        <v>3245</v>
      </c>
    </row>
    <row r="172" spans="1:4" ht="15">
      <c r="A172" s="316" t="s">
        <v>3901</v>
      </c>
      <c r="B172" s="316" t="s">
        <v>3246</v>
      </c>
      <c r="C172" s="316" t="s">
        <v>4789</v>
      </c>
      <c r="D172" s="467" t="s">
        <v>3246</v>
      </c>
    </row>
    <row r="173" spans="1:4" ht="15">
      <c r="A173" s="316" t="s">
        <v>3902</v>
      </c>
      <c r="B173" s="316" t="s">
        <v>3247</v>
      </c>
      <c r="C173" s="316" t="s">
        <v>4790</v>
      </c>
      <c r="D173" s="467" t="s">
        <v>3247</v>
      </c>
    </row>
    <row r="174" spans="1:4" ht="15">
      <c r="A174" s="316" t="s">
        <v>3903</v>
      </c>
      <c r="B174" s="316" t="s">
        <v>3248</v>
      </c>
      <c r="C174" s="316" t="s">
        <v>4791</v>
      </c>
      <c r="D174" s="467" t="s">
        <v>3248</v>
      </c>
    </row>
    <row r="175" spans="1:4" ht="15">
      <c r="A175" s="316" t="s">
        <v>3904</v>
      </c>
      <c r="B175" s="316" t="s">
        <v>3249</v>
      </c>
      <c r="C175" s="316" t="s">
        <v>4792</v>
      </c>
      <c r="D175" s="467" t="s">
        <v>3249</v>
      </c>
    </row>
    <row r="176" spans="1:4" ht="15">
      <c r="A176" s="316" t="s">
        <v>3905</v>
      </c>
      <c r="B176" s="316" t="s">
        <v>3250</v>
      </c>
      <c r="C176" s="316" t="s">
        <v>4793</v>
      </c>
      <c r="D176" s="467" t="s">
        <v>3250</v>
      </c>
    </row>
    <row r="177" spans="1:4" ht="15">
      <c r="A177" s="316" t="s">
        <v>3906</v>
      </c>
      <c r="B177" s="316" t="s">
        <v>3251</v>
      </c>
      <c r="C177" s="316" t="s">
        <v>4794</v>
      </c>
      <c r="D177" s="467" t="s">
        <v>3251</v>
      </c>
    </row>
    <row r="178" spans="1:4" ht="15">
      <c r="A178" s="316" t="s">
        <v>3907</v>
      </c>
      <c r="B178" s="316" t="s">
        <v>3252</v>
      </c>
      <c r="C178" s="316" t="s">
        <v>4795</v>
      </c>
      <c r="D178" s="467" t="s">
        <v>3252</v>
      </c>
    </row>
    <row r="179" spans="1:4" ht="15">
      <c r="A179" s="316" t="s">
        <v>3908</v>
      </c>
      <c r="B179" s="316" t="s">
        <v>3253</v>
      </c>
      <c r="C179" s="316" t="s">
        <v>4796</v>
      </c>
      <c r="D179" s="467" t="s">
        <v>3253</v>
      </c>
    </row>
    <row r="180" spans="1:4" ht="15">
      <c r="A180" s="316" t="s">
        <v>3909</v>
      </c>
      <c r="B180" s="316" t="s">
        <v>3254</v>
      </c>
      <c r="C180" s="316" t="s">
        <v>4797</v>
      </c>
      <c r="D180" s="467" t="s">
        <v>3254</v>
      </c>
    </row>
    <row r="181" spans="1:4" ht="15">
      <c r="A181" s="316" t="s">
        <v>3910</v>
      </c>
      <c r="B181" s="316" t="s">
        <v>3255</v>
      </c>
      <c r="C181" s="316" t="s">
        <v>4798</v>
      </c>
      <c r="D181" s="467" t="s">
        <v>3255</v>
      </c>
    </row>
    <row r="182" spans="1:4" ht="15">
      <c r="A182" s="316" t="s">
        <v>3911</v>
      </c>
      <c r="B182" s="316" t="s">
        <v>3256</v>
      </c>
      <c r="C182" s="316" t="s">
        <v>4799</v>
      </c>
      <c r="D182" s="467" t="s">
        <v>3256</v>
      </c>
    </row>
    <row r="183" spans="1:4" ht="15">
      <c r="A183" s="316" t="s">
        <v>3912</v>
      </c>
      <c r="B183" s="316" t="s">
        <v>3257</v>
      </c>
      <c r="C183" s="316" t="s">
        <v>4800</v>
      </c>
      <c r="D183" s="467" t="s">
        <v>3257</v>
      </c>
    </row>
    <row r="184" spans="1:4" ht="15">
      <c r="A184" s="316" t="s">
        <v>3913</v>
      </c>
      <c r="B184" s="316" t="s">
        <v>3258</v>
      </c>
      <c r="C184" s="316" t="s">
        <v>4801</v>
      </c>
      <c r="D184" s="467" t="s">
        <v>3258</v>
      </c>
    </row>
    <row r="185" spans="1:4" ht="15">
      <c r="A185" s="316" t="s">
        <v>3914</v>
      </c>
      <c r="B185" s="316" t="s">
        <v>3259</v>
      </c>
      <c r="C185" s="316" t="s">
        <v>4802</v>
      </c>
      <c r="D185" s="67" t="s">
        <v>5221</v>
      </c>
    </row>
    <row r="186" spans="1:4" ht="15">
      <c r="A186" s="316" t="s">
        <v>3915</v>
      </c>
      <c r="B186" s="316" t="s">
        <v>3260</v>
      </c>
      <c r="C186" s="316" t="s">
        <v>4803</v>
      </c>
      <c r="D186" s="67" t="s">
        <v>5222</v>
      </c>
    </row>
    <row r="187" spans="1:4" ht="15">
      <c r="A187" s="316" t="s">
        <v>3916</v>
      </c>
      <c r="B187" s="316" t="s">
        <v>3261</v>
      </c>
      <c r="C187" s="316" t="s">
        <v>4804</v>
      </c>
      <c r="D187" s="467" t="s">
        <v>3261</v>
      </c>
    </row>
    <row r="188" spans="1:4" ht="15">
      <c r="A188" s="316" t="s">
        <v>3917</v>
      </c>
      <c r="B188" s="316" t="s">
        <v>3262</v>
      </c>
      <c r="C188" s="316" t="s">
        <v>4805</v>
      </c>
      <c r="D188" s="67" t="s">
        <v>5223</v>
      </c>
    </row>
    <row r="189" spans="1:4" ht="15">
      <c r="A189" s="316" t="s">
        <v>3918</v>
      </c>
      <c r="B189" s="316" t="s">
        <v>3263</v>
      </c>
      <c r="C189" s="316" t="s">
        <v>4806</v>
      </c>
      <c r="D189" s="67" t="s">
        <v>5224</v>
      </c>
    </row>
    <row r="190" spans="1:4" ht="15">
      <c r="A190" s="316" t="s">
        <v>3919</v>
      </c>
      <c r="B190" s="316" t="s">
        <v>3264</v>
      </c>
      <c r="C190" s="316" t="s">
        <v>4807</v>
      </c>
      <c r="D190" s="467" t="s">
        <v>3264</v>
      </c>
    </row>
    <row r="191" spans="1:4" ht="15">
      <c r="A191" s="316" t="s">
        <v>3920</v>
      </c>
      <c r="B191" s="316" t="s">
        <v>3265</v>
      </c>
      <c r="C191" s="316" t="s">
        <v>4808</v>
      </c>
      <c r="D191" s="467" t="s">
        <v>3265</v>
      </c>
    </row>
    <row r="192" spans="1:4" ht="15">
      <c r="A192" s="316" t="s">
        <v>3921</v>
      </c>
      <c r="B192" s="316" t="s">
        <v>3266</v>
      </c>
      <c r="C192" s="316" t="s">
        <v>4809</v>
      </c>
      <c r="D192" s="467" t="s">
        <v>3266</v>
      </c>
    </row>
    <row r="193" spans="1:4" ht="15">
      <c r="A193" s="316" t="s">
        <v>3922</v>
      </c>
      <c r="B193" s="316" t="s">
        <v>3267</v>
      </c>
      <c r="C193" s="316" t="s">
        <v>4810</v>
      </c>
      <c r="D193" s="467" t="s">
        <v>3267</v>
      </c>
    </row>
    <row r="194" spans="1:4" ht="15">
      <c r="A194" s="316" t="s">
        <v>3923</v>
      </c>
      <c r="B194" s="316" t="s">
        <v>3268</v>
      </c>
      <c r="C194" s="316" t="s">
        <v>4811</v>
      </c>
      <c r="D194" s="467" t="s">
        <v>3268</v>
      </c>
    </row>
    <row r="195" spans="1:4" ht="15">
      <c r="A195" s="316" t="s">
        <v>3924</v>
      </c>
      <c r="B195" s="316" t="s">
        <v>3269</v>
      </c>
      <c r="C195" s="316" t="s">
        <v>4812</v>
      </c>
      <c r="D195" s="467" t="s">
        <v>3269</v>
      </c>
    </row>
    <row r="196" spans="1:4" ht="15">
      <c r="A196" s="316" t="s">
        <v>3925</v>
      </c>
      <c r="B196" s="316" t="s">
        <v>3270</v>
      </c>
      <c r="C196" s="316" t="s">
        <v>4813</v>
      </c>
      <c r="D196" s="467" t="s">
        <v>3270</v>
      </c>
    </row>
    <row r="197" spans="1:4" ht="15">
      <c r="A197" s="316" t="s">
        <v>3926</v>
      </c>
      <c r="B197" s="316" t="s">
        <v>3271</v>
      </c>
      <c r="C197" s="316" t="s">
        <v>4814</v>
      </c>
      <c r="D197" s="467" t="s">
        <v>3271</v>
      </c>
    </row>
    <row r="198" spans="1:4" ht="15">
      <c r="A198" s="316" t="s">
        <v>3927</v>
      </c>
      <c r="B198" s="316" t="s">
        <v>3272</v>
      </c>
      <c r="C198" s="316" t="s">
        <v>4815</v>
      </c>
      <c r="D198" s="467" t="s">
        <v>5225</v>
      </c>
    </row>
    <row r="199" spans="1:4" ht="15">
      <c r="A199" s="316" t="s">
        <v>3928</v>
      </c>
      <c r="B199" s="316" t="s">
        <v>3273</v>
      </c>
      <c r="C199" s="316" t="s">
        <v>4816</v>
      </c>
      <c r="D199" s="467" t="s">
        <v>3273</v>
      </c>
    </row>
    <row r="200" spans="1:4" ht="15">
      <c r="A200" s="316" t="s">
        <v>3929</v>
      </c>
      <c r="B200" s="316" t="s">
        <v>3274</v>
      </c>
      <c r="C200" s="316" t="s">
        <v>4817</v>
      </c>
      <c r="D200" s="467" t="s">
        <v>5225</v>
      </c>
    </row>
    <row r="201" spans="1:4" ht="15">
      <c r="A201" s="316" t="s">
        <v>3930</v>
      </c>
      <c r="B201" s="316" t="s">
        <v>3275</v>
      </c>
      <c r="C201" s="316" t="s">
        <v>4818</v>
      </c>
      <c r="D201" s="467" t="s">
        <v>3275</v>
      </c>
    </row>
    <row r="202" spans="1:4" ht="15">
      <c r="A202" s="316" t="s">
        <v>3931</v>
      </c>
      <c r="B202" s="316" t="s">
        <v>3276</v>
      </c>
      <c r="C202" s="316" t="s">
        <v>4819</v>
      </c>
      <c r="D202" s="67" t="s">
        <v>5226</v>
      </c>
    </row>
    <row r="203" spans="1:4" ht="15">
      <c r="A203" s="316" t="s">
        <v>3932</v>
      </c>
      <c r="B203" s="316" t="s">
        <v>3277</v>
      </c>
      <c r="C203" s="316" t="s">
        <v>4820</v>
      </c>
      <c r="D203" s="67" t="s">
        <v>5227</v>
      </c>
    </row>
    <row r="204" spans="1:4" ht="15">
      <c r="A204" s="316" t="s">
        <v>3933</v>
      </c>
      <c r="B204" s="316" t="s">
        <v>3278</v>
      </c>
      <c r="C204" s="316" t="s">
        <v>4821</v>
      </c>
      <c r="D204" s="467" t="s">
        <v>3278</v>
      </c>
    </row>
    <row r="205" spans="1:4" ht="15">
      <c r="A205" s="316" t="s">
        <v>3934</v>
      </c>
      <c r="B205" s="316" t="s">
        <v>3279</v>
      </c>
      <c r="C205" s="316" t="s">
        <v>4822</v>
      </c>
      <c r="D205" s="67" t="s">
        <v>5228</v>
      </c>
    </row>
    <row r="206" spans="1:4" ht="15">
      <c r="A206" s="316" t="s">
        <v>3935</v>
      </c>
      <c r="B206" s="316" t="s">
        <v>3280</v>
      </c>
      <c r="C206" s="316" t="s">
        <v>4823</v>
      </c>
      <c r="D206" s="467" t="s">
        <v>3280</v>
      </c>
    </row>
    <row r="207" spans="1:4" ht="15">
      <c r="A207" s="316" t="s">
        <v>3936</v>
      </c>
      <c r="B207" s="316" t="s">
        <v>3281</v>
      </c>
      <c r="C207" s="318" t="s">
        <v>3281</v>
      </c>
      <c r="D207" s="467" t="s">
        <v>3281</v>
      </c>
    </row>
    <row r="208" spans="1:4" ht="15">
      <c r="A208" s="316" t="s">
        <v>3937</v>
      </c>
      <c r="B208" s="316" t="s">
        <v>3282</v>
      </c>
      <c r="C208" s="316" t="s">
        <v>4824</v>
      </c>
      <c r="D208" s="67" t="s">
        <v>5229</v>
      </c>
    </row>
    <row r="209" spans="1:4" ht="15">
      <c r="A209" s="316" t="s">
        <v>3938</v>
      </c>
      <c r="B209" s="316" t="s">
        <v>3283</v>
      </c>
      <c r="C209" s="316" t="s">
        <v>4825</v>
      </c>
      <c r="D209" s="67" t="s">
        <v>5230</v>
      </c>
    </row>
    <row r="210" spans="1:4" ht="15">
      <c r="A210" s="316" t="s">
        <v>3939</v>
      </c>
      <c r="B210" s="316" t="s">
        <v>3284</v>
      </c>
      <c r="C210" s="316" t="s">
        <v>4826</v>
      </c>
      <c r="D210" s="67" t="s">
        <v>5231</v>
      </c>
    </row>
    <row r="211" spans="1:4" ht="15">
      <c r="A211" s="316" t="s">
        <v>3940</v>
      </c>
      <c r="B211" s="316" t="s">
        <v>3285</v>
      </c>
      <c r="C211" s="316" t="s">
        <v>4827</v>
      </c>
      <c r="D211" s="67" t="s">
        <v>5232</v>
      </c>
    </row>
    <row r="212" spans="1:4" ht="15">
      <c r="A212" s="316" t="s">
        <v>3941</v>
      </c>
      <c r="B212" s="316" t="s">
        <v>3286</v>
      </c>
      <c r="C212" s="316" t="s">
        <v>4828</v>
      </c>
      <c r="D212" s="67" t="s">
        <v>5233</v>
      </c>
    </row>
    <row r="213" spans="1:4" ht="15">
      <c r="A213" s="316" t="s">
        <v>3942</v>
      </c>
      <c r="B213" s="316" t="s">
        <v>3287</v>
      </c>
      <c r="C213" s="316" t="s">
        <v>4829</v>
      </c>
      <c r="D213" s="67" t="s">
        <v>5234</v>
      </c>
    </row>
    <row r="214" spans="1:4" ht="15">
      <c r="A214" s="316" t="s">
        <v>3943</v>
      </c>
      <c r="B214" s="316" t="s">
        <v>3288</v>
      </c>
      <c r="C214" s="316" t="s">
        <v>4830</v>
      </c>
      <c r="D214" s="67" t="s">
        <v>5235</v>
      </c>
    </row>
    <row r="215" spans="1:4" ht="15">
      <c r="A215" s="316" t="s">
        <v>3944</v>
      </c>
      <c r="B215" s="316" t="s">
        <v>3289</v>
      </c>
      <c r="C215" s="316" t="s">
        <v>4831</v>
      </c>
      <c r="D215" s="67" t="s">
        <v>5236</v>
      </c>
    </row>
    <row r="216" spans="1:4" ht="15">
      <c r="A216" s="316" t="s">
        <v>3945</v>
      </c>
      <c r="B216" s="316" t="s">
        <v>3290</v>
      </c>
      <c r="C216" s="316" t="s">
        <v>4832</v>
      </c>
      <c r="D216" s="67" t="s">
        <v>5237</v>
      </c>
    </row>
    <row r="217" spans="1:4" ht="15">
      <c r="A217" s="316" t="s">
        <v>3946</v>
      </c>
      <c r="B217" s="316" t="s">
        <v>3291</v>
      </c>
      <c r="C217" s="316" t="s">
        <v>4833</v>
      </c>
      <c r="D217" s="67" t="s">
        <v>5238</v>
      </c>
    </row>
    <row r="218" spans="1:4" ht="15">
      <c r="A218" s="316" t="s">
        <v>3947</v>
      </c>
      <c r="B218" s="316" t="s">
        <v>3292</v>
      </c>
      <c r="C218" s="316" t="s">
        <v>4834</v>
      </c>
      <c r="D218" s="67" t="s">
        <v>5239</v>
      </c>
    </row>
    <row r="219" spans="1:4" ht="15">
      <c r="A219" s="316" t="s">
        <v>3948</v>
      </c>
      <c r="B219" s="316" t="s">
        <v>3293</v>
      </c>
      <c r="C219" s="316" t="s">
        <v>4835</v>
      </c>
      <c r="D219" s="67" t="s">
        <v>5240</v>
      </c>
    </row>
    <row r="220" spans="1:4" ht="15">
      <c r="A220" s="316" t="s">
        <v>3949</v>
      </c>
      <c r="B220" s="316" t="s">
        <v>3294</v>
      </c>
      <c r="C220" s="316" t="s">
        <v>4836</v>
      </c>
      <c r="D220" s="467" t="s">
        <v>3294</v>
      </c>
    </row>
    <row r="221" spans="1:4" ht="15">
      <c r="A221" s="316" t="s">
        <v>3950</v>
      </c>
      <c r="B221" s="316" t="s">
        <v>3295</v>
      </c>
      <c r="C221" s="316" t="s">
        <v>4837</v>
      </c>
      <c r="D221" s="67" t="s">
        <v>5241</v>
      </c>
    </row>
    <row r="222" spans="1:4" ht="15">
      <c r="A222" s="316" t="s">
        <v>3951</v>
      </c>
      <c r="B222" s="316" t="s">
        <v>3296</v>
      </c>
      <c r="C222" s="316" t="s">
        <v>4838</v>
      </c>
      <c r="D222" s="467" t="s">
        <v>3296</v>
      </c>
    </row>
    <row r="223" spans="1:4" ht="15">
      <c r="A223" s="316" t="s">
        <v>3952</v>
      </c>
      <c r="B223" s="316" t="s">
        <v>3297</v>
      </c>
      <c r="C223" s="316" t="s">
        <v>4839</v>
      </c>
      <c r="D223" s="467" t="s">
        <v>3297</v>
      </c>
    </row>
    <row r="224" spans="1:4" ht="15">
      <c r="A224" s="316" t="s">
        <v>3953</v>
      </c>
      <c r="B224" s="316" t="s">
        <v>3298</v>
      </c>
      <c r="C224" s="316" t="s">
        <v>4840</v>
      </c>
      <c r="D224" s="467" t="s">
        <v>3298</v>
      </c>
    </row>
    <row r="225" spans="1:4" ht="15">
      <c r="A225" s="316" t="s">
        <v>3954</v>
      </c>
      <c r="B225" s="316" t="s">
        <v>3299</v>
      </c>
      <c r="C225" s="316" t="s">
        <v>4841</v>
      </c>
      <c r="D225" s="467" t="s">
        <v>3299</v>
      </c>
    </row>
    <row r="226" spans="1:4" ht="15">
      <c r="A226" s="316" t="s">
        <v>3955</v>
      </c>
      <c r="B226" s="316" t="s">
        <v>3300</v>
      </c>
      <c r="C226" s="316" t="s">
        <v>4842</v>
      </c>
      <c r="D226" s="467" t="s">
        <v>3300</v>
      </c>
    </row>
    <row r="227" spans="1:4" ht="15">
      <c r="A227" s="316" t="s">
        <v>3956</v>
      </c>
      <c r="B227" s="316" t="s">
        <v>3301</v>
      </c>
      <c r="C227" s="316" t="s">
        <v>4843</v>
      </c>
      <c r="D227" s="467" t="s">
        <v>3301</v>
      </c>
    </row>
    <row r="228" spans="1:4" ht="15">
      <c r="A228" s="316" t="s">
        <v>3957</v>
      </c>
      <c r="B228" s="316" t="s">
        <v>3302</v>
      </c>
      <c r="C228" s="316" t="s">
        <v>4844</v>
      </c>
      <c r="D228" s="467" t="s">
        <v>3302</v>
      </c>
    </row>
    <row r="229" spans="1:4" ht="15">
      <c r="A229" s="316" t="s">
        <v>3958</v>
      </c>
      <c r="B229" s="316" t="s">
        <v>3303</v>
      </c>
      <c r="C229" s="316" t="s">
        <v>4845</v>
      </c>
      <c r="D229" s="67" t="s">
        <v>5242</v>
      </c>
    </row>
    <row r="230" spans="1:4" ht="15">
      <c r="A230" s="316" t="s">
        <v>3959</v>
      </c>
      <c r="B230" s="316" t="s">
        <v>3304</v>
      </c>
      <c r="C230" s="316" t="s">
        <v>4846</v>
      </c>
      <c r="D230" s="467" t="s">
        <v>3304</v>
      </c>
    </row>
    <row r="231" spans="1:4" ht="15">
      <c r="A231" s="316" t="s">
        <v>3960</v>
      </c>
      <c r="B231" s="316" t="s">
        <v>3305</v>
      </c>
      <c r="C231" s="316" t="s">
        <v>4847</v>
      </c>
      <c r="D231" s="467" t="s">
        <v>3305</v>
      </c>
    </row>
    <row r="232" spans="1:4" ht="15">
      <c r="A232" s="316" t="s">
        <v>3961</v>
      </c>
      <c r="B232" s="316" t="s">
        <v>3306</v>
      </c>
      <c r="C232" s="316" t="s">
        <v>4848</v>
      </c>
      <c r="D232" s="467" t="s">
        <v>3306</v>
      </c>
    </row>
    <row r="233" spans="1:4" ht="15">
      <c r="A233" s="316" t="s">
        <v>3962</v>
      </c>
      <c r="B233" s="316" t="s">
        <v>3307</v>
      </c>
      <c r="C233" s="316" t="s">
        <v>4849</v>
      </c>
      <c r="D233" s="67" t="s">
        <v>5243</v>
      </c>
    </row>
    <row r="234" spans="1:4" ht="15">
      <c r="A234" s="316" t="s">
        <v>3963</v>
      </c>
      <c r="B234" s="316" t="s">
        <v>3308</v>
      </c>
      <c r="C234" s="316" t="s">
        <v>4850</v>
      </c>
      <c r="D234" s="467" t="s">
        <v>3308</v>
      </c>
    </row>
    <row r="235" spans="1:4" ht="15">
      <c r="A235" s="316" t="s">
        <v>3964</v>
      </c>
      <c r="B235" s="316" t="s">
        <v>3309</v>
      </c>
      <c r="C235" s="318" t="s">
        <v>3309</v>
      </c>
      <c r="D235" s="467" t="s">
        <v>3309</v>
      </c>
    </row>
    <row r="236" spans="1:4" ht="15">
      <c r="A236" s="316" t="s">
        <v>3965</v>
      </c>
      <c r="B236" s="316" t="s">
        <v>3310</v>
      </c>
      <c r="C236" s="316" t="s">
        <v>4851</v>
      </c>
      <c r="D236" s="467" t="s">
        <v>3310</v>
      </c>
    </row>
    <row r="237" spans="1:4" ht="15">
      <c r="A237" s="316" t="s">
        <v>3966</v>
      </c>
      <c r="B237" s="316" t="s">
        <v>3311</v>
      </c>
      <c r="C237" s="316" t="s">
        <v>4852</v>
      </c>
      <c r="D237" s="467" t="s">
        <v>3311</v>
      </c>
    </row>
    <row r="238" spans="1:4" ht="15">
      <c r="A238" s="316" t="s">
        <v>3967</v>
      </c>
      <c r="B238" s="316" t="s">
        <v>3312</v>
      </c>
      <c r="C238" s="316" t="s">
        <v>4853</v>
      </c>
      <c r="D238" s="467" t="s">
        <v>3312</v>
      </c>
    </row>
    <row r="239" spans="1:4" ht="15">
      <c r="A239" s="316" t="s">
        <v>3968</v>
      </c>
      <c r="B239" s="316" t="s">
        <v>3313</v>
      </c>
      <c r="C239" s="316" t="s">
        <v>4854</v>
      </c>
      <c r="D239" s="467" t="s">
        <v>3313</v>
      </c>
    </row>
    <row r="240" spans="1:4" ht="15">
      <c r="A240" s="316" t="s">
        <v>3969</v>
      </c>
      <c r="B240" s="316" t="s">
        <v>3314</v>
      </c>
      <c r="C240" s="316" t="s">
        <v>4855</v>
      </c>
      <c r="D240" s="467" t="s">
        <v>3314</v>
      </c>
    </row>
    <row r="241" spans="1:4" ht="15">
      <c r="A241" s="316" t="s">
        <v>3970</v>
      </c>
      <c r="B241" s="316" t="s">
        <v>3315</v>
      </c>
      <c r="C241" s="316" t="s">
        <v>4856</v>
      </c>
      <c r="D241" s="467" t="s">
        <v>3315</v>
      </c>
    </row>
    <row r="242" spans="1:4" ht="15">
      <c r="A242" s="316" t="s">
        <v>3971</v>
      </c>
      <c r="B242" s="316" t="s">
        <v>3316</v>
      </c>
      <c r="C242" s="316" t="s">
        <v>4857</v>
      </c>
      <c r="D242" s="467" t="s">
        <v>3316</v>
      </c>
    </row>
    <row r="243" spans="1:4" ht="15">
      <c r="A243" s="316" t="s">
        <v>3972</v>
      </c>
      <c r="B243" s="316" t="s">
        <v>3317</v>
      </c>
      <c r="C243" s="316" t="s">
        <v>4858</v>
      </c>
      <c r="D243" s="467" t="s">
        <v>3317</v>
      </c>
    </row>
    <row r="244" spans="1:4" ht="15">
      <c r="A244" s="316" t="s">
        <v>3973</v>
      </c>
      <c r="B244" s="316" t="s">
        <v>3318</v>
      </c>
      <c r="C244" s="316" t="s">
        <v>4859</v>
      </c>
      <c r="D244" s="467" t="s">
        <v>3318</v>
      </c>
    </row>
    <row r="245" spans="1:4" ht="15">
      <c r="A245" s="316" t="s">
        <v>3974</v>
      </c>
      <c r="B245" s="316" t="s">
        <v>3319</v>
      </c>
      <c r="C245" s="316" t="s">
        <v>4860</v>
      </c>
      <c r="D245" s="467" t="s">
        <v>3319</v>
      </c>
    </row>
    <row r="246" spans="1:4" ht="15">
      <c r="A246" s="316" t="s">
        <v>3975</v>
      </c>
      <c r="B246" s="316" t="s">
        <v>3320</v>
      </c>
      <c r="C246" s="316" t="s">
        <v>4861</v>
      </c>
      <c r="D246" s="467" t="s">
        <v>3320</v>
      </c>
    </row>
    <row r="247" spans="1:4" ht="15">
      <c r="A247" s="316" t="s">
        <v>3976</v>
      </c>
      <c r="B247" s="316" t="s">
        <v>3321</v>
      </c>
      <c r="C247" s="316" t="s">
        <v>4862</v>
      </c>
      <c r="D247" s="467" t="s">
        <v>3321</v>
      </c>
    </row>
    <row r="248" spans="1:4" ht="15">
      <c r="A248" s="316" t="s">
        <v>3977</v>
      </c>
      <c r="B248" s="316" t="s">
        <v>3322</v>
      </c>
      <c r="C248" s="316" t="s">
        <v>4863</v>
      </c>
      <c r="D248" s="467" t="s">
        <v>3322</v>
      </c>
    </row>
    <row r="249" spans="1:4" ht="15">
      <c r="A249" s="316" t="s">
        <v>3978</v>
      </c>
      <c r="B249" s="316" t="s">
        <v>3323</v>
      </c>
      <c r="C249" s="316" t="s">
        <v>4864</v>
      </c>
      <c r="D249" s="467" t="s">
        <v>3323</v>
      </c>
    </row>
    <row r="250" spans="1:4" ht="15">
      <c r="A250" s="316" t="s">
        <v>3979</v>
      </c>
      <c r="B250" s="316" t="s">
        <v>3324</v>
      </c>
      <c r="C250" s="316" t="s">
        <v>4865</v>
      </c>
      <c r="D250" s="467" t="s">
        <v>3324</v>
      </c>
    </row>
    <row r="251" spans="1:4" ht="15">
      <c r="A251" s="316" t="s">
        <v>3980</v>
      </c>
      <c r="B251" s="316" t="s">
        <v>3325</v>
      </c>
      <c r="C251" s="316" t="s">
        <v>4866</v>
      </c>
      <c r="D251" s="67" t="s">
        <v>5244</v>
      </c>
    </row>
    <row r="252" spans="1:4" ht="15">
      <c r="A252" s="316" t="s">
        <v>3981</v>
      </c>
      <c r="B252" s="316" t="s">
        <v>3326</v>
      </c>
      <c r="C252" s="316" t="s">
        <v>4867</v>
      </c>
      <c r="D252" s="67" t="s">
        <v>5245</v>
      </c>
    </row>
    <row r="253" spans="1:4" ht="15">
      <c r="A253" s="316" t="s">
        <v>3982</v>
      </c>
      <c r="B253" s="316" t="s">
        <v>3327</v>
      </c>
      <c r="C253" s="316" t="s">
        <v>4868</v>
      </c>
      <c r="D253" s="467" t="s">
        <v>3327</v>
      </c>
    </row>
    <row r="254" spans="1:4" ht="15">
      <c r="A254" s="316" t="s">
        <v>3983</v>
      </c>
      <c r="B254" s="316" t="s">
        <v>3328</v>
      </c>
      <c r="C254" s="316" t="s">
        <v>4869</v>
      </c>
      <c r="D254" s="67" t="s">
        <v>5246</v>
      </c>
    </row>
    <row r="255" spans="1:4" ht="15">
      <c r="A255" s="316" t="s">
        <v>3984</v>
      </c>
      <c r="B255" s="316" t="s">
        <v>3329</v>
      </c>
      <c r="C255" s="316" t="s">
        <v>4870</v>
      </c>
      <c r="D255" s="467" t="s">
        <v>3329</v>
      </c>
    </row>
    <row r="256" spans="1:4" ht="15">
      <c r="A256" s="316" t="s">
        <v>3985</v>
      </c>
      <c r="B256" s="316" t="s">
        <v>3330</v>
      </c>
      <c r="C256" s="316" t="s">
        <v>4871</v>
      </c>
      <c r="D256" s="467" t="s">
        <v>3330</v>
      </c>
    </row>
    <row r="257" spans="1:4" ht="15">
      <c r="A257" s="316" t="s">
        <v>3986</v>
      </c>
      <c r="B257" s="316" t="s">
        <v>3331</v>
      </c>
      <c r="C257" s="316" t="s">
        <v>4872</v>
      </c>
      <c r="D257" s="467" t="s">
        <v>3331</v>
      </c>
    </row>
    <row r="258" spans="1:4" ht="15">
      <c r="A258" s="316" t="s">
        <v>3987</v>
      </c>
      <c r="B258" s="316" t="s">
        <v>3332</v>
      </c>
      <c r="C258" s="318" t="s">
        <v>3332</v>
      </c>
      <c r="D258" s="467" t="s">
        <v>3332</v>
      </c>
    </row>
    <row r="259" spans="1:4" ht="15">
      <c r="A259" s="316" t="s">
        <v>3988</v>
      </c>
      <c r="B259" s="316" t="s">
        <v>3333</v>
      </c>
      <c r="C259" s="316" t="s">
        <v>4873</v>
      </c>
      <c r="D259" s="67" t="s">
        <v>5247</v>
      </c>
    </row>
    <row r="260" spans="1:4" ht="15">
      <c r="A260" s="316" t="s">
        <v>3989</v>
      </c>
      <c r="B260" s="316" t="s">
        <v>3334</v>
      </c>
      <c r="C260" s="318" t="s">
        <v>3334</v>
      </c>
      <c r="D260" s="467" t="s">
        <v>3334</v>
      </c>
    </row>
    <row r="261" spans="1:4" ht="15">
      <c r="A261" s="316" t="s">
        <v>3990</v>
      </c>
      <c r="B261" s="316" t="s">
        <v>3335</v>
      </c>
      <c r="C261" s="318" t="s">
        <v>3335</v>
      </c>
      <c r="D261" s="467" t="s">
        <v>3335</v>
      </c>
    </row>
    <row r="262" spans="1:4" ht="15">
      <c r="A262" s="316" t="s">
        <v>3991</v>
      </c>
      <c r="B262" s="316" t="s">
        <v>3336</v>
      </c>
      <c r="C262" s="318" t="s">
        <v>3336</v>
      </c>
      <c r="D262" s="467" t="s">
        <v>3336</v>
      </c>
    </row>
    <row r="263" spans="1:4" ht="15">
      <c r="A263" s="316" t="s">
        <v>3992</v>
      </c>
      <c r="B263" s="316" t="s">
        <v>3337</v>
      </c>
      <c r="C263" s="316" t="s">
        <v>4874</v>
      </c>
      <c r="D263" s="467" t="s">
        <v>3337</v>
      </c>
    </row>
    <row r="264" spans="1:4" ht="15">
      <c r="A264" s="316" t="s">
        <v>3993</v>
      </c>
      <c r="B264" s="316" t="s">
        <v>3338</v>
      </c>
      <c r="C264" s="316" t="s">
        <v>4875</v>
      </c>
      <c r="D264" s="67" t="s">
        <v>5248</v>
      </c>
    </row>
    <row r="265" spans="1:4" ht="15">
      <c r="A265" s="316" t="s">
        <v>3994</v>
      </c>
      <c r="B265" s="316" t="s">
        <v>3339</v>
      </c>
      <c r="C265" s="316" t="s">
        <v>4876</v>
      </c>
      <c r="D265" s="467" t="s">
        <v>3339</v>
      </c>
    </row>
    <row r="266" spans="1:4" ht="15">
      <c r="A266" s="316" t="s">
        <v>3995</v>
      </c>
      <c r="B266" s="316" t="s">
        <v>3340</v>
      </c>
      <c r="C266" s="316" t="s">
        <v>4877</v>
      </c>
      <c r="D266" s="467" t="s">
        <v>3340</v>
      </c>
    </row>
    <row r="267" spans="1:4" ht="15">
      <c r="A267" s="316" t="s">
        <v>3996</v>
      </c>
      <c r="B267" s="316" t="s">
        <v>3341</v>
      </c>
      <c r="C267" s="316" t="s">
        <v>4878</v>
      </c>
      <c r="D267" s="467" t="s">
        <v>3341</v>
      </c>
    </row>
    <row r="268" spans="1:4" ht="15">
      <c r="A268" s="316" t="s">
        <v>3997</v>
      </c>
      <c r="B268" s="316" t="s">
        <v>3342</v>
      </c>
      <c r="C268" s="316" t="s">
        <v>4879</v>
      </c>
      <c r="D268" s="467" t="s">
        <v>3342</v>
      </c>
    </row>
    <row r="269" spans="1:4" ht="15">
      <c r="A269" s="316" t="s">
        <v>3998</v>
      </c>
      <c r="B269" s="316" t="s">
        <v>3343</v>
      </c>
      <c r="C269" s="316" t="s">
        <v>4880</v>
      </c>
      <c r="D269" s="467" t="s">
        <v>3343</v>
      </c>
    </row>
    <row r="270" spans="1:4" ht="15">
      <c r="A270" s="316" t="s">
        <v>3999</v>
      </c>
      <c r="B270" s="316" t="s">
        <v>3344</v>
      </c>
      <c r="C270" s="316" t="s">
        <v>4881</v>
      </c>
      <c r="D270" s="467" t="s">
        <v>3344</v>
      </c>
    </row>
    <row r="271" spans="1:4" ht="15">
      <c r="A271" s="316" t="s">
        <v>4000</v>
      </c>
      <c r="B271" s="316" t="s">
        <v>3345</v>
      </c>
      <c r="C271" s="316" t="s">
        <v>4882</v>
      </c>
      <c r="D271" s="467" t="s">
        <v>3345</v>
      </c>
    </row>
    <row r="272" spans="1:4" ht="15">
      <c r="A272" s="316" t="s">
        <v>4001</v>
      </c>
      <c r="B272" s="316" t="s">
        <v>3346</v>
      </c>
      <c r="C272" s="318" t="s">
        <v>3346</v>
      </c>
      <c r="D272" s="467" t="s">
        <v>3346</v>
      </c>
    </row>
    <row r="273" spans="1:4" ht="15">
      <c r="A273" s="316" t="s">
        <v>4002</v>
      </c>
      <c r="B273" s="316" t="s">
        <v>3347</v>
      </c>
      <c r="C273" s="316" t="s">
        <v>4883</v>
      </c>
      <c r="D273" s="467" t="s">
        <v>3347</v>
      </c>
    </row>
    <row r="274" spans="1:4" ht="15">
      <c r="A274" s="316" t="s">
        <v>4003</v>
      </c>
      <c r="B274" s="316" t="s">
        <v>3348</v>
      </c>
      <c r="C274" s="318" t="s">
        <v>3348</v>
      </c>
      <c r="D274" s="467" t="s">
        <v>3348</v>
      </c>
    </row>
    <row r="275" spans="1:4" ht="15">
      <c r="A275" s="316" t="s">
        <v>4004</v>
      </c>
      <c r="B275" s="316" t="s">
        <v>3349</v>
      </c>
      <c r="C275" s="316" t="s">
        <v>4884</v>
      </c>
      <c r="D275" s="467" t="s">
        <v>3349</v>
      </c>
    </row>
    <row r="276" spans="1:4" ht="15">
      <c r="A276" s="316" t="s">
        <v>4005</v>
      </c>
      <c r="B276" s="316" t="s">
        <v>3350</v>
      </c>
      <c r="C276" s="316" t="s">
        <v>4885</v>
      </c>
      <c r="D276" s="67" t="s">
        <v>5249</v>
      </c>
    </row>
    <row r="277" spans="1:4" ht="15">
      <c r="A277" s="316" t="s">
        <v>4006</v>
      </c>
      <c r="B277" s="316" t="s">
        <v>3351</v>
      </c>
      <c r="C277" s="316" t="s">
        <v>4886</v>
      </c>
      <c r="D277" s="67" t="s">
        <v>5250</v>
      </c>
    </row>
    <row r="278" spans="1:4" ht="15">
      <c r="A278" s="316" t="s">
        <v>4007</v>
      </c>
      <c r="B278" s="316" t="s">
        <v>3352</v>
      </c>
      <c r="C278" s="316" t="s">
        <v>4887</v>
      </c>
      <c r="D278" s="467" t="s">
        <v>3352</v>
      </c>
    </row>
    <row r="279" spans="1:4" ht="15">
      <c r="A279" s="316" t="s">
        <v>4008</v>
      </c>
      <c r="B279" s="316" t="s">
        <v>3353</v>
      </c>
      <c r="C279" s="316" t="s">
        <v>4888</v>
      </c>
      <c r="D279" s="67" t="s">
        <v>5251</v>
      </c>
    </row>
    <row r="280" spans="1:4" ht="15">
      <c r="A280" s="316" t="s">
        <v>4009</v>
      </c>
      <c r="B280" s="316" t="s">
        <v>3354</v>
      </c>
      <c r="C280" s="318" t="s">
        <v>3354</v>
      </c>
      <c r="D280" s="467" t="s">
        <v>3354</v>
      </c>
    </row>
    <row r="281" spans="1:4" ht="15">
      <c r="A281" s="316" t="s">
        <v>4010</v>
      </c>
      <c r="B281" s="316" t="s">
        <v>3355</v>
      </c>
      <c r="C281" s="318" t="s">
        <v>3355</v>
      </c>
      <c r="D281" s="467" t="s">
        <v>3355</v>
      </c>
    </row>
    <row r="282" spans="1:4" ht="15">
      <c r="A282" s="316" t="s">
        <v>4011</v>
      </c>
      <c r="B282" s="316" t="s">
        <v>3356</v>
      </c>
      <c r="C282" s="318" t="s">
        <v>3356</v>
      </c>
      <c r="D282" s="467" t="s">
        <v>3356</v>
      </c>
    </row>
    <row r="283" spans="1:4" ht="15">
      <c r="A283" s="316" t="s">
        <v>4012</v>
      </c>
      <c r="B283" s="316" t="s">
        <v>3357</v>
      </c>
      <c r="C283" s="316" t="s">
        <v>4889</v>
      </c>
      <c r="D283" s="467" t="s">
        <v>3357</v>
      </c>
    </row>
    <row r="284" spans="1:4" ht="15">
      <c r="A284" s="316" t="s">
        <v>4013</v>
      </c>
      <c r="B284" s="316" t="s">
        <v>3358</v>
      </c>
      <c r="C284" s="316" t="s">
        <v>4890</v>
      </c>
      <c r="D284" s="467" t="s">
        <v>3358</v>
      </c>
    </row>
    <row r="285" spans="1:4" ht="15">
      <c r="A285" s="316" t="s">
        <v>4014</v>
      </c>
      <c r="B285" s="316" t="s">
        <v>3359</v>
      </c>
      <c r="C285" s="316" t="s">
        <v>4891</v>
      </c>
      <c r="D285" s="467" t="s">
        <v>3359</v>
      </c>
    </row>
    <row r="286" spans="1:4" ht="15">
      <c r="A286" s="316" t="s">
        <v>4015</v>
      </c>
      <c r="B286" s="316" t="s">
        <v>3360</v>
      </c>
      <c r="C286" s="316" t="s">
        <v>4892</v>
      </c>
      <c r="D286" s="467" t="s">
        <v>3360</v>
      </c>
    </row>
    <row r="287" spans="1:4" ht="15">
      <c r="A287" s="316" t="s">
        <v>4016</v>
      </c>
      <c r="B287" s="316" t="s">
        <v>3361</v>
      </c>
      <c r="C287" s="318" t="s">
        <v>3361</v>
      </c>
      <c r="D287" s="467" t="s">
        <v>3361</v>
      </c>
    </row>
    <row r="288" spans="1:4" ht="15">
      <c r="A288" s="316" t="s">
        <v>4017</v>
      </c>
      <c r="B288" s="316" t="s">
        <v>3362</v>
      </c>
      <c r="C288" s="316" t="s">
        <v>4893</v>
      </c>
      <c r="D288" s="467" t="s">
        <v>3362</v>
      </c>
    </row>
    <row r="289" spans="1:4" ht="15">
      <c r="A289" s="316" t="s">
        <v>4018</v>
      </c>
      <c r="B289" s="316" t="s">
        <v>3363</v>
      </c>
      <c r="C289" s="316" t="s">
        <v>4894</v>
      </c>
      <c r="D289" s="67" t="s">
        <v>5252</v>
      </c>
    </row>
    <row r="290" spans="1:4" ht="15">
      <c r="A290" s="316" t="s">
        <v>4019</v>
      </c>
      <c r="B290" s="316" t="s">
        <v>3364</v>
      </c>
      <c r="C290" s="316" t="s">
        <v>4895</v>
      </c>
      <c r="D290" s="67" t="s">
        <v>5253</v>
      </c>
    </row>
    <row r="291" spans="1:4" ht="15">
      <c r="A291" s="316" t="s">
        <v>4020</v>
      </c>
      <c r="B291" s="316" t="s">
        <v>3365</v>
      </c>
      <c r="C291" s="316" t="s">
        <v>4896</v>
      </c>
      <c r="D291" s="67" t="s">
        <v>5254</v>
      </c>
    </row>
    <row r="292" spans="1:4" ht="15">
      <c r="A292" s="316" t="s">
        <v>4021</v>
      </c>
      <c r="B292" s="316" t="s">
        <v>3366</v>
      </c>
      <c r="C292" s="316" t="s">
        <v>4897</v>
      </c>
      <c r="D292" s="67" t="s">
        <v>5255</v>
      </c>
    </row>
    <row r="293" spans="1:4" ht="15">
      <c r="A293" s="316" t="s">
        <v>4022</v>
      </c>
      <c r="B293" s="316" t="s">
        <v>3367</v>
      </c>
      <c r="C293" s="316" t="s">
        <v>4898</v>
      </c>
      <c r="D293" s="67" t="s">
        <v>5256</v>
      </c>
    </row>
    <row r="294" spans="1:4" ht="15">
      <c r="A294" s="316" t="s">
        <v>4023</v>
      </c>
      <c r="B294" s="316" t="s">
        <v>3368</v>
      </c>
      <c r="C294" s="316" t="s">
        <v>4899</v>
      </c>
      <c r="D294" s="467" t="s">
        <v>3368</v>
      </c>
    </row>
    <row r="295" spans="1:4" ht="15">
      <c r="A295" s="316" t="s">
        <v>4024</v>
      </c>
      <c r="B295" s="316" t="s">
        <v>3369</v>
      </c>
      <c r="C295" s="316" t="s">
        <v>4900</v>
      </c>
      <c r="D295" s="467" t="s">
        <v>3369</v>
      </c>
    </row>
    <row r="296" spans="1:4" ht="15">
      <c r="A296" s="316" t="s">
        <v>4025</v>
      </c>
      <c r="B296" s="316" t="s">
        <v>3370</v>
      </c>
      <c r="C296" s="316" t="s">
        <v>4901</v>
      </c>
      <c r="D296" s="467" t="s">
        <v>3370</v>
      </c>
    </row>
    <row r="297" spans="1:4" ht="15">
      <c r="A297" s="316" t="s">
        <v>4026</v>
      </c>
      <c r="B297" s="316" t="s">
        <v>3371</v>
      </c>
      <c r="C297" s="316" t="s">
        <v>4902</v>
      </c>
      <c r="D297" s="67" t="s">
        <v>5257</v>
      </c>
    </row>
    <row r="298" spans="1:4" ht="15">
      <c r="A298" s="316" t="s">
        <v>4027</v>
      </c>
      <c r="B298" s="316" t="s">
        <v>3372</v>
      </c>
      <c r="C298" s="316" t="s">
        <v>4903</v>
      </c>
      <c r="D298" s="67" t="s">
        <v>5258</v>
      </c>
    </row>
    <row r="299" spans="1:4" ht="15">
      <c r="A299" s="316" t="s">
        <v>4028</v>
      </c>
      <c r="B299" s="316" t="s">
        <v>3373</v>
      </c>
      <c r="C299" s="316" t="s">
        <v>4904</v>
      </c>
      <c r="D299" s="67" t="s">
        <v>5259</v>
      </c>
    </row>
    <row r="300" spans="1:4" ht="15">
      <c r="A300" s="316" t="s">
        <v>4029</v>
      </c>
      <c r="B300" s="316" t="s">
        <v>3374</v>
      </c>
      <c r="C300" s="316" t="s">
        <v>4905</v>
      </c>
      <c r="D300" s="67" t="s">
        <v>5260</v>
      </c>
    </row>
    <row r="301" spans="1:4" ht="15">
      <c r="A301" s="316" t="s">
        <v>4030</v>
      </c>
      <c r="B301" s="316" t="s">
        <v>3375</v>
      </c>
      <c r="C301" s="316" t="s">
        <v>4906</v>
      </c>
      <c r="D301" s="67" t="s">
        <v>5261</v>
      </c>
    </row>
    <row r="302" spans="1:4" ht="15">
      <c r="A302" s="316" t="s">
        <v>4031</v>
      </c>
      <c r="B302" s="316" t="s">
        <v>3376</v>
      </c>
      <c r="C302" s="316" t="s">
        <v>4907</v>
      </c>
      <c r="D302" s="67" t="s">
        <v>5262</v>
      </c>
    </row>
    <row r="303" spans="1:4" ht="15">
      <c r="A303" s="316" t="s">
        <v>4032</v>
      </c>
      <c r="B303" s="316" t="s">
        <v>3377</v>
      </c>
      <c r="C303" s="316" t="s">
        <v>4908</v>
      </c>
      <c r="D303" s="67" t="s">
        <v>5263</v>
      </c>
    </row>
    <row r="304" spans="1:4" ht="15">
      <c r="A304" s="316" t="s">
        <v>4033</v>
      </c>
      <c r="B304" s="316" t="s">
        <v>3378</v>
      </c>
      <c r="C304" s="316" t="s">
        <v>4909</v>
      </c>
      <c r="D304" s="67" t="s">
        <v>5264</v>
      </c>
    </row>
    <row r="305" spans="1:4" ht="15">
      <c r="A305" s="316" t="s">
        <v>4034</v>
      </c>
      <c r="B305" s="316" t="s">
        <v>3379</v>
      </c>
      <c r="C305" s="316" t="s">
        <v>4910</v>
      </c>
      <c r="D305" s="67" t="s">
        <v>5265</v>
      </c>
    </row>
    <row r="306" spans="1:4" ht="15">
      <c r="A306" s="316" t="s">
        <v>4035</v>
      </c>
      <c r="B306" s="316" t="s">
        <v>3380</v>
      </c>
      <c r="C306" s="316" t="s">
        <v>4911</v>
      </c>
      <c r="D306" s="467" t="s">
        <v>3380</v>
      </c>
    </row>
    <row r="307" spans="1:4" ht="15">
      <c r="A307" s="316" t="s">
        <v>4036</v>
      </c>
      <c r="B307" s="316" t="s">
        <v>3381</v>
      </c>
      <c r="C307" s="316" t="s">
        <v>4912</v>
      </c>
      <c r="D307" s="67" t="s">
        <v>5266</v>
      </c>
    </row>
    <row r="308" spans="1:4" ht="15">
      <c r="A308" s="316" t="s">
        <v>4037</v>
      </c>
      <c r="B308" s="316" t="s">
        <v>3382</v>
      </c>
      <c r="C308" s="316" t="s">
        <v>4913</v>
      </c>
      <c r="D308" s="67" t="s">
        <v>5267</v>
      </c>
    </row>
    <row r="309" spans="1:4" ht="15">
      <c r="A309" s="316" t="s">
        <v>4038</v>
      </c>
      <c r="B309" s="316" t="s">
        <v>3383</v>
      </c>
      <c r="C309" s="316" t="s">
        <v>4914</v>
      </c>
      <c r="D309" s="67" t="s">
        <v>5268</v>
      </c>
    </row>
    <row r="310" spans="1:4" ht="15">
      <c r="A310" s="316" t="s">
        <v>4039</v>
      </c>
      <c r="B310" s="316" t="s">
        <v>3384</v>
      </c>
      <c r="C310" s="316" t="s">
        <v>4915</v>
      </c>
      <c r="D310" s="67" t="s">
        <v>5269</v>
      </c>
    </row>
    <row r="311" spans="1:4" ht="15">
      <c r="A311" s="316" t="s">
        <v>4040</v>
      </c>
      <c r="B311" s="316" t="s">
        <v>3385</v>
      </c>
      <c r="C311" s="316" t="s">
        <v>4916</v>
      </c>
      <c r="D311" s="67" t="s">
        <v>5270</v>
      </c>
    </row>
    <row r="312" spans="1:4" ht="15">
      <c r="A312" s="316" t="s">
        <v>4041</v>
      </c>
      <c r="B312" s="316" t="s">
        <v>3386</v>
      </c>
      <c r="C312" s="316" t="s">
        <v>4917</v>
      </c>
      <c r="D312" s="67" t="s">
        <v>5271</v>
      </c>
    </row>
    <row r="313" spans="1:4" ht="15">
      <c r="A313" s="316" t="s">
        <v>4042</v>
      </c>
      <c r="B313" s="316" t="s">
        <v>3387</v>
      </c>
      <c r="C313" s="316" t="s">
        <v>4918</v>
      </c>
      <c r="D313" s="67" t="s">
        <v>5272</v>
      </c>
    </row>
    <row r="314" spans="1:4" ht="15">
      <c r="A314" s="316" t="s">
        <v>4043</v>
      </c>
      <c r="B314" s="316" t="s">
        <v>3388</v>
      </c>
      <c r="C314" s="316" t="s">
        <v>4919</v>
      </c>
      <c r="D314" s="67" t="s">
        <v>5273</v>
      </c>
    </row>
    <row r="315" spans="1:4" ht="15">
      <c r="A315" s="316" t="s">
        <v>4044</v>
      </c>
      <c r="B315" s="316" t="s">
        <v>3389</v>
      </c>
      <c r="C315" s="316" t="s">
        <v>4920</v>
      </c>
      <c r="D315" s="67" t="s">
        <v>5274</v>
      </c>
    </row>
    <row r="316" spans="1:4" ht="15">
      <c r="A316" s="316" t="s">
        <v>4045</v>
      </c>
      <c r="B316" s="316" t="s">
        <v>3390</v>
      </c>
      <c r="C316" s="316" t="s">
        <v>4921</v>
      </c>
      <c r="D316" s="67" t="s">
        <v>5275</v>
      </c>
    </row>
    <row r="317" spans="1:4" ht="15">
      <c r="A317" s="316" t="s">
        <v>4046</v>
      </c>
      <c r="B317" s="316" t="s">
        <v>3391</v>
      </c>
      <c r="C317" s="316" t="s">
        <v>4922</v>
      </c>
      <c r="D317" s="67" t="s">
        <v>5276</v>
      </c>
    </row>
    <row r="318" spans="1:4" ht="15">
      <c r="A318" s="316" t="s">
        <v>4047</v>
      </c>
      <c r="B318" s="316" t="s">
        <v>3392</v>
      </c>
      <c r="C318" s="316" t="s">
        <v>4923</v>
      </c>
      <c r="D318" s="67" t="s">
        <v>5277</v>
      </c>
    </row>
    <row r="319" spans="1:4" ht="15">
      <c r="A319" s="316" t="s">
        <v>4048</v>
      </c>
      <c r="B319" s="316" t="s">
        <v>3393</v>
      </c>
      <c r="C319" s="316" t="s">
        <v>4924</v>
      </c>
      <c r="D319" s="67" t="s">
        <v>5278</v>
      </c>
    </row>
    <row r="320" spans="1:4" ht="15">
      <c r="A320" s="316" t="s">
        <v>4049</v>
      </c>
      <c r="B320" s="316" t="s">
        <v>3394</v>
      </c>
      <c r="C320" s="316" t="s">
        <v>4925</v>
      </c>
      <c r="D320" s="67" t="s">
        <v>5279</v>
      </c>
    </row>
    <row r="321" spans="1:4" ht="15">
      <c r="A321" s="316" t="s">
        <v>4050</v>
      </c>
      <c r="B321" s="316" t="s">
        <v>3395</v>
      </c>
      <c r="C321" s="316" t="s">
        <v>4926</v>
      </c>
      <c r="D321" s="67" t="s">
        <v>5280</v>
      </c>
    </row>
    <row r="322" spans="1:4" ht="15">
      <c r="A322" s="316" t="s">
        <v>4051</v>
      </c>
      <c r="B322" s="316" t="s">
        <v>3396</v>
      </c>
      <c r="C322" s="316" t="s">
        <v>4927</v>
      </c>
      <c r="D322" s="67" t="s">
        <v>5281</v>
      </c>
    </row>
    <row r="323" spans="1:4" ht="15">
      <c r="A323" s="316" t="s">
        <v>4052</v>
      </c>
      <c r="B323" s="316" t="s">
        <v>3397</v>
      </c>
      <c r="C323" s="316" t="s">
        <v>4928</v>
      </c>
      <c r="D323" s="67" t="s">
        <v>5282</v>
      </c>
    </row>
    <row r="324" spans="1:4" ht="15">
      <c r="A324" s="316" t="s">
        <v>4053</v>
      </c>
      <c r="B324" s="316" t="s">
        <v>3398</v>
      </c>
      <c r="C324" s="316" t="s">
        <v>4929</v>
      </c>
      <c r="D324" s="67" t="s">
        <v>5283</v>
      </c>
    </row>
    <row r="325" spans="1:4" ht="15">
      <c r="A325" s="316" t="s">
        <v>4054</v>
      </c>
      <c r="B325" s="316" t="s">
        <v>3399</v>
      </c>
      <c r="C325" s="316" t="s">
        <v>4930</v>
      </c>
      <c r="D325" s="67" t="s">
        <v>5284</v>
      </c>
    </row>
    <row r="326" spans="1:4" ht="15">
      <c r="A326" s="316" t="s">
        <v>4055</v>
      </c>
      <c r="B326" s="316" t="s">
        <v>3400</v>
      </c>
      <c r="C326" s="316" t="s">
        <v>4931</v>
      </c>
      <c r="D326" s="67" t="s">
        <v>5285</v>
      </c>
    </row>
    <row r="327" spans="1:4" ht="15">
      <c r="A327" s="316" t="s">
        <v>4056</v>
      </c>
      <c r="B327" s="316" t="s">
        <v>3401</v>
      </c>
      <c r="C327" s="316" t="s">
        <v>4932</v>
      </c>
      <c r="D327" s="67" t="s">
        <v>5286</v>
      </c>
    </row>
    <row r="328" spans="1:4" ht="15">
      <c r="A328" s="316" t="s">
        <v>4057</v>
      </c>
      <c r="B328" s="316" t="s">
        <v>3402</v>
      </c>
      <c r="C328" s="316" t="s">
        <v>4933</v>
      </c>
      <c r="D328" s="67" t="s">
        <v>5287</v>
      </c>
    </row>
    <row r="329" spans="1:4" ht="15">
      <c r="A329" s="316" t="s">
        <v>4058</v>
      </c>
      <c r="B329" s="316" t="s">
        <v>3403</v>
      </c>
      <c r="C329" s="316" t="s">
        <v>4934</v>
      </c>
      <c r="D329" s="67" t="s">
        <v>5288</v>
      </c>
    </row>
    <row r="330" spans="1:4" ht="15">
      <c r="A330" s="316" t="s">
        <v>4059</v>
      </c>
      <c r="B330" s="316" t="s">
        <v>3404</v>
      </c>
      <c r="C330" s="316" t="s">
        <v>4935</v>
      </c>
      <c r="D330" s="67" t="s">
        <v>5289</v>
      </c>
    </row>
    <row r="331" spans="1:4" ht="15">
      <c r="A331" s="316" t="s">
        <v>4060</v>
      </c>
      <c r="B331" s="316" t="s">
        <v>3405</v>
      </c>
      <c r="C331" s="316" t="s">
        <v>4936</v>
      </c>
      <c r="D331" s="67" t="s">
        <v>5290</v>
      </c>
    </row>
    <row r="332" spans="1:4" ht="15">
      <c r="A332" s="316" t="s">
        <v>4061</v>
      </c>
      <c r="B332" s="316" t="s">
        <v>3406</v>
      </c>
      <c r="C332" s="316" t="s">
        <v>4937</v>
      </c>
      <c r="D332" s="67" t="s">
        <v>5291</v>
      </c>
    </row>
    <row r="333" spans="1:4" ht="15">
      <c r="A333" s="316" t="s">
        <v>4062</v>
      </c>
      <c r="B333" s="316" t="s">
        <v>3407</v>
      </c>
      <c r="C333" s="316" t="s">
        <v>4938</v>
      </c>
      <c r="D333" s="67" t="s">
        <v>5292</v>
      </c>
    </row>
    <row r="334" spans="1:4" ht="15">
      <c r="A334" s="316" t="s">
        <v>4063</v>
      </c>
      <c r="B334" s="316" t="s">
        <v>3408</v>
      </c>
      <c r="C334" s="316" t="s">
        <v>4939</v>
      </c>
      <c r="D334" s="67" t="s">
        <v>5293</v>
      </c>
    </row>
    <row r="335" spans="1:4" ht="15">
      <c r="A335" s="316" t="s">
        <v>4064</v>
      </c>
      <c r="B335" s="316" t="s">
        <v>3409</v>
      </c>
      <c r="C335" s="316" t="s">
        <v>4940</v>
      </c>
      <c r="D335" s="67" t="s">
        <v>5294</v>
      </c>
    </row>
    <row r="336" spans="1:4" ht="15">
      <c r="A336" s="316" t="s">
        <v>4065</v>
      </c>
      <c r="B336" s="316" t="s">
        <v>3410</v>
      </c>
      <c r="C336" s="316" t="s">
        <v>4941</v>
      </c>
      <c r="D336" s="67" t="s">
        <v>5295</v>
      </c>
    </row>
    <row r="337" spans="1:4" ht="15">
      <c r="A337" s="316" t="s">
        <v>4066</v>
      </c>
      <c r="B337" s="316" t="s">
        <v>3411</v>
      </c>
      <c r="C337" s="316" t="s">
        <v>4942</v>
      </c>
      <c r="D337" s="67" t="s">
        <v>5296</v>
      </c>
    </row>
    <row r="338" spans="1:4" ht="15">
      <c r="A338" s="316" t="s">
        <v>4067</v>
      </c>
      <c r="B338" s="316" t="s">
        <v>3412</v>
      </c>
      <c r="C338" s="316" t="s">
        <v>4943</v>
      </c>
      <c r="D338" s="67" t="s">
        <v>5297</v>
      </c>
    </row>
    <row r="339" spans="1:4" ht="15">
      <c r="A339" s="316" t="s">
        <v>4068</v>
      </c>
      <c r="B339" s="316" t="s">
        <v>3413</v>
      </c>
      <c r="C339" s="316" t="s">
        <v>4944</v>
      </c>
      <c r="D339" s="67" t="s">
        <v>5298</v>
      </c>
    </row>
    <row r="340" spans="1:4" ht="15">
      <c r="A340" s="316" t="s">
        <v>4069</v>
      </c>
      <c r="B340" s="316" t="s">
        <v>3414</v>
      </c>
      <c r="C340" s="316" t="s">
        <v>4945</v>
      </c>
      <c r="D340" s="67" t="s">
        <v>5299</v>
      </c>
    </row>
    <row r="341" spans="1:4" ht="15">
      <c r="A341" s="316" t="s">
        <v>4070</v>
      </c>
      <c r="B341" s="316" t="s">
        <v>3415</v>
      </c>
      <c r="C341" s="316" t="s">
        <v>4946</v>
      </c>
      <c r="D341" s="67" t="s">
        <v>5300</v>
      </c>
    </row>
    <row r="342" spans="1:4" ht="15">
      <c r="A342" s="316" t="s">
        <v>4071</v>
      </c>
      <c r="B342" s="316" t="s">
        <v>3416</v>
      </c>
      <c r="C342" s="316" t="s">
        <v>4947</v>
      </c>
      <c r="D342" s="467" t="s">
        <v>3416</v>
      </c>
    </row>
    <row r="343" spans="1:4" ht="15">
      <c r="A343" s="316" t="s">
        <v>4072</v>
      </c>
      <c r="B343" s="316" t="s">
        <v>3417</v>
      </c>
      <c r="C343" s="316" t="s">
        <v>4948</v>
      </c>
      <c r="D343" s="67" t="s">
        <v>5301</v>
      </c>
    </row>
    <row r="344" spans="1:4" ht="15">
      <c r="A344" s="316" t="s">
        <v>4073</v>
      </c>
      <c r="B344" s="316" t="s">
        <v>3418</v>
      </c>
      <c r="C344" s="316" t="s">
        <v>4949</v>
      </c>
      <c r="D344" s="67" t="s">
        <v>5302</v>
      </c>
    </row>
    <row r="345" spans="1:4" ht="15">
      <c r="A345" s="316" t="s">
        <v>4074</v>
      </c>
      <c r="B345" s="316" t="s">
        <v>3419</v>
      </c>
      <c r="C345" s="316" t="s">
        <v>4950</v>
      </c>
      <c r="D345" s="67" t="s">
        <v>5303</v>
      </c>
    </row>
    <row r="346" spans="1:4" ht="15">
      <c r="A346" s="316" t="s">
        <v>4075</v>
      </c>
      <c r="B346" s="316" t="s">
        <v>3420</v>
      </c>
      <c r="C346" s="316" t="s">
        <v>4951</v>
      </c>
      <c r="D346" s="67" t="s">
        <v>5304</v>
      </c>
    </row>
    <row r="347" spans="1:4" ht="15">
      <c r="A347" s="316" t="s">
        <v>4076</v>
      </c>
      <c r="B347" s="316" t="s">
        <v>3421</v>
      </c>
      <c r="C347" s="316" t="s">
        <v>4952</v>
      </c>
      <c r="D347" s="67" t="s">
        <v>5305</v>
      </c>
    </row>
    <row r="348" spans="1:4" ht="15">
      <c r="A348" s="316" t="s">
        <v>4077</v>
      </c>
      <c r="B348" s="316" t="s">
        <v>3422</v>
      </c>
      <c r="C348" s="316" t="s">
        <v>3422</v>
      </c>
      <c r="D348" s="467" t="s">
        <v>3422</v>
      </c>
    </row>
    <row r="349" spans="1:4" ht="15">
      <c r="A349" s="316" t="s">
        <v>4078</v>
      </c>
      <c r="B349" s="316" t="s">
        <v>3423</v>
      </c>
      <c r="C349" s="316" t="s">
        <v>4953</v>
      </c>
      <c r="D349" s="467" t="s">
        <v>3423</v>
      </c>
    </row>
    <row r="350" spans="1:4" ht="15">
      <c r="A350" s="316" t="s">
        <v>4079</v>
      </c>
      <c r="B350" s="316" t="s">
        <v>3424</v>
      </c>
      <c r="C350" s="316" t="s">
        <v>4954</v>
      </c>
      <c r="D350" s="67" t="s">
        <v>5306</v>
      </c>
    </row>
    <row r="351" spans="1:4" ht="15">
      <c r="A351" s="316" t="s">
        <v>4080</v>
      </c>
      <c r="B351" s="316" t="s">
        <v>3425</v>
      </c>
      <c r="C351" s="316" t="s">
        <v>4955</v>
      </c>
      <c r="D351" s="67" t="s">
        <v>5307</v>
      </c>
    </row>
    <row r="352" spans="1:4" ht="15">
      <c r="A352" s="316" t="s">
        <v>4081</v>
      </c>
      <c r="B352" s="316" t="s">
        <v>3426</v>
      </c>
      <c r="C352" s="316" t="s">
        <v>4956</v>
      </c>
      <c r="D352" s="67" t="s">
        <v>5308</v>
      </c>
    </row>
    <row r="353" spans="1:4" ht="15">
      <c r="A353" s="316" t="s">
        <v>4082</v>
      </c>
      <c r="B353" s="316" t="s">
        <v>3427</v>
      </c>
      <c r="C353" s="316" t="s">
        <v>4957</v>
      </c>
      <c r="D353" s="467" t="s">
        <v>3427</v>
      </c>
    </row>
    <row r="354" spans="1:4" ht="15">
      <c r="A354" s="316" t="s">
        <v>4083</v>
      </c>
      <c r="B354" s="316" t="s">
        <v>3428</v>
      </c>
      <c r="C354" s="316" t="s">
        <v>4958</v>
      </c>
      <c r="D354" s="467" t="s">
        <v>3428</v>
      </c>
    </row>
    <row r="355" spans="1:4" ht="15">
      <c r="A355" s="316" t="s">
        <v>4084</v>
      </c>
      <c r="B355" s="316" t="s">
        <v>3429</v>
      </c>
      <c r="C355" s="318" t="s">
        <v>3429</v>
      </c>
      <c r="D355" s="467" t="s">
        <v>3429</v>
      </c>
    </row>
    <row r="356" spans="1:4" ht="15">
      <c r="A356" s="316" t="s">
        <v>4085</v>
      </c>
      <c r="B356" s="316" t="s">
        <v>3430</v>
      </c>
      <c r="C356" s="316" t="s">
        <v>4959</v>
      </c>
      <c r="D356" s="67" t="s">
        <v>5309</v>
      </c>
    </row>
    <row r="357" spans="1:4" ht="15">
      <c r="A357" s="316" t="s">
        <v>4086</v>
      </c>
      <c r="B357" s="316" t="s">
        <v>3431</v>
      </c>
      <c r="C357" s="316" t="s">
        <v>4960</v>
      </c>
      <c r="D357" s="467" t="s">
        <v>3431</v>
      </c>
    </row>
    <row r="358" spans="1:4" ht="15">
      <c r="A358" s="316" t="s">
        <v>4087</v>
      </c>
      <c r="B358" s="316" t="s">
        <v>3432</v>
      </c>
      <c r="C358" s="316" t="s">
        <v>4961</v>
      </c>
      <c r="D358" s="467" t="s">
        <v>3432</v>
      </c>
    </row>
    <row r="359" spans="1:4" ht="15">
      <c r="A359" s="316" t="s">
        <v>4088</v>
      </c>
      <c r="B359" s="316" t="s">
        <v>3433</v>
      </c>
      <c r="C359" s="316" t="s">
        <v>4962</v>
      </c>
      <c r="D359" s="467" t="s">
        <v>3433</v>
      </c>
    </row>
    <row r="360" spans="1:4" ht="15">
      <c r="A360" s="316" t="s">
        <v>4089</v>
      </c>
      <c r="B360" s="316" t="s">
        <v>3434</v>
      </c>
      <c r="C360" s="316" t="s">
        <v>4963</v>
      </c>
      <c r="D360" s="467" t="s">
        <v>3434</v>
      </c>
    </row>
    <row r="361" spans="1:4" ht="15">
      <c r="A361" s="316" t="s">
        <v>4090</v>
      </c>
      <c r="B361" s="316" t="s">
        <v>3435</v>
      </c>
      <c r="C361" s="316" t="s">
        <v>4964</v>
      </c>
      <c r="D361" s="467" t="s">
        <v>3435</v>
      </c>
    </row>
    <row r="362" spans="1:4" ht="15">
      <c r="A362" s="316" t="s">
        <v>4091</v>
      </c>
      <c r="B362" s="316" t="s">
        <v>3436</v>
      </c>
      <c r="C362" s="316" t="s">
        <v>4965</v>
      </c>
      <c r="D362" s="67" t="s">
        <v>5310</v>
      </c>
    </row>
    <row r="363" spans="1:4" ht="15">
      <c r="A363" s="316" t="s">
        <v>4092</v>
      </c>
      <c r="B363" s="316" t="s">
        <v>3437</v>
      </c>
      <c r="C363" s="316" t="s">
        <v>4966</v>
      </c>
      <c r="D363" s="467" t="s">
        <v>3437</v>
      </c>
    </row>
    <row r="364" spans="1:4" ht="15">
      <c r="A364" s="316" t="s">
        <v>4093</v>
      </c>
      <c r="B364" s="316" t="s">
        <v>3438</v>
      </c>
      <c r="C364" s="316" t="s">
        <v>4967</v>
      </c>
      <c r="D364" s="67" t="s">
        <v>5311</v>
      </c>
    </row>
    <row r="365" spans="1:4" ht="15">
      <c r="A365" s="316" t="s">
        <v>4094</v>
      </c>
      <c r="B365" s="316" t="s">
        <v>3439</v>
      </c>
      <c r="C365" s="316" t="s">
        <v>4968</v>
      </c>
      <c r="D365" s="467" t="s">
        <v>3439</v>
      </c>
    </row>
    <row r="366" spans="1:4" ht="15">
      <c r="A366" s="316" t="s">
        <v>4095</v>
      </c>
      <c r="B366" s="316" t="s">
        <v>3440</v>
      </c>
      <c r="C366" s="316" t="s">
        <v>4969</v>
      </c>
      <c r="D366" s="467" t="s">
        <v>3440</v>
      </c>
    </row>
    <row r="367" spans="1:4" ht="15">
      <c r="A367" s="316" t="s">
        <v>4096</v>
      </c>
      <c r="B367" s="316" t="s">
        <v>3441</v>
      </c>
      <c r="C367" s="316" t="s">
        <v>4970</v>
      </c>
      <c r="D367" s="467" t="s">
        <v>3441</v>
      </c>
    </row>
    <row r="368" spans="1:4" ht="15">
      <c r="A368" s="316" t="s">
        <v>4097</v>
      </c>
      <c r="B368" s="316" t="s">
        <v>3442</v>
      </c>
      <c r="C368" s="316" t="s">
        <v>4971</v>
      </c>
      <c r="D368" s="67" t="s">
        <v>5312</v>
      </c>
    </row>
    <row r="369" spans="1:4" ht="15">
      <c r="A369" s="316" t="s">
        <v>4098</v>
      </c>
      <c r="B369" s="316" t="s">
        <v>3443</v>
      </c>
      <c r="C369" s="316" t="s">
        <v>4972</v>
      </c>
      <c r="D369" s="67" t="s">
        <v>5313</v>
      </c>
    </row>
    <row r="370" spans="1:4" ht="15">
      <c r="A370" s="316" t="s">
        <v>4099</v>
      </c>
      <c r="B370" s="316" t="s">
        <v>3444</v>
      </c>
      <c r="C370" s="316" t="s">
        <v>4973</v>
      </c>
      <c r="D370" s="467" t="s">
        <v>3444</v>
      </c>
    </row>
    <row r="371" spans="1:4" ht="15">
      <c r="A371" s="316" t="s">
        <v>4100</v>
      </c>
      <c r="B371" s="316" t="s">
        <v>3445</v>
      </c>
      <c r="C371" s="316" t="s">
        <v>4974</v>
      </c>
      <c r="D371" s="67" t="s">
        <v>5314</v>
      </c>
    </row>
    <row r="372" spans="1:4" ht="15">
      <c r="A372" s="316" t="s">
        <v>4101</v>
      </c>
      <c r="B372" s="316" t="s">
        <v>3446</v>
      </c>
      <c r="C372" s="316" t="s">
        <v>4975</v>
      </c>
      <c r="D372" s="67" t="s">
        <v>5315</v>
      </c>
    </row>
    <row r="373" spans="1:4" ht="15">
      <c r="A373" s="316" t="s">
        <v>4102</v>
      </c>
      <c r="B373" s="316" t="s">
        <v>3447</v>
      </c>
      <c r="C373" s="318" t="s">
        <v>3447</v>
      </c>
      <c r="D373" s="467" t="s">
        <v>3447</v>
      </c>
    </row>
    <row r="374" spans="1:4" ht="15">
      <c r="A374" s="316" t="s">
        <v>4103</v>
      </c>
      <c r="B374" s="316" t="s">
        <v>3448</v>
      </c>
      <c r="C374" s="316" t="s">
        <v>4976</v>
      </c>
      <c r="D374" s="67" t="s">
        <v>5316</v>
      </c>
    </row>
    <row r="375" spans="1:4" ht="15">
      <c r="A375" s="316" t="s">
        <v>4104</v>
      </c>
      <c r="B375" s="316" t="s">
        <v>3449</v>
      </c>
      <c r="C375" s="316" t="s">
        <v>4977</v>
      </c>
      <c r="D375" s="67" t="s">
        <v>5317</v>
      </c>
    </row>
    <row r="376" spans="1:4" ht="15">
      <c r="A376" s="316" t="s">
        <v>4105</v>
      </c>
      <c r="B376" s="316" t="s">
        <v>3450</v>
      </c>
      <c r="C376" s="316" t="s">
        <v>4978</v>
      </c>
      <c r="D376" s="67" t="s">
        <v>5318</v>
      </c>
    </row>
    <row r="377" spans="1:4" ht="15">
      <c r="A377" s="316" t="s">
        <v>4106</v>
      </c>
      <c r="B377" s="316" t="s">
        <v>3451</v>
      </c>
      <c r="C377" s="316" t="s">
        <v>4979</v>
      </c>
      <c r="D377" s="467" t="s">
        <v>3451</v>
      </c>
    </row>
    <row r="378" spans="1:4" ht="15">
      <c r="A378" s="316" t="s">
        <v>4107</v>
      </c>
      <c r="B378" s="316" t="s">
        <v>3452</v>
      </c>
      <c r="C378" s="316" t="s">
        <v>4980</v>
      </c>
      <c r="D378" s="467" t="s">
        <v>3452</v>
      </c>
    </row>
    <row r="379" spans="1:4" ht="15">
      <c r="A379" s="316" t="s">
        <v>4108</v>
      </c>
      <c r="B379" s="316" t="s">
        <v>3453</v>
      </c>
      <c r="C379" s="316" t="s">
        <v>4981</v>
      </c>
      <c r="D379" s="67" t="s">
        <v>5319</v>
      </c>
    </row>
    <row r="380" spans="1:4" ht="15">
      <c r="A380" s="316" t="s">
        <v>4109</v>
      </c>
      <c r="B380" s="316" t="s">
        <v>3454</v>
      </c>
      <c r="C380" s="316" t="s">
        <v>4982</v>
      </c>
      <c r="D380" s="467" t="s">
        <v>3454</v>
      </c>
    </row>
    <row r="381" spans="1:4" ht="15">
      <c r="A381" s="316" t="s">
        <v>4110</v>
      </c>
      <c r="B381" s="316" t="s">
        <v>3455</v>
      </c>
      <c r="C381" s="316" t="s">
        <v>4983</v>
      </c>
      <c r="D381" s="67" t="s">
        <v>5320</v>
      </c>
    </row>
    <row r="382" spans="1:4" ht="15">
      <c r="A382" s="316" t="s">
        <v>4111</v>
      </c>
      <c r="B382" s="316" t="s">
        <v>3456</v>
      </c>
      <c r="C382" s="316" t="s">
        <v>4984</v>
      </c>
      <c r="D382" s="67" t="s">
        <v>5321</v>
      </c>
    </row>
    <row r="383" spans="1:4" ht="15">
      <c r="A383" s="316" t="s">
        <v>4112</v>
      </c>
      <c r="B383" s="316" t="s">
        <v>3457</v>
      </c>
      <c r="C383" s="316" t="s">
        <v>4985</v>
      </c>
      <c r="D383" s="67" t="s">
        <v>5322</v>
      </c>
    </row>
    <row r="384" spans="1:4" ht="15">
      <c r="A384" s="316" t="s">
        <v>4113</v>
      </c>
      <c r="B384" s="316" t="s">
        <v>3458</v>
      </c>
      <c r="C384" s="316" t="s">
        <v>4986</v>
      </c>
      <c r="D384" s="67" t="s">
        <v>5323</v>
      </c>
    </row>
    <row r="385" spans="1:4" ht="15">
      <c r="A385" s="316" t="s">
        <v>4114</v>
      </c>
      <c r="B385" s="316" t="s">
        <v>3459</v>
      </c>
      <c r="C385" s="316" t="s">
        <v>4987</v>
      </c>
      <c r="D385" s="467" t="s">
        <v>3459</v>
      </c>
    </row>
    <row r="386" spans="1:4" ht="15">
      <c r="A386" s="316" t="s">
        <v>4115</v>
      </c>
      <c r="B386" s="316" t="s">
        <v>3460</v>
      </c>
      <c r="C386" s="316" t="s">
        <v>4988</v>
      </c>
      <c r="D386" s="67" t="s">
        <v>5324</v>
      </c>
    </row>
    <row r="387" spans="1:4" ht="15">
      <c r="A387" s="316" t="s">
        <v>4116</v>
      </c>
      <c r="B387" s="316" t="s">
        <v>3461</v>
      </c>
      <c r="C387" s="316" t="s">
        <v>4989</v>
      </c>
      <c r="D387" s="67" t="s">
        <v>5325</v>
      </c>
    </row>
    <row r="388" spans="1:4" ht="15">
      <c r="A388" s="316" t="s">
        <v>4117</v>
      </c>
      <c r="B388" s="316" t="s">
        <v>3462</v>
      </c>
      <c r="C388" s="316" t="s">
        <v>4990</v>
      </c>
      <c r="D388" s="67" t="s">
        <v>5326</v>
      </c>
    </row>
    <row r="389" spans="1:4" ht="15">
      <c r="A389" s="316" t="s">
        <v>4118</v>
      </c>
      <c r="B389" s="316" t="s">
        <v>3463</v>
      </c>
      <c r="C389" s="316" t="s">
        <v>4991</v>
      </c>
      <c r="D389" s="67" t="s">
        <v>5327</v>
      </c>
    </row>
    <row r="390" spans="1:4" ht="15">
      <c r="A390" s="316" t="s">
        <v>4119</v>
      </c>
      <c r="B390" s="316" t="s">
        <v>3464</v>
      </c>
      <c r="C390" s="316" t="s">
        <v>4992</v>
      </c>
      <c r="D390" s="67" t="s">
        <v>5328</v>
      </c>
    </row>
    <row r="391" spans="1:4" ht="15">
      <c r="A391" s="316" t="s">
        <v>4120</v>
      </c>
      <c r="B391" s="316" t="s">
        <v>3465</v>
      </c>
      <c r="C391" s="316" t="s">
        <v>4993</v>
      </c>
      <c r="D391" s="67" t="s">
        <v>5329</v>
      </c>
    </row>
    <row r="392" spans="1:4" ht="15">
      <c r="A392" s="316" t="s">
        <v>4121</v>
      </c>
      <c r="B392" s="316" t="s">
        <v>3466</v>
      </c>
      <c r="C392" s="316" t="s">
        <v>4994</v>
      </c>
      <c r="D392" s="67" t="s">
        <v>5330</v>
      </c>
    </row>
    <row r="393" spans="1:4" ht="15">
      <c r="A393" s="316" t="s">
        <v>4122</v>
      </c>
      <c r="B393" s="316" t="s">
        <v>3467</v>
      </c>
      <c r="C393" s="316" t="s">
        <v>4995</v>
      </c>
      <c r="D393" s="67" t="s">
        <v>5331</v>
      </c>
    </row>
    <row r="394" spans="1:4" ht="15">
      <c r="A394" s="316" t="s">
        <v>4123</v>
      </c>
      <c r="B394" s="316" t="s">
        <v>3468</v>
      </c>
      <c r="C394" s="318" t="s">
        <v>3468</v>
      </c>
      <c r="D394" s="67" t="s">
        <v>5332</v>
      </c>
    </row>
    <row r="395" spans="1:4" ht="15">
      <c r="A395" s="316" t="s">
        <v>4124</v>
      </c>
      <c r="B395" s="316" t="s">
        <v>3469</v>
      </c>
      <c r="C395" s="316" t="s">
        <v>4996</v>
      </c>
      <c r="D395" s="467" t="s">
        <v>3469</v>
      </c>
    </row>
    <row r="396" spans="1:4" ht="15">
      <c r="A396" s="316" t="s">
        <v>4125</v>
      </c>
      <c r="B396" s="316" t="s">
        <v>3470</v>
      </c>
      <c r="C396" s="318" t="s">
        <v>3470</v>
      </c>
      <c r="D396" s="467" t="s">
        <v>3470</v>
      </c>
    </row>
    <row r="397" spans="1:4" ht="15">
      <c r="A397" s="316" t="s">
        <v>4126</v>
      </c>
      <c r="B397" s="316" t="s">
        <v>3471</v>
      </c>
      <c r="C397" s="316" t="s">
        <v>4997</v>
      </c>
      <c r="D397" s="467" t="s">
        <v>3471</v>
      </c>
    </row>
    <row r="398" spans="1:4" ht="15">
      <c r="A398" s="316" t="s">
        <v>4127</v>
      </c>
      <c r="B398" s="316" t="s">
        <v>3472</v>
      </c>
      <c r="C398" s="316" t="s">
        <v>4998</v>
      </c>
      <c r="D398" s="467" t="s">
        <v>3472</v>
      </c>
    </row>
    <row r="399" spans="1:4" ht="15">
      <c r="A399" s="316" t="s">
        <v>4128</v>
      </c>
      <c r="B399" s="316" t="s">
        <v>3473</v>
      </c>
      <c r="C399" s="318" t="s">
        <v>3473</v>
      </c>
      <c r="D399" s="467" t="s">
        <v>3473</v>
      </c>
    </row>
    <row r="400" spans="1:4" ht="15">
      <c r="A400" s="316" t="s">
        <v>4129</v>
      </c>
      <c r="B400" s="316" t="s">
        <v>3474</v>
      </c>
      <c r="C400" s="316" t="s">
        <v>4999</v>
      </c>
      <c r="D400" s="467" t="s">
        <v>3474</v>
      </c>
    </row>
    <row r="401" spans="1:4" ht="15">
      <c r="A401" s="316" t="s">
        <v>4130</v>
      </c>
      <c r="B401" s="316" t="s">
        <v>3475</v>
      </c>
      <c r="C401" s="316" t="s">
        <v>5000</v>
      </c>
      <c r="D401" s="67" t="s">
        <v>5333</v>
      </c>
    </row>
    <row r="402" spans="1:4" ht="15">
      <c r="A402" s="316" t="s">
        <v>4131</v>
      </c>
      <c r="B402" s="316" t="s">
        <v>3476</v>
      </c>
      <c r="C402" s="316" t="s">
        <v>5001</v>
      </c>
      <c r="D402" s="67" t="s">
        <v>5334</v>
      </c>
    </row>
    <row r="403" spans="1:4" ht="15">
      <c r="A403" s="316" t="s">
        <v>4132</v>
      </c>
      <c r="B403" s="316" t="s">
        <v>3477</v>
      </c>
      <c r="C403" s="316" t="s">
        <v>5002</v>
      </c>
      <c r="D403" s="67" t="s">
        <v>5335</v>
      </c>
    </row>
    <row r="404" spans="1:4" ht="15">
      <c r="A404" s="316" t="s">
        <v>4133</v>
      </c>
      <c r="B404" s="316" t="s">
        <v>3478</v>
      </c>
      <c r="C404" s="316" t="s">
        <v>5003</v>
      </c>
      <c r="D404" s="67" t="s">
        <v>5336</v>
      </c>
    </row>
    <row r="405" spans="1:4" ht="15">
      <c r="A405" s="316" t="s">
        <v>4134</v>
      </c>
      <c r="B405" s="316" t="s">
        <v>3479</v>
      </c>
      <c r="C405" s="316" t="s">
        <v>5004</v>
      </c>
      <c r="D405" s="467" t="s">
        <v>3479</v>
      </c>
    </row>
    <row r="406" spans="1:4" ht="15">
      <c r="A406" s="316" t="s">
        <v>4135</v>
      </c>
      <c r="B406" s="316" t="s">
        <v>3480</v>
      </c>
      <c r="C406" s="316" t="s">
        <v>5005</v>
      </c>
      <c r="D406" s="67" t="s">
        <v>5337</v>
      </c>
    </row>
    <row r="407" spans="1:4" ht="15">
      <c r="A407" s="316" t="s">
        <v>4136</v>
      </c>
      <c r="B407" s="316" t="s">
        <v>3481</v>
      </c>
      <c r="C407" s="316" t="s">
        <v>5006</v>
      </c>
      <c r="D407" s="67" t="s">
        <v>5338</v>
      </c>
    </row>
    <row r="408" spans="1:4" ht="15">
      <c r="A408" s="316" t="s">
        <v>4137</v>
      </c>
      <c r="B408" s="316" t="s">
        <v>3482</v>
      </c>
      <c r="C408" s="316" t="s">
        <v>5007</v>
      </c>
      <c r="D408" s="67" t="s">
        <v>5339</v>
      </c>
    </row>
    <row r="409" spans="1:4" ht="15">
      <c r="A409" s="316" t="s">
        <v>4138</v>
      </c>
      <c r="B409" s="316" t="s">
        <v>3483</v>
      </c>
      <c r="C409" s="318" t="s">
        <v>3483</v>
      </c>
      <c r="D409" s="67" t="s">
        <v>5340</v>
      </c>
    </row>
    <row r="410" spans="1:4" ht="15">
      <c r="A410" s="316" t="s">
        <v>4139</v>
      </c>
      <c r="B410" s="316" t="s">
        <v>3484</v>
      </c>
      <c r="C410" s="316" t="s">
        <v>5008</v>
      </c>
      <c r="D410" s="467" t="s">
        <v>3484</v>
      </c>
    </row>
    <row r="411" spans="1:4" ht="15">
      <c r="A411" s="316" t="s">
        <v>4140</v>
      </c>
      <c r="B411" s="316" t="s">
        <v>3485</v>
      </c>
      <c r="C411" s="318" t="s">
        <v>3485</v>
      </c>
      <c r="D411" s="467" t="s">
        <v>3485</v>
      </c>
    </row>
    <row r="412" spans="1:4" ht="15">
      <c r="A412" s="316" t="s">
        <v>4141</v>
      </c>
      <c r="B412" s="316" t="s">
        <v>3486</v>
      </c>
      <c r="C412" s="316" t="s">
        <v>5009</v>
      </c>
      <c r="D412" s="467" t="s">
        <v>3486</v>
      </c>
    </row>
    <row r="413" spans="1:4" ht="15">
      <c r="A413" s="316" t="s">
        <v>4142</v>
      </c>
      <c r="B413" s="316" t="s">
        <v>3487</v>
      </c>
      <c r="C413" s="316" t="s">
        <v>5010</v>
      </c>
      <c r="D413" s="467" t="s">
        <v>3487</v>
      </c>
    </row>
    <row r="414" spans="1:4" ht="15">
      <c r="A414" s="316" t="s">
        <v>4143</v>
      </c>
      <c r="B414" s="316" t="s">
        <v>3488</v>
      </c>
      <c r="C414" s="316" t="s">
        <v>5011</v>
      </c>
      <c r="D414" s="467" t="s">
        <v>3488</v>
      </c>
    </row>
    <row r="415" spans="1:4" ht="15">
      <c r="A415" s="316" t="s">
        <v>4144</v>
      </c>
      <c r="B415" s="316" t="s">
        <v>3489</v>
      </c>
      <c r="C415" s="316" t="s">
        <v>5012</v>
      </c>
      <c r="D415" s="467" t="s">
        <v>3489</v>
      </c>
    </row>
    <row r="416" spans="1:4" ht="15">
      <c r="A416" s="316" t="s">
        <v>4145</v>
      </c>
      <c r="B416" s="316" t="s">
        <v>3490</v>
      </c>
      <c r="C416" s="316" t="s">
        <v>5013</v>
      </c>
      <c r="D416" s="467" t="s">
        <v>3490</v>
      </c>
    </row>
    <row r="417" spans="1:4" ht="15">
      <c r="A417" s="316" t="s">
        <v>4146</v>
      </c>
      <c r="B417" s="316" t="s">
        <v>3491</v>
      </c>
      <c r="C417" s="316" t="s">
        <v>5014</v>
      </c>
      <c r="D417" s="67" t="s">
        <v>5341</v>
      </c>
    </row>
    <row r="418" spans="1:4" ht="15">
      <c r="A418" s="316" t="s">
        <v>4147</v>
      </c>
      <c r="B418" s="316" t="s">
        <v>3492</v>
      </c>
      <c r="C418" s="316" t="s">
        <v>5015</v>
      </c>
      <c r="D418" s="467" t="s">
        <v>3492</v>
      </c>
    </row>
    <row r="419" spans="1:4" ht="15">
      <c r="A419" s="316" t="s">
        <v>4148</v>
      </c>
      <c r="B419" s="316" t="s">
        <v>3493</v>
      </c>
      <c r="C419" s="316" t="s">
        <v>5016</v>
      </c>
      <c r="D419" s="467" t="s">
        <v>3493</v>
      </c>
    </row>
    <row r="420" spans="1:4" ht="15">
      <c r="A420" s="316" t="s">
        <v>4149</v>
      </c>
      <c r="B420" s="316" t="s">
        <v>3494</v>
      </c>
      <c r="C420" s="316" t="s">
        <v>5017</v>
      </c>
      <c r="D420" s="67" t="s">
        <v>5342</v>
      </c>
    </row>
    <row r="421" spans="1:4" ht="15">
      <c r="A421" s="316" t="s">
        <v>4150</v>
      </c>
      <c r="B421" s="316" t="s">
        <v>3495</v>
      </c>
      <c r="C421" s="316" t="s">
        <v>5018</v>
      </c>
      <c r="D421" s="467" t="s">
        <v>3495</v>
      </c>
    </row>
    <row r="422" spans="1:4" ht="15">
      <c r="A422" s="316" t="s">
        <v>4151</v>
      </c>
      <c r="B422" s="316" t="s">
        <v>3496</v>
      </c>
      <c r="C422" s="316" t="s">
        <v>5019</v>
      </c>
      <c r="D422" s="67" t="s">
        <v>5343</v>
      </c>
    </row>
    <row r="423" spans="1:4" ht="15">
      <c r="A423" s="316" t="s">
        <v>4152</v>
      </c>
      <c r="B423" s="316" t="s">
        <v>3497</v>
      </c>
      <c r="C423" s="316" t="s">
        <v>5020</v>
      </c>
      <c r="D423" s="67" t="s">
        <v>5344</v>
      </c>
    </row>
    <row r="424" spans="1:4" ht="15">
      <c r="A424" s="316" t="s">
        <v>4153</v>
      </c>
      <c r="B424" s="316" t="s">
        <v>3498</v>
      </c>
      <c r="C424" s="316" t="s">
        <v>5021</v>
      </c>
      <c r="D424" s="67" t="s">
        <v>5345</v>
      </c>
    </row>
    <row r="425" spans="1:4" ht="15">
      <c r="A425" s="316" t="s">
        <v>4154</v>
      </c>
      <c r="B425" s="316" t="s">
        <v>3499</v>
      </c>
      <c r="C425" s="316" t="s">
        <v>5022</v>
      </c>
      <c r="D425" s="467" t="s">
        <v>3499</v>
      </c>
    </row>
    <row r="426" spans="1:4" ht="15">
      <c r="A426" s="316" t="s">
        <v>4155</v>
      </c>
      <c r="B426" s="316" t="s">
        <v>3500</v>
      </c>
      <c r="C426" s="316" t="s">
        <v>5023</v>
      </c>
      <c r="D426" s="467" t="s">
        <v>3500</v>
      </c>
    </row>
    <row r="427" spans="1:4" ht="15">
      <c r="A427" s="316" t="s">
        <v>4156</v>
      </c>
      <c r="B427" s="316" t="s">
        <v>3501</v>
      </c>
      <c r="C427" s="316" t="s">
        <v>5024</v>
      </c>
      <c r="D427" s="67" t="s">
        <v>5346</v>
      </c>
    </row>
    <row r="428" spans="1:4" ht="15">
      <c r="A428" s="316" t="s">
        <v>4157</v>
      </c>
      <c r="B428" s="316" t="s">
        <v>3502</v>
      </c>
      <c r="C428" s="316" t="s">
        <v>5025</v>
      </c>
      <c r="D428" s="67" t="s">
        <v>5347</v>
      </c>
    </row>
    <row r="429" spans="1:4" ht="15">
      <c r="A429" s="316" t="s">
        <v>4158</v>
      </c>
      <c r="B429" s="316" t="s">
        <v>3503</v>
      </c>
      <c r="C429" s="316" t="s">
        <v>3503</v>
      </c>
      <c r="D429" s="67" t="s">
        <v>5348</v>
      </c>
    </row>
    <row r="430" spans="1:4" ht="15">
      <c r="A430" s="316" t="s">
        <v>4159</v>
      </c>
      <c r="B430" s="316" t="s">
        <v>3504</v>
      </c>
      <c r="C430" s="316" t="s">
        <v>5026</v>
      </c>
      <c r="D430" s="467" t="s">
        <v>3504</v>
      </c>
    </row>
    <row r="431" spans="1:4" ht="15">
      <c r="A431" s="316" t="s">
        <v>4160</v>
      </c>
      <c r="B431" s="316" t="s">
        <v>3505</v>
      </c>
      <c r="C431" s="316" t="s">
        <v>5027</v>
      </c>
      <c r="D431" s="67" t="s">
        <v>5349</v>
      </c>
    </row>
    <row r="432" spans="1:4" ht="15">
      <c r="A432" s="316" t="s">
        <v>4161</v>
      </c>
      <c r="B432" s="316" t="s">
        <v>3506</v>
      </c>
      <c r="C432" s="318" t="s">
        <v>3506</v>
      </c>
      <c r="D432" s="67" t="s">
        <v>5350</v>
      </c>
    </row>
    <row r="433" spans="1:4" ht="15">
      <c r="A433" s="316" t="s">
        <v>4162</v>
      </c>
      <c r="B433" s="316" t="s">
        <v>3507</v>
      </c>
      <c r="C433" s="316" t="s">
        <v>5028</v>
      </c>
      <c r="D433" s="467" t="s">
        <v>3507</v>
      </c>
    </row>
    <row r="434" spans="1:4" ht="15">
      <c r="A434" s="316" t="s">
        <v>4163</v>
      </c>
      <c r="B434" s="316" t="s">
        <v>3508</v>
      </c>
      <c r="C434" s="316" t="s">
        <v>5029</v>
      </c>
      <c r="D434" s="67" t="s">
        <v>5351</v>
      </c>
    </row>
    <row r="435" spans="1:4" ht="15">
      <c r="A435" s="316" t="s">
        <v>4164</v>
      </c>
      <c r="B435" s="316" t="s">
        <v>3509</v>
      </c>
      <c r="C435" s="316" t="s">
        <v>5030</v>
      </c>
      <c r="D435" s="67" t="s">
        <v>5352</v>
      </c>
    </row>
    <row r="436" spans="1:4" ht="15">
      <c r="A436" s="316" t="s">
        <v>4165</v>
      </c>
      <c r="B436" s="316" t="s">
        <v>3510</v>
      </c>
      <c r="C436" s="316" t="s">
        <v>5031</v>
      </c>
      <c r="D436" s="67" t="s">
        <v>5353</v>
      </c>
    </row>
    <row r="437" spans="1:4" ht="15">
      <c r="A437" s="316" t="s">
        <v>4166</v>
      </c>
      <c r="B437" s="316" t="s">
        <v>3511</v>
      </c>
      <c r="C437" s="316" t="s">
        <v>5032</v>
      </c>
      <c r="D437" s="467" t="s">
        <v>3511</v>
      </c>
    </row>
    <row r="438" spans="1:4" ht="15">
      <c r="A438" s="316" t="s">
        <v>4167</v>
      </c>
      <c r="B438" s="316" t="s">
        <v>3512</v>
      </c>
      <c r="C438" s="316" t="s">
        <v>5033</v>
      </c>
      <c r="D438" s="467" t="s">
        <v>3512</v>
      </c>
    </row>
    <row r="439" spans="1:4" ht="15">
      <c r="A439" s="316" t="s">
        <v>4168</v>
      </c>
      <c r="B439" s="316" t="s">
        <v>3513</v>
      </c>
      <c r="C439" s="316" t="s">
        <v>5034</v>
      </c>
      <c r="D439" s="467" t="s">
        <v>3513</v>
      </c>
    </row>
    <row r="440" spans="1:4" ht="15">
      <c r="A440" s="316" t="s">
        <v>4169</v>
      </c>
      <c r="B440" s="316" t="s">
        <v>3514</v>
      </c>
      <c r="C440" s="316" t="s">
        <v>5035</v>
      </c>
      <c r="D440" s="67" t="s">
        <v>5354</v>
      </c>
    </row>
    <row r="441" spans="1:4" ht="15">
      <c r="A441" s="316" t="s">
        <v>4170</v>
      </c>
      <c r="B441" s="316" t="s">
        <v>3515</v>
      </c>
      <c r="C441" s="316" t="s">
        <v>5036</v>
      </c>
      <c r="D441" s="67" t="s">
        <v>5355</v>
      </c>
    </row>
    <row r="442" spans="1:4" ht="15">
      <c r="A442" s="316" t="s">
        <v>4171</v>
      </c>
      <c r="B442" s="316" t="s">
        <v>3516</v>
      </c>
      <c r="C442" s="318" t="s">
        <v>3516</v>
      </c>
      <c r="D442" s="67" t="s">
        <v>5356</v>
      </c>
    </row>
    <row r="443" spans="1:4" ht="15">
      <c r="A443" s="316" t="s">
        <v>4172</v>
      </c>
      <c r="B443" s="316" t="s">
        <v>3517</v>
      </c>
      <c r="C443" s="318" t="s">
        <v>3517</v>
      </c>
      <c r="D443" s="67" t="s">
        <v>5357</v>
      </c>
    </row>
    <row r="444" spans="1:4" ht="15">
      <c r="A444" s="316" t="s">
        <v>4173</v>
      </c>
      <c r="B444" s="316" t="s">
        <v>3518</v>
      </c>
      <c r="C444" s="318" t="s">
        <v>3518</v>
      </c>
      <c r="D444" s="467" t="s">
        <v>3518</v>
      </c>
    </row>
    <row r="445" spans="1:4" ht="15">
      <c r="A445" s="316" t="s">
        <v>4174</v>
      </c>
      <c r="B445" s="316" t="s">
        <v>3519</v>
      </c>
      <c r="C445" s="316" t="s">
        <v>5037</v>
      </c>
      <c r="D445" s="67" t="s">
        <v>5358</v>
      </c>
    </row>
    <row r="446" spans="1:4" ht="15">
      <c r="A446" s="316" t="s">
        <v>4175</v>
      </c>
      <c r="B446" s="316" t="s">
        <v>3520</v>
      </c>
      <c r="C446" s="316" t="s">
        <v>5038</v>
      </c>
      <c r="D446" s="67" t="s">
        <v>5359</v>
      </c>
    </row>
    <row r="447" spans="1:4" ht="15">
      <c r="A447" s="316" t="s">
        <v>4176</v>
      </c>
      <c r="B447" s="316" t="s">
        <v>3521</v>
      </c>
      <c r="C447" s="316" t="s">
        <v>5039</v>
      </c>
      <c r="D447" s="67" t="s">
        <v>5360</v>
      </c>
    </row>
    <row r="448" spans="1:4" ht="15">
      <c r="A448" s="316" t="s">
        <v>4177</v>
      </c>
      <c r="B448" s="316" t="s">
        <v>3522</v>
      </c>
      <c r="C448" s="316" t="s">
        <v>5040</v>
      </c>
      <c r="D448" s="67" t="s">
        <v>5361</v>
      </c>
    </row>
    <row r="449" spans="1:4" ht="15">
      <c r="A449" s="316" t="s">
        <v>4178</v>
      </c>
      <c r="B449" s="316" t="s">
        <v>3523</v>
      </c>
      <c r="C449" s="316" t="s">
        <v>5041</v>
      </c>
      <c r="D449" s="67" t="s">
        <v>5362</v>
      </c>
    </row>
    <row r="450" spans="1:4" ht="15">
      <c r="A450" s="316" t="s">
        <v>4179</v>
      </c>
      <c r="B450" s="316" t="s">
        <v>3524</v>
      </c>
      <c r="C450" s="316" t="s">
        <v>5042</v>
      </c>
      <c r="D450" s="67" t="s">
        <v>5363</v>
      </c>
    </row>
    <row r="451" spans="1:4" ht="15">
      <c r="A451" s="316" t="s">
        <v>4180</v>
      </c>
      <c r="B451" s="316" t="s">
        <v>3525</v>
      </c>
      <c r="C451" s="316" t="s">
        <v>5043</v>
      </c>
      <c r="D451" s="67" t="s">
        <v>5364</v>
      </c>
    </row>
    <row r="452" spans="1:4" ht="15">
      <c r="A452" s="316" t="s">
        <v>4181</v>
      </c>
      <c r="B452" s="316" t="s">
        <v>3526</v>
      </c>
      <c r="C452" s="316" t="s">
        <v>5044</v>
      </c>
      <c r="D452" s="67" t="s">
        <v>5365</v>
      </c>
    </row>
    <row r="453" spans="1:4" ht="15">
      <c r="A453" s="316" t="s">
        <v>4182</v>
      </c>
      <c r="B453" s="316" t="s">
        <v>3527</v>
      </c>
      <c r="C453" s="316" t="s">
        <v>5045</v>
      </c>
      <c r="D453" s="67" t="s">
        <v>5366</v>
      </c>
    </row>
    <row r="454" spans="1:4" ht="15">
      <c r="A454" s="316" t="s">
        <v>4183</v>
      </c>
      <c r="B454" s="316" t="s">
        <v>3528</v>
      </c>
      <c r="C454" s="316" t="s">
        <v>5046</v>
      </c>
      <c r="D454" s="67" t="s">
        <v>5367</v>
      </c>
    </row>
    <row r="455" spans="1:4" ht="15">
      <c r="A455" s="316" t="s">
        <v>4184</v>
      </c>
      <c r="B455" s="316" t="s">
        <v>3529</v>
      </c>
      <c r="C455" s="316" t="s">
        <v>5047</v>
      </c>
      <c r="D455" s="67" t="s">
        <v>5368</v>
      </c>
    </row>
    <row r="456" spans="1:4" ht="15">
      <c r="A456" s="316" t="s">
        <v>4185</v>
      </c>
      <c r="B456" s="316" t="s">
        <v>3530</v>
      </c>
      <c r="C456" s="316" t="s">
        <v>5048</v>
      </c>
      <c r="D456" s="67" t="s">
        <v>5369</v>
      </c>
    </row>
    <row r="457" spans="1:4" ht="15">
      <c r="A457" s="316" t="s">
        <v>4186</v>
      </c>
      <c r="B457" s="316" t="s">
        <v>3531</v>
      </c>
      <c r="C457" s="318" t="s">
        <v>3531</v>
      </c>
      <c r="D457" s="467" t="s">
        <v>3531</v>
      </c>
    </row>
    <row r="458" spans="1:4" ht="15">
      <c r="A458" s="316" t="s">
        <v>4187</v>
      </c>
      <c r="B458" s="316" t="s">
        <v>3532</v>
      </c>
      <c r="C458" s="316" t="s">
        <v>5049</v>
      </c>
      <c r="D458" s="467" t="s">
        <v>3532</v>
      </c>
    </row>
    <row r="459" spans="1:4" ht="15">
      <c r="A459" s="316" t="s">
        <v>4188</v>
      </c>
      <c r="B459" s="316" t="s">
        <v>3533</v>
      </c>
      <c r="C459" s="316" t="s">
        <v>5050</v>
      </c>
      <c r="D459" s="67" t="s">
        <v>5370</v>
      </c>
    </row>
    <row r="460" spans="1:4" ht="15">
      <c r="A460" s="316" t="s">
        <v>4189</v>
      </c>
      <c r="B460" s="316" t="s">
        <v>3534</v>
      </c>
      <c r="C460" s="316" t="s">
        <v>5051</v>
      </c>
      <c r="D460" s="67" t="s">
        <v>5371</v>
      </c>
    </row>
    <row r="461" spans="1:4" ht="15">
      <c r="A461" s="316" t="s">
        <v>4190</v>
      </c>
      <c r="B461" s="316" t="s">
        <v>3535</v>
      </c>
      <c r="C461" s="318" t="s">
        <v>3535</v>
      </c>
      <c r="D461" s="67" t="s">
        <v>5372</v>
      </c>
    </row>
    <row r="462" spans="1:4" ht="15">
      <c r="A462" s="316" t="s">
        <v>4191</v>
      </c>
      <c r="B462" s="316" t="s">
        <v>3536</v>
      </c>
      <c r="C462" s="316" t="s">
        <v>5052</v>
      </c>
      <c r="D462" s="67" t="s">
        <v>5373</v>
      </c>
    </row>
    <row r="463" spans="1:4" ht="15">
      <c r="A463" s="316" t="s">
        <v>4192</v>
      </c>
      <c r="B463" s="316" t="s">
        <v>3537</v>
      </c>
      <c r="C463" s="316" t="s">
        <v>5053</v>
      </c>
      <c r="D463" s="67" t="s">
        <v>5374</v>
      </c>
    </row>
    <row r="464" spans="1:4" ht="15">
      <c r="A464" s="316" t="s">
        <v>4193</v>
      </c>
      <c r="B464" s="316" t="s">
        <v>3538</v>
      </c>
      <c r="C464" s="318" t="s">
        <v>3538</v>
      </c>
      <c r="D464" s="67" t="s">
        <v>5375</v>
      </c>
    </row>
    <row r="465" spans="1:4" ht="15">
      <c r="A465" s="316" t="s">
        <v>4194</v>
      </c>
      <c r="B465" s="316" t="s">
        <v>3539</v>
      </c>
      <c r="C465" s="316" t="s">
        <v>5054</v>
      </c>
      <c r="D465" s="67" t="s">
        <v>5376</v>
      </c>
    </row>
    <row r="466" spans="1:4" ht="15">
      <c r="A466" s="316" t="s">
        <v>4195</v>
      </c>
      <c r="B466" s="316" t="s">
        <v>3540</v>
      </c>
      <c r="C466" s="316" t="s">
        <v>5055</v>
      </c>
      <c r="D466" s="67" t="s">
        <v>5377</v>
      </c>
    </row>
    <row r="467" spans="1:4" ht="15">
      <c r="A467" s="316" t="s">
        <v>4196</v>
      </c>
      <c r="B467" s="316" t="s">
        <v>3541</v>
      </c>
      <c r="C467" s="316" t="s">
        <v>5056</v>
      </c>
      <c r="D467" s="67" t="s">
        <v>5378</v>
      </c>
    </row>
    <row r="468" spans="1:4" ht="15">
      <c r="A468" s="316" t="s">
        <v>4197</v>
      </c>
      <c r="B468" s="316" t="s">
        <v>3542</v>
      </c>
      <c r="C468" s="316" t="s">
        <v>5057</v>
      </c>
      <c r="D468" s="67" t="s">
        <v>5379</v>
      </c>
    </row>
    <row r="469" spans="1:4" ht="15">
      <c r="A469" s="316" t="s">
        <v>4198</v>
      </c>
      <c r="B469" s="316" t="s">
        <v>3543</v>
      </c>
      <c r="C469" s="316" t="s">
        <v>5058</v>
      </c>
      <c r="D469" s="67" t="s">
        <v>5380</v>
      </c>
    </row>
    <row r="470" spans="1:4" ht="15">
      <c r="A470" s="316" t="s">
        <v>4199</v>
      </c>
      <c r="B470" s="316" t="s">
        <v>3544</v>
      </c>
      <c r="C470" s="316" t="s">
        <v>5059</v>
      </c>
      <c r="D470" s="67" t="s">
        <v>5381</v>
      </c>
    </row>
    <row r="471" spans="1:4" ht="15">
      <c r="A471" s="316" t="s">
        <v>4200</v>
      </c>
      <c r="B471" s="316" t="s">
        <v>3545</v>
      </c>
      <c r="C471" s="316" t="s">
        <v>5060</v>
      </c>
      <c r="D471" s="67" t="s">
        <v>5382</v>
      </c>
    </row>
    <row r="472" spans="1:4" ht="15">
      <c r="A472" s="316" t="s">
        <v>4201</v>
      </c>
      <c r="B472" s="316" t="s">
        <v>3546</v>
      </c>
      <c r="C472" s="316" t="s">
        <v>5061</v>
      </c>
      <c r="D472" s="67" t="s">
        <v>5383</v>
      </c>
    </row>
    <row r="473" spans="1:4" ht="15">
      <c r="A473" s="316" t="s">
        <v>4202</v>
      </c>
      <c r="B473" s="316" t="s">
        <v>3547</v>
      </c>
      <c r="C473" s="316" t="s">
        <v>5062</v>
      </c>
      <c r="D473" s="67" t="s">
        <v>5384</v>
      </c>
    </row>
    <row r="474" spans="1:4" ht="15">
      <c r="A474" s="316" t="s">
        <v>4203</v>
      </c>
      <c r="B474" s="316" t="s">
        <v>3548</v>
      </c>
      <c r="C474" s="316" t="s">
        <v>5063</v>
      </c>
      <c r="D474" s="67" t="s">
        <v>5385</v>
      </c>
    </row>
    <row r="475" spans="1:4" ht="15">
      <c r="A475" s="316" t="s">
        <v>4204</v>
      </c>
      <c r="B475" s="316" t="s">
        <v>3549</v>
      </c>
      <c r="C475" s="316" t="s">
        <v>5064</v>
      </c>
      <c r="D475" s="67" t="s">
        <v>5386</v>
      </c>
    </row>
    <row r="476" spans="1:4" ht="15">
      <c r="A476" s="316" t="s">
        <v>4205</v>
      </c>
      <c r="B476" s="316" t="s">
        <v>3550</v>
      </c>
      <c r="C476" s="316" t="s">
        <v>5065</v>
      </c>
      <c r="D476" s="67" t="s">
        <v>5387</v>
      </c>
    </row>
    <row r="477" spans="1:4" ht="15">
      <c r="A477" s="316" t="s">
        <v>4206</v>
      </c>
      <c r="B477" s="316" t="s">
        <v>3551</v>
      </c>
      <c r="C477" s="316" t="s">
        <v>5066</v>
      </c>
      <c r="D477" s="67" t="s">
        <v>5386</v>
      </c>
    </row>
    <row r="478" spans="1:4" ht="15">
      <c r="A478" s="316" t="s">
        <v>4207</v>
      </c>
      <c r="B478" s="316" t="s">
        <v>3552</v>
      </c>
      <c r="C478" s="316" t="s">
        <v>5067</v>
      </c>
      <c r="D478" s="467" t="s">
        <v>3552</v>
      </c>
    </row>
    <row r="479" spans="1:4" ht="15">
      <c r="A479" s="316" t="s">
        <v>4208</v>
      </c>
      <c r="B479" s="316" t="s">
        <v>3553</v>
      </c>
      <c r="C479" s="316" t="s">
        <v>5068</v>
      </c>
      <c r="D479" s="67" t="s">
        <v>5388</v>
      </c>
    </row>
    <row r="480" spans="1:4" ht="15">
      <c r="A480" s="316" t="s">
        <v>4209</v>
      </c>
      <c r="B480" s="316" t="s">
        <v>3554</v>
      </c>
      <c r="C480" s="316" t="s">
        <v>5069</v>
      </c>
      <c r="D480" s="67" t="s">
        <v>5389</v>
      </c>
    </row>
    <row r="481" spans="1:4" ht="15">
      <c r="A481" s="316" t="s">
        <v>4210</v>
      </c>
      <c r="B481" s="316" t="s">
        <v>3555</v>
      </c>
      <c r="C481" s="316" t="s">
        <v>5070</v>
      </c>
      <c r="D481" s="67" t="s">
        <v>5390</v>
      </c>
    </row>
    <row r="482" spans="1:4" ht="15">
      <c r="A482" s="316" t="s">
        <v>4211</v>
      </c>
      <c r="B482" s="316" t="s">
        <v>3556</v>
      </c>
      <c r="C482" s="316" t="s">
        <v>5071</v>
      </c>
      <c r="D482" s="67" t="s">
        <v>5391</v>
      </c>
    </row>
    <row r="483" spans="1:4" ht="15">
      <c r="A483" s="316" t="s">
        <v>4212</v>
      </c>
      <c r="B483" s="316" t="s">
        <v>3557</v>
      </c>
      <c r="C483" s="316" t="s">
        <v>5072</v>
      </c>
      <c r="D483" s="67" t="s">
        <v>5392</v>
      </c>
    </row>
    <row r="484" spans="1:4" ht="15">
      <c r="A484" s="316" t="s">
        <v>4213</v>
      </c>
      <c r="B484" s="316" t="s">
        <v>3558</v>
      </c>
      <c r="C484" s="316" t="s">
        <v>5073</v>
      </c>
      <c r="D484" s="67" t="s">
        <v>5393</v>
      </c>
    </row>
    <row r="485" spans="1:4" ht="15">
      <c r="A485" s="316" t="s">
        <v>4214</v>
      </c>
      <c r="B485" s="316" t="s">
        <v>3559</v>
      </c>
      <c r="C485" s="316" t="s">
        <v>5074</v>
      </c>
      <c r="D485" s="467" t="s">
        <v>3559</v>
      </c>
    </row>
    <row r="486" spans="1:4" ht="15">
      <c r="A486" s="316" t="s">
        <v>4215</v>
      </c>
      <c r="B486" s="316" t="s">
        <v>3560</v>
      </c>
      <c r="C486" s="316" t="s">
        <v>5075</v>
      </c>
      <c r="D486" s="67" t="s">
        <v>5394</v>
      </c>
    </row>
    <row r="487" spans="1:4" ht="15">
      <c r="A487" s="316" t="s">
        <v>4216</v>
      </c>
      <c r="B487" s="316" t="s">
        <v>3561</v>
      </c>
      <c r="C487" s="316" t="s">
        <v>5076</v>
      </c>
      <c r="D487" s="67" t="s">
        <v>5395</v>
      </c>
    </row>
    <row r="488" spans="1:4" ht="15">
      <c r="A488" s="316" t="s">
        <v>4217</v>
      </c>
      <c r="B488" s="316" t="s">
        <v>3562</v>
      </c>
      <c r="C488" s="316" t="s">
        <v>5077</v>
      </c>
      <c r="D488" s="67" t="s">
        <v>5396</v>
      </c>
    </row>
    <row r="489" spans="1:4" ht="15">
      <c r="A489" s="316" t="s">
        <v>4218</v>
      </c>
      <c r="B489" s="316" t="s">
        <v>3563</v>
      </c>
      <c r="C489" s="316" t="s">
        <v>5078</v>
      </c>
      <c r="D489" s="67" t="s">
        <v>5397</v>
      </c>
    </row>
    <row r="490" spans="1:4" ht="15">
      <c r="A490" s="316" t="s">
        <v>4219</v>
      </c>
      <c r="B490" s="316" t="s">
        <v>3564</v>
      </c>
      <c r="C490" s="316" t="s">
        <v>5079</v>
      </c>
      <c r="D490" s="67" t="s">
        <v>5398</v>
      </c>
    </row>
    <row r="491" spans="1:4" ht="15">
      <c r="A491" s="316" t="s">
        <v>4220</v>
      </c>
      <c r="B491" s="316" t="s">
        <v>3565</v>
      </c>
      <c r="C491" s="316" t="s">
        <v>5080</v>
      </c>
      <c r="D491" s="67" t="s">
        <v>5399</v>
      </c>
    </row>
    <row r="492" spans="1:4" ht="15">
      <c r="A492" s="316" t="s">
        <v>4221</v>
      </c>
      <c r="B492" s="316" t="s">
        <v>3566</v>
      </c>
      <c r="C492" s="316" t="s">
        <v>5081</v>
      </c>
      <c r="D492" s="67" t="s">
        <v>5400</v>
      </c>
    </row>
    <row r="493" spans="1:4" ht="15">
      <c r="A493" s="316" t="s">
        <v>4222</v>
      </c>
      <c r="B493" s="316" t="s">
        <v>3567</v>
      </c>
      <c r="C493" s="316" t="s">
        <v>5082</v>
      </c>
      <c r="D493" s="67" t="s">
        <v>5401</v>
      </c>
    </row>
    <row r="494" spans="1:4" ht="15">
      <c r="A494" s="316" t="s">
        <v>4223</v>
      </c>
      <c r="B494" s="316" t="s">
        <v>3568</v>
      </c>
      <c r="C494" s="316" t="s">
        <v>5083</v>
      </c>
      <c r="D494" s="467" t="s">
        <v>3568</v>
      </c>
    </row>
    <row r="495" spans="1:4" ht="15">
      <c r="A495" s="316" t="s">
        <v>4224</v>
      </c>
      <c r="B495" s="316" t="s">
        <v>3569</v>
      </c>
      <c r="C495" s="316" t="s">
        <v>5084</v>
      </c>
      <c r="D495" s="467" t="s">
        <v>3569</v>
      </c>
    </row>
    <row r="496" spans="1:4" ht="15">
      <c r="A496" s="316" t="s">
        <v>4225</v>
      </c>
      <c r="B496" s="316" t="s">
        <v>3570</v>
      </c>
      <c r="C496" s="316" t="s">
        <v>5085</v>
      </c>
      <c r="D496" s="67" t="s">
        <v>5402</v>
      </c>
    </row>
    <row r="497" spans="1:4" ht="15">
      <c r="A497" s="316" t="s">
        <v>4226</v>
      </c>
      <c r="B497" s="316" t="s">
        <v>3571</v>
      </c>
      <c r="C497" s="316" t="s">
        <v>5086</v>
      </c>
      <c r="D497" s="67" t="s">
        <v>5403</v>
      </c>
    </row>
    <row r="498" spans="1:4" ht="15">
      <c r="A498" s="316" t="s">
        <v>4227</v>
      </c>
      <c r="B498" s="316" t="s">
        <v>3572</v>
      </c>
      <c r="C498" s="316" t="s">
        <v>5087</v>
      </c>
      <c r="D498" s="67" t="s">
        <v>5404</v>
      </c>
    </row>
    <row r="499" spans="1:4" ht="15">
      <c r="A499" s="316" t="s">
        <v>4228</v>
      </c>
      <c r="B499" s="316" t="s">
        <v>3573</v>
      </c>
      <c r="C499" s="316" t="s">
        <v>5088</v>
      </c>
      <c r="D499" s="67" t="s">
        <v>5405</v>
      </c>
    </row>
    <row r="500" spans="1:4" ht="15">
      <c r="A500" s="316" t="s">
        <v>4229</v>
      </c>
      <c r="B500" s="316" t="s">
        <v>3574</v>
      </c>
      <c r="C500" s="316" t="s">
        <v>5089</v>
      </c>
      <c r="D500" s="67" t="s">
        <v>5406</v>
      </c>
    </row>
    <row r="501" spans="1:4" ht="15">
      <c r="A501" s="316" t="s">
        <v>4230</v>
      </c>
      <c r="B501" s="316" t="s">
        <v>3575</v>
      </c>
      <c r="C501" s="316" t="s">
        <v>5090</v>
      </c>
      <c r="D501" s="67" t="s">
        <v>5407</v>
      </c>
    </row>
    <row r="502" spans="1:4" ht="15">
      <c r="A502" s="316" t="s">
        <v>4231</v>
      </c>
      <c r="B502" s="316" t="s">
        <v>3576</v>
      </c>
      <c r="C502" s="316" t="s">
        <v>5091</v>
      </c>
      <c r="D502" s="67" t="s">
        <v>5408</v>
      </c>
    </row>
    <row r="503" spans="1:4" ht="15">
      <c r="A503" s="316" t="s">
        <v>4232</v>
      </c>
      <c r="B503" s="316" t="s">
        <v>3577</v>
      </c>
      <c r="C503" s="316" t="s">
        <v>5092</v>
      </c>
      <c r="D503" s="67" t="s">
        <v>5409</v>
      </c>
    </row>
    <row r="504" spans="1:4" ht="15">
      <c r="A504" s="316" t="s">
        <v>4233</v>
      </c>
      <c r="B504" s="316" t="s">
        <v>3578</v>
      </c>
      <c r="C504" s="318" t="s">
        <v>3578</v>
      </c>
      <c r="D504" s="467" t="s">
        <v>3578</v>
      </c>
    </row>
    <row r="505" spans="1:4" ht="15">
      <c r="A505" s="316" t="s">
        <v>4234</v>
      </c>
      <c r="B505" s="316" t="s">
        <v>3579</v>
      </c>
      <c r="C505" s="318" t="s">
        <v>3579</v>
      </c>
      <c r="D505" s="467" t="s">
        <v>3579</v>
      </c>
    </row>
    <row r="506" spans="1:4" ht="15">
      <c r="A506" s="316" t="s">
        <v>4235</v>
      </c>
      <c r="B506" s="316" t="s">
        <v>3580</v>
      </c>
      <c r="C506" s="316" t="s">
        <v>5093</v>
      </c>
      <c r="D506" s="67" t="s">
        <v>5410</v>
      </c>
    </row>
    <row r="507" spans="1:4" ht="15">
      <c r="A507" s="316" t="s">
        <v>4236</v>
      </c>
      <c r="B507" s="316" t="s">
        <v>3581</v>
      </c>
      <c r="C507" s="316" t="s">
        <v>5094</v>
      </c>
      <c r="D507" s="67" t="s">
        <v>5411</v>
      </c>
    </row>
    <row r="508" spans="1:4" ht="15">
      <c r="A508" s="316" t="s">
        <v>4237</v>
      </c>
      <c r="B508" s="316" t="s">
        <v>3582</v>
      </c>
      <c r="C508" s="316" t="s">
        <v>5095</v>
      </c>
      <c r="D508" s="67" t="s">
        <v>5412</v>
      </c>
    </row>
    <row r="509" spans="1:4" ht="15">
      <c r="A509" s="316" t="s">
        <v>4238</v>
      </c>
      <c r="B509" s="316" t="s">
        <v>3583</v>
      </c>
      <c r="C509" s="316" t="s">
        <v>5096</v>
      </c>
      <c r="D509" s="67" t="s">
        <v>5413</v>
      </c>
    </row>
    <row r="510" spans="1:4" ht="15">
      <c r="A510" s="316" t="s">
        <v>4239</v>
      </c>
      <c r="B510" s="316" t="s">
        <v>3584</v>
      </c>
      <c r="C510" s="316" t="s">
        <v>5097</v>
      </c>
      <c r="D510" s="67" t="s">
        <v>5414</v>
      </c>
    </row>
    <row r="511" spans="1:4" ht="15">
      <c r="A511" s="316" t="s">
        <v>4240</v>
      </c>
      <c r="B511" s="316" t="s">
        <v>3585</v>
      </c>
      <c r="C511" s="316" t="s">
        <v>5098</v>
      </c>
      <c r="D511" s="467" t="s">
        <v>3585</v>
      </c>
    </row>
    <row r="512" spans="1:4" ht="15">
      <c r="A512" s="316" t="s">
        <v>4241</v>
      </c>
      <c r="B512" s="316" t="s">
        <v>3586</v>
      </c>
      <c r="C512" s="316" t="s">
        <v>5099</v>
      </c>
      <c r="D512" s="67" t="s">
        <v>5415</v>
      </c>
    </row>
    <row r="513" spans="1:4" ht="15">
      <c r="A513" s="316" t="s">
        <v>4242</v>
      </c>
      <c r="B513" s="316" t="s">
        <v>3587</v>
      </c>
      <c r="C513" s="316" t="s">
        <v>5100</v>
      </c>
      <c r="D513" s="67" t="s">
        <v>5416</v>
      </c>
    </row>
    <row r="514" spans="1:4" ht="15">
      <c r="A514" s="316" t="s">
        <v>4243</v>
      </c>
      <c r="B514" s="316" t="s">
        <v>3588</v>
      </c>
      <c r="C514" s="316" t="s">
        <v>5101</v>
      </c>
      <c r="D514" s="67" t="s">
        <v>5417</v>
      </c>
    </row>
    <row r="515" spans="1:4" ht="15">
      <c r="A515" s="316" t="s">
        <v>4244</v>
      </c>
      <c r="B515" s="316" t="s">
        <v>3589</v>
      </c>
      <c r="C515" s="316" t="s">
        <v>5102</v>
      </c>
      <c r="D515" s="67" t="s">
        <v>5418</v>
      </c>
    </row>
    <row r="516" spans="1:4" ht="15">
      <c r="A516" s="316" t="s">
        <v>4245</v>
      </c>
      <c r="B516" s="316" t="s">
        <v>3590</v>
      </c>
      <c r="C516" s="316" t="s">
        <v>5103</v>
      </c>
      <c r="D516" s="67" t="s">
        <v>5419</v>
      </c>
    </row>
    <row r="517" spans="1:4" ht="15">
      <c r="A517" s="316" t="s">
        <v>4246</v>
      </c>
      <c r="B517" s="316" t="s">
        <v>3591</v>
      </c>
      <c r="C517" s="316" t="s">
        <v>5104</v>
      </c>
      <c r="D517" s="67" t="s">
        <v>5420</v>
      </c>
    </row>
    <row r="518" spans="1:4" ht="15">
      <c r="A518" s="316" t="s">
        <v>4247</v>
      </c>
      <c r="B518" s="316" t="s">
        <v>3592</v>
      </c>
      <c r="C518" s="316" t="s">
        <v>5105</v>
      </c>
      <c r="D518" s="67" t="s">
        <v>5421</v>
      </c>
    </row>
    <row r="519" spans="1:4" ht="15">
      <c r="A519" s="316" t="s">
        <v>4248</v>
      </c>
      <c r="B519" s="316" t="s">
        <v>3593</v>
      </c>
      <c r="C519" s="316" t="s">
        <v>5106</v>
      </c>
      <c r="D519" s="67" t="s">
        <v>5422</v>
      </c>
    </row>
    <row r="520" spans="1:4" ht="15">
      <c r="A520" s="316" t="s">
        <v>4249</v>
      </c>
      <c r="B520" s="316" t="s">
        <v>3594</v>
      </c>
      <c r="C520" s="316" t="s">
        <v>5107</v>
      </c>
      <c r="D520" s="67" t="s">
        <v>5423</v>
      </c>
    </row>
    <row r="521" spans="1:4" ht="15">
      <c r="A521" s="316" t="s">
        <v>4250</v>
      </c>
      <c r="B521" s="316" t="s">
        <v>3595</v>
      </c>
      <c r="C521" s="316" t="s">
        <v>5108</v>
      </c>
      <c r="D521" s="67" t="s">
        <v>5424</v>
      </c>
    </row>
    <row r="522" spans="1:4" ht="15">
      <c r="A522" s="316" t="s">
        <v>4251</v>
      </c>
      <c r="B522" s="316" t="s">
        <v>3596</v>
      </c>
      <c r="C522" s="316" t="s">
        <v>5109</v>
      </c>
      <c r="D522" s="67" t="s">
        <v>5425</v>
      </c>
    </row>
    <row r="523" spans="1:4" ht="15">
      <c r="A523" s="316" t="s">
        <v>4252</v>
      </c>
      <c r="B523" s="316" t="s">
        <v>3597</v>
      </c>
      <c r="C523" s="316" t="s">
        <v>5110</v>
      </c>
      <c r="D523" s="67" t="s">
        <v>5426</v>
      </c>
    </row>
    <row r="524" spans="1:4" ht="15">
      <c r="A524" s="316" t="s">
        <v>4253</v>
      </c>
      <c r="B524" s="316" t="s">
        <v>3598</v>
      </c>
      <c r="C524" s="316" t="s">
        <v>5111</v>
      </c>
      <c r="D524" s="67" t="s">
        <v>5427</v>
      </c>
    </row>
    <row r="525" spans="1:4" ht="15">
      <c r="A525" s="316" t="s">
        <v>4254</v>
      </c>
      <c r="B525" s="316" t="s">
        <v>3599</v>
      </c>
      <c r="C525" s="316" t="s">
        <v>5112</v>
      </c>
      <c r="D525" s="67" t="s">
        <v>5428</v>
      </c>
    </row>
    <row r="526" spans="1:4" ht="15">
      <c r="A526" s="316" t="s">
        <v>4255</v>
      </c>
      <c r="B526" s="316" t="s">
        <v>3600</v>
      </c>
      <c r="C526" s="316" t="s">
        <v>5113</v>
      </c>
      <c r="D526" s="67" t="s">
        <v>5429</v>
      </c>
    </row>
    <row r="527" spans="1:4" ht="15">
      <c r="A527" s="316" t="s">
        <v>4256</v>
      </c>
      <c r="B527" s="316" t="s">
        <v>3601</v>
      </c>
      <c r="C527" s="316" t="s">
        <v>5114</v>
      </c>
      <c r="D527" s="67" t="s">
        <v>5430</v>
      </c>
    </row>
    <row r="528" spans="1:4" ht="15">
      <c r="A528" s="316" t="s">
        <v>4257</v>
      </c>
      <c r="B528" s="316" t="s">
        <v>3602</v>
      </c>
      <c r="C528" s="316" t="s">
        <v>5115</v>
      </c>
      <c r="D528" s="67" t="s">
        <v>5431</v>
      </c>
    </row>
    <row r="529" spans="1:4" ht="15">
      <c r="A529" s="316" t="s">
        <v>4258</v>
      </c>
      <c r="B529" s="316" t="s">
        <v>3603</v>
      </c>
      <c r="C529" s="316" t="s">
        <v>5116</v>
      </c>
      <c r="D529" s="67" t="s">
        <v>5432</v>
      </c>
    </row>
    <row r="530" spans="1:4" ht="15">
      <c r="A530" s="316" t="s">
        <v>4259</v>
      </c>
      <c r="B530" s="316" t="s">
        <v>3604</v>
      </c>
      <c r="C530" s="316" t="s">
        <v>5117</v>
      </c>
      <c r="D530" s="67" t="s">
        <v>5433</v>
      </c>
    </row>
    <row r="531" spans="1:4" ht="15">
      <c r="A531" s="316" t="s">
        <v>4260</v>
      </c>
      <c r="B531" s="316" t="s">
        <v>3605</v>
      </c>
      <c r="C531" s="316" t="s">
        <v>5118</v>
      </c>
      <c r="D531" s="67" t="s">
        <v>5434</v>
      </c>
    </row>
    <row r="532" spans="1:4" ht="15">
      <c r="A532" s="316" t="s">
        <v>4261</v>
      </c>
      <c r="B532" s="316" t="s">
        <v>3606</v>
      </c>
      <c r="C532" s="316" t="s">
        <v>5119</v>
      </c>
      <c r="D532" s="67" t="s">
        <v>5435</v>
      </c>
    </row>
    <row r="533" spans="1:4" ht="15">
      <c r="A533" s="316" t="s">
        <v>4262</v>
      </c>
      <c r="B533" s="316" t="s">
        <v>3607</v>
      </c>
      <c r="C533" s="316" t="s">
        <v>5120</v>
      </c>
      <c r="D533" s="67" t="s">
        <v>5436</v>
      </c>
    </row>
    <row r="534" spans="1:4" ht="15">
      <c r="A534" s="316" t="s">
        <v>4263</v>
      </c>
      <c r="B534" s="316" t="s">
        <v>3608</v>
      </c>
      <c r="C534" s="316" t="s">
        <v>5121</v>
      </c>
      <c r="D534" s="67" t="s">
        <v>5437</v>
      </c>
    </row>
    <row r="535" spans="1:4" ht="15">
      <c r="A535" s="316" t="s">
        <v>4264</v>
      </c>
      <c r="B535" s="316" t="s">
        <v>3609</v>
      </c>
      <c r="C535" s="316" t="s">
        <v>5122</v>
      </c>
      <c r="D535" s="67" t="s">
        <v>5438</v>
      </c>
    </row>
    <row r="536" spans="1:4" ht="15">
      <c r="A536" s="316" t="s">
        <v>4265</v>
      </c>
      <c r="B536" s="316" t="s">
        <v>3610</v>
      </c>
      <c r="C536" s="316" t="s">
        <v>5123</v>
      </c>
      <c r="D536" s="67" t="s">
        <v>5439</v>
      </c>
    </row>
    <row r="537" spans="1:4" ht="15">
      <c r="A537" s="316" t="s">
        <v>4266</v>
      </c>
      <c r="B537" s="316" t="s">
        <v>3611</v>
      </c>
      <c r="C537" s="316" t="s">
        <v>5124</v>
      </c>
      <c r="D537" s="67" t="s">
        <v>5440</v>
      </c>
    </row>
    <row r="538" spans="1:4" ht="15">
      <c r="A538" s="316" t="s">
        <v>4267</v>
      </c>
      <c r="B538" s="316" t="s">
        <v>3612</v>
      </c>
      <c r="C538" s="316" t="s">
        <v>5125</v>
      </c>
      <c r="D538" s="467" t="s">
        <v>3612</v>
      </c>
    </row>
    <row r="539" spans="1:4" ht="15">
      <c r="A539" s="316" t="s">
        <v>4268</v>
      </c>
      <c r="B539" s="316" t="s">
        <v>3613</v>
      </c>
      <c r="C539" s="316" t="s">
        <v>5126</v>
      </c>
      <c r="D539" s="67" t="s">
        <v>5441</v>
      </c>
    </row>
    <row r="540" spans="1:4" ht="15">
      <c r="A540" s="316" t="s">
        <v>4269</v>
      </c>
      <c r="B540" s="316" t="s">
        <v>3614</v>
      </c>
      <c r="C540" s="316" t="s">
        <v>5127</v>
      </c>
      <c r="D540" s="67" t="s">
        <v>5442</v>
      </c>
    </row>
    <row r="541" spans="1:4" ht="15">
      <c r="A541" s="316" t="s">
        <v>4270</v>
      </c>
      <c r="B541" s="316" t="s">
        <v>3615</v>
      </c>
      <c r="C541" s="316" t="s">
        <v>5128</v>
      </c>
      <c r="D541" s="467" t="s">
        <v>3615</v>
      </c>
    </row>
    <row r="542" spans="1:4" ht="15">
      <c r="A542" s="316" t="s">
        <v>4271</v>
      </c>
      <c r="B542" s="316" t="s">
        <v>3616</v>
      </c>
      <c r="C542" s="318" t="s">
        <v>3616</v>
      </c>
      <c r="D542" s="67" t="s">
        <v>3616</v>
      </c>
    </row>
    <row r="543" spans="1:4" ht="15">
      <c r="A543" s="316" t="s">
        <v>4272</v>
      </c>
      <c r="B543" s="316" t="s">
        <v>3617</v>
      </c>
      <c r="C543" s="316" t="s">
        <v>5129</v>
      </c>
      <c r="D543" s="467" t="s">
        <v>3617</v>
      </c>
    </row>
    <row r="544" spans="1:4" ht="15">
      <c r="A544" s="316" t="s">
        <v>4273</v>
      </c>
      <c r="B544" s="316" t="s">
        <v>3618</v>
      </c>
      <c r="C544" s="316" t="s">
        <v>5130</v>
      </c>
      <c r="D544" s="67" t="s">
        <v>5443</v>
      </c>
    </row>
    <row r="545" spans="1:4" ht="15">
      <c r="A545" s="316" t="s">
        <v>4274</v>
      </c>
      <c r="B545" s="316" t="s">
        <v>3619</v>
      </c>
      <c r="C545" s="316" t="s">
        <v>5131</v>
      </c>
      <c r="D545" s="67" t="s">
        <v>5444</v>
      </c>
    </row>
    <row r="546" spans="1:4" ht="15">
      <c r="A546" s="316" t="s">
        <v>4275</v>
      </c>
      <c r="B546" s="316" t="s">
        <v>3620</v>
      </c>
      <c r="C546" s="316" t="s">
        <v>5132</v>
      </c>
      <c r="D546" s="67" t="s">
        <v>5445</v>
      </c>
    </row>
    <row r="547" spans="1:4" ht="15">
      <c r="A547" s="316" t="s">
        <v>4276</v>
      </c>
      <c r="B547" s="316" t="s">
        <v>3621</v>
      </c>
      <c r="C547" s="318" t="s">
        <v>3621</v>
      </c>
      <c r="D547" s="467" t="s">
        <v>3621</v>
      </c>
    </row>
    <row r="548" spans="1:4" ht="15">
      <c r="A548" s="316" t="s">
        <v>4277</v>
      </c>
      <c r="B548" s="316" t="s">
        <v>3622</v>
      </c>
      <c r="C548" s="318" t="s">
        <v>3622</v>
      </c>
      <c r="D548" s="467" t="s">
        <v>3622</v>
      </c>
    </row>
    <row r="549" spans="1:4" ht="15">
      <c r="A549" s="316" t="s">
        <v>4278</v>
      </c>
      <c r="B549" s="316" t="s">
        <v>3623</v>
      </c>
      <c r="C549" s="316" t="s">
        <v>5133</v>
      </c>
      <c r="D549" s="67" t="s">
        <v>5446</v>
      </c>
    </row>
    <row r="550" spans="1:4" ht="15">
      <c r="A550" s="316" t="s">
        <v>4279</v>
      </c>
      <c r="B550" s="316" t="s">
        <v>3624</v>
      </c>
      <c r="C550" s="316" t="s">
        <v>5134</v>
      </c>
      <c r="D550" s="67" t="s">
        <v>5447</v>
      </c>
    </row>
    <row r="551" spans="1:4" ht="15">
      <c r="A551" s="316" t="s">
        <v>4280</v>
      </c>
      <c r="B551" s="316" t="s">
        <v>3625</v>
      </c>
      <c r="C551" s="316" t="s">
        <v>5135</v>
      </c>
      <c r="D551" s="67" t="s">
        <v>5448</v>
      </c>
    </row>
    <row r="552" spans="1:4" ht="15">
      <c r="A552" s="316" t="s">
        <v>4281</v>
      </c>
      <c r="B552" s="316" t="s">
        <v>3626</v>
      </c>
      <c r="C552" s="316" t="s">
        <v>5136</v>
      </c>
      <c r="D552" s="67" t="s">
        <v>5449</v>
      </c>
    </row>
    <row r="553" spans="1:4" ht="15">
      <c r="A553" s="316" t="s">
        <v>4282</v>
      </c>
      <c r="B553" s="316" t="s">
        <v>3627</v>
      </c>
      <c r="C553" s="316" t="s">
        <v>5137</v>
      </c>
      <c r="D553" s="67" t="s">
        <v>5450</v>
      </c>
    </row>
    <row r="554" spans="1:4" ht="15">
      <c r="A554" s="316" t="s">
        <v>4283</v>
      </c>
      <c r="B554" s="316" t="s">
        <v>3628</v>
      </c>
      <c r="C554" s="316" t="s">
        <v>5138</v>
      </c>
      <c r="D554" s="467" t="s">
        <v>3628</v>
      </c>
    </row>
    <row r="555" spans="1:4" ht="15">
      <c r="A555" s="316" t="s">
        <v>4284</v>
      </c>
      <c r="B555" s="316" t="s">
        <v>3629</v>
      </c>
      <c r="C555" s="318" t="s">
        <v>3629</v>
      </c>
      <c r="D555" s="467" t="s">
        <v>3629</v>
      </c>
    </row>
    <row r="556" spans="1:4" ht="15">
      <c r="A556" s="316" t="s">
        <v>4285</v>
      </c>
      <c r="B556" s="316" t="s">
        <v>3630</v>
      </c>
      <c r="C556" s="318" t="s">
        <v>3630</v>
      </c>
      <c r="D556" s="467" t="s">
        <v>3630</v>
      </c>
    </row>
    <row r="557" spans="1:4" ht="15">
      <c r="A557" s="316" t="s">
        <v>4286</v>
      </c>
      <c r="B557" s="316" t="s">
        <v>3631</v>
      </c>
      <c r="C557" s="318" t="s">
        <v>3631</v>
      </c>
      <c r="D557" s="467" t="s">
        <v>3631</v>
      </c>
    </row>
    <row r="558" spans="1:4" ht="15">
      <c r="A558" s="316" t="s">
        <v>4287</v>
      </c>
      <c r="B558" s="316" t="s">
        <v>3632</v>
      </c>
      <c r="C558" s="318" t="s">
        <v>3632</v>
      </c>
      <c r="D558" s="467" t="s">
        <v>3632</v>
      </c>
    </row>
    <row r="559" spans="1:4" ht="15">
      <c r="A559" s="316" t="s">
        <v>4288</v>
      </c>
      <c r="B559" s="316" t="s">
        <v>3633</v>
      </c>
      <c r="C559" s="318" t="s">
        <v>3633</v>
      </c>
      <c r="D559" s="467" t="s">
        <v>3633</v>
      </c>
    </row>
    <row r="560" spans="1:4" ht="15">
      <c r="A560" s="316" t="s">
        <v>4289</v>
      </c>
      <c r="B560" s="316" t="s">
        <v>3634</v>
      </c>
      <c r="C560" s="318" t="s">
        <v>3634</v>
      </c>
      <c r="D560" s="67" t="s">
        <v>5451</v>
      </c>
    </row>
    <row r="561" spans="1:4" ht="15">
      <c r="A561" s="316" t="s">
        <v>4290</v>
      </c>
      <c r="B561" s="316" t="s">
        <v>3635</v>
      </c>
      <c r="C561" s="316" t="s">
        <v>5139</v>
      </c>
      <c r="D561" s="67" t="s">
        <v>5452</v>
      </c>
    </row>
    <row r="562" spans="1:4" ht="15">
      <c r="A562" s="316" t="s">
        <v>4291</v>
      </c>
      <c r="B562" s="316" t="s">
        <v>3636</v>
      </c>
      <c r="C562" s="318" t="s">
        <v>3636</v>
      </c>
      <c r="D562" s="467" t="s">
        <v>3636</v>
      </c>
    </row>
    <row r="563" spans="1:4" ht="15">
      <c r="A563" s="316" t="s">
        <v>4292</v>
      </c>
      <c r="B563" s="316" t="s">
        <v>3637</v>
      </c>
      <c r="C563" s="316" t="s">
        <v>5140</v>
      </c>
      <c r="D563" s="67" t="s">
        <v>5453</v>
      </c>
    </row>
    <row r="564" spans="1:4" ht="15">
      <c r="A564" s="316" t="s">
        <v>4293</v>
      </c>
      <c r="B564" s="316" t="s">
        <v>3638</v>
      </c>
      <c r="C564" s="316" t="s">
        <v>5141</v>
      </c>
      <c r="D564" s="67" t="s">
        <v>5454</v>
      </c>
    </row>
    <row r="565" spans="1:4" ht="15">
      <c r="A565" s="316" t="s">
        <v>4294</v>
      </c>
      <c r="B565" s="316" t="s">
        <v>3639</v>
      </c>
      <c r="C565" s="316" t="s">
        <v>5142</v>
      </c>
      <c r="D565" s="67" t="s">
        <v>5455</v>
      </c>
    </row>
    <row r="566" spans="1:4" ht="15">
      <c r="A566" s="316" t="s">
        <v>4295</v>
      </c>
      <c r="B566" s="316" t="s">
        <v>3640</v>
      </c>
      <c r="C566" s="316" t="s">
        <v>5143</v>
      </c>
      <c r="D566" s="67" t="s">
        <v>5456</v>
      </c>
    </row>
    <row r="567" spans="1:4" ht="15">
      <c r="A567" s="316" t="s">
        <v>4296</v>
      </c>
      <c r="B567" s="316" t="s">
        <v>3641</v>
      </c>
      <c r="C567" s="316" t="s">
        <v>5144</v>
      </c>
      <c r="D567" s="67" t="s">
        <v>5457</v>
      </c>
    </row>
    <row r="568" spans="1:4" ht="15">
      <c r="A568" s="316" t="s">
        <v>4297</v>
      </c>
      <c r="B568" s="316" t="s">
        <v>3642</v>
      </c>
      <c r="C568" s="316" t="s">
        <v>5145</v>
      </c>
      <c r="D568" s="67" t="s">
        <v>5458</v>
      </c>
    </row>
    <row r="569" spans="1:4" ht="15">
      <c r="A569" s="316" t="s">
        <v>4298</v>
      </c>
      <c r="B569" s="316" t="s">
        <v>3643</v>
      </c>
      <c r="C569" s="316" t="s">
        <v>5146</v>
      </c>
      <c r="D569" s="67" t="s">
        <v>5459</v>
      </c>
    </row>
    <row r="570" spans="1:4" ht="15">
      <c r="A570" s="316" t="s">
        <v>4299</v>
      </c>
      <c r="B570" s="316" t="s">
        <v>3644</v>
      </c>
      <c r="C570" s="316" t="s">
        <v>5147</v>
      </c>
      <c r="D570" s="67" t="s">
        <v>5460</v>
      </c>
    </row>
    <row r="571" spans="1:4" ht="15">
      <c r="A571" s="316" t="s">
        <v>4300</v>
      </c>
      <c r="B571" s="316" t="s">
        <v>3645</v>
      </c>
      <c r="C571" s="316" t="s">
        <v>5148</v>
      </c>
      <c r="D571" s="67" t="s">
        <v>5461</v>
      </c>
    </row>
    <row r="572" spans="1:4" ht="15">
      <c r="A572" s="316" t="s">
        <v>4301</v>
      </c>
      <c r="B572" s="316" t="s">
        <v>3646</v>
      </c>
      <c r="C572" s="316" t="s">
        <v>5149</v>
      </c>
      <c r="D572" s="67" t="s">
        <v>5462</v>
      </c>
    </row>
    <row r="573" spans="1:4" ht="15">
      <c r="A573" s="316" t="s">
        <v>4302</v>
      </c>
      <c r="B573" s="316" t="s">
        <v>3647</v>
      </c>
      <c r="C573" s="316" t="s">
        <v>5150</v>
      </c>
      <c r="D573" s="467" t="s">
        <v>3647</v>
      </c>
    </row>
    <row r="574" spans="1:4" ht="15">
      <c r="A574" s="316" t="s">
        <v>4303</v>
      </c>
      <c r="B574" s="316" t="s">
        <v>3648</v>
      </c>
      <c r="C574" s="316" t="s">
        <v>5151</v>
      </c>
      <c r="D574" s="67" t="s">
        <v>5463</v>
      </c>
    </row>
    <row r="575" spans="1:4" ht="15">
      <c r="A575" s="316" t="s">
        <v>4304</v>
      </c>
      <c r="B575" s="316" t="s">
        <v>3649</v>
      </c>
      <c r="C575" s="318" t="s">
        <v>3649</v>
      </c>
      <c r="D575" s="467" t="s">
        <v>3649</v>
      </c>
    </row>
    <row r="576" spans="1:4" ht="15">
      <c r="A576" s="316" t="s">
        <v>4305</v>
      </c>
      <c r="B576" s="316" t="s">
        <v>3650</v>
      </c>
      <c r="C576" s="318" t="s">
        <v>3650</v>
      </c>
      <c r="D576" s="467" t="s">
        <v>3650</v>
      </c>
    </row>
    <row r="577" spans="1:4" ht="15">
      <c r="A577" s="316" t="s">
        <v>4306</v>
      </c>
      <c r="B577" s="316" t="s">
        <v>3651</v>
      </c>
      <c r="C577" s="318" t="s">
        <v>3651</v>
      </c>
      <c r="D577" s="467" t="s">
        <v>3651</v>
      </c>
    </row>
    <row r="578" spans="1:4" ht="15">
      <c r="A578" s="316" t="s">
        <v>4307</v>
      </c>
      <c r="B578" s="316" t="s">
        <v>3652</v>
      </c>
      <c r="C578" s="318" t="s">
        <v>3652</v>
      </c>
      <c r="D578" s="467" t="s">
        <v>3652</v>
      </c>
    </row>
    <row r="579" spans="1:4" ht="15">
      <c r="A579" s="316" t="s">
        <v>4308</v>
      </c>
      <c r="B579" s="316" t="s">
        <v>3653</v>
      </c>
      <c r="C579" s="318" t="s">
        <v>3653</v>
      </c>
      <c r="D579" s="467" t="s">
        <v>3653</v>
      </c>
    </row>
    <row r="580" spans="1:4" ht="15">
      <c r="A580" s="316" t="s">
        <v>4309</v>
      </c>
      <c r="B580" s="316" t="s">
        <v>3654</v>
      </c>
      <c r="C580" s="318" t="s">
        <v>3654</v>
      </c>
      <c r="D580" s="467" t="s">
        <v>3654</v>
      </c>
    </row>
    <row r="581" spans="1:4" ht="15">
      <c r="A581" s="316" t="s">
        <v>4310</v>
      </c>
      <c r="B581" s="316" t="s">
        <v>3655</v>
      </c>
      <c r="C581" s="318" t="s">
        <v>3655</v>
      </c>
      <c r="D581" s="467" t="s">
        <v>3655</v>
      </c>
    </row>
    <row r="582" spans="1:4" ht="15">
      <c r="A582" s="316" t="s">
        <v>4311</v>
      </c>
      <c r="B582" s="316" t="s">
        <v>3656</v>
      </c>
      <c r="C582" s="318" t="s">
        <v>3656</v>
      </c>
      <c r="D582" s="67" t="s">
        <v>5464</v>
      </c>
    </row>
    <row r="583" spans="1:4" ht="15">
      <c r="A583" s="316" t="s">
        <v>4312</v>
      </c>
      <c r="B583" s="316" t="s">
        <v>3657</v>
      </c>
      <c r="C583" s="318" t="s">
        <v>3657</v>
      </c>
      <c r="D583" s="467" t="s">
        <v>3657</v>
      </c>
    </row>
    <row r="584" spans="1:4" ht="15">
      <c r="A584" s="316" t="s">
        <v>4313</v>
      </c>
      <c r="B584" s="316" t="s">
        <v>3658</v>
      </c>
      <c r="C584" s="318" t="s">
        <v>3658</v>
      </c>
      <c r="D584" s="467" t="s">
        <v>3658</v>
      </c>
    </row>
    <row r="585" spans="1:4" ht="15">
      <c r="A585" s="316" t="s">
        <v>4314</v>
      </c>
      <c r="B585" s="316" t="s">
        <v>3659</v>
      </c>
      <c r="C585" s="318" t="s">
        <v>3659</v>
      </c>
      <c r="D585" s="467" t="s">
        <v>3659</v>
      </c>
    </row>
    <row r="586" spans="1:4" ht="15">
      <c r="A586" s="316" t="s">
        <v>4315</v>
      </c>
      <c r="B586" s="316" t="s">
        <v>3660</v>
      </c>
      <c r="C586" s="318" t="s">
        <v>3660</v>
      </c>
      <c r="D586" s="467" t="s">
        <v>3660</v>
      </c>
    </row>
    <row r="587" spans="1:4" ht="15">
      <c r="A587" s="316" t="s">
        <v>4316</v>
      </c>
      <c r="B587" s="316" t="s">
        <v>3661</v>
      </c>
      <c r="C587" s="318" t="s">
        <v>3661</v>
      </c>
      <c r="D587" s="467" t="s">
        <v>3661</v>
      </c>
    </row>
    <row r="588" spans="1:4" ht="15">
      <c r="A588" s="316" t="s">
        <v>4317</v>
      </c>
      <c r="B588" s="316" t="s">
        <v>3662</v>
      </c>
      <c r="C588" s="318" t="s">
        <v>3662</v>
      </c>
      <c r="D588" s="467" t="s">
        <v>3662</v>
      </c>
    </row>
    <row r="589" spans="1:4" ht="15">
      <c r="A589" s="316" t="s">
        <v>4318</v>
      </c>
      <c r="B589" s="316" t="s">
        <v>3663</v>
      </c>
      <c r="C589" s="318" t="s">
        <v>3663</v>
      </c>
      <c r="D589" s="467" t="s">
        <v>3663</v>
      </c>
    </row>
    <row r="590" spans="1:4" ht="15">
      <c r="A590" s="316" t="s">
        <v>4319</v>
      </c>
      <c r="B590" s="316" t="s">
        <v>3664</v>
      </c>
      <c r="C590" s="318" t="s">
        <v>3664</v>
      </c>
      <c r="D590" s="467" t="s">
        <v>3664</v>
      </c>
    </row>
    <row r="591" spans="1:4" ht="15">
      <c r="A591" s="316" t="s">
        <v>4320</v>
      </c>
      <c r="B591" s="316" t="s">
        <v>3665</v>
      </c>
      <c r="C591" s="318" t="s">
        <v>3665</v>
      </c>
      <c r="D591" s="467" t="s">
        <v>3665</v>
      </c>
    </row>
    <row r="592" spans="1:4" ht="15">
      <c r="A592" s="316" t="s">
        <v>4321</v>
      </c>
      <c r="B592" s="316" t="s">
        <v>3666</v>
      </c>
      <c r="C592" s="318" t="s">
        <v>3666</v>
      </c>
      <c r="D592" s="467" t="s">
        <v>3666</v>
      </c>
    </row>
    <row r="593" spans="1:4" ht="15">
      <c r="A593" s="316" t="s">
        <v>4322</v>
      </c>
      <c r="B593" s="316" t="s">
        <v>3667</v>
      </c>
      <c r="C593" s="318" t="s">
        <v>3667</v>
      </c>
      <c r="D593" s="467" t="s">
        <v>3667</v>
      </c>
    </row>
    <row r="594" spans="1:4" ht="15">
      <c r="A594" s="316" t="s">
        <v>4323</v>
      </c>
      <c r="B594" s="316" t="s">
        <v>3668</v>
      </c>
      <c r="C594" s="318" t="s">
        <v>3668</v>
      </c>
      <c r="D594" s="467" t="s">
        <v>3668</v>
      </c>
    </row>
    <row r="595" spans="1:4" ht="15">
      <c r="A595" s="316" t="s">
        <v>4324</v>
      </c>
      <c r="B595" s="316" t="s">
        <v>3669</v>
      </c>
      <c r="C595" s="318" t="s">
        <v>3669</v>
      </c>
      <c r="D595" s="67" t="s">
        <v>5465</v>
      </c>
    </row>
    <row r="596" spans="1:4" ht="15">
      <c r="A596" s="316" t="s">
        <v>4325</v>
      </c>
      <c r="B596" s="316" t="s">
        <v>3670</v>
      </c>
      <c r="C596" s="316" t="s">
        <v>5152</v>
      </c>
      <c r="D596" s="67" t="s">
        <v>5466</v>
      </c>
    </row>
    <row r="597" spans="1:4" ht="15">
      <c r="A597" s="316" t="s">
        <v>4326</v>
      </c>
      <c r="B597" s="316" t="s">
        <v>3671</v>
      </c>
      <c r="C597" s="316" t="s">
        <v>5153</v>
      </c>
      <c r="D597" s="67" t="s">
        <v>5467</v>
      </c>
    </row>
    <row r="598" spans="1:4" ht="15">
      <c r="A598" s="316" t="s">
        <v>4327</v>
      </c>
      <c r="B598" s="316" t="s">
        <v>3672</v>
      </c>
      <c r="C598" s="316" t="s">
        <v>5154</v>
      </c>
      <c r="D598" s="467" t="s">
        <v>3672</v>
      </c>
    </row>
    <row r="599" spans="1:4" ht="15">
      <c r="A599" s="316" t="s">
        <v>4328</v>
      </c>
      <c r="B599" s="316" t="s">
        <v>3673</v>
      </c>
      <c r="C599" s="316" t="s">
        <v>5155</v>
      </c>
      <c r="D599" s="467" t="s">
        <v>3673</v>
      </c>
    </row>
    <row r="600" spans="1:4" ht="15">
      <c r="A600" s="316" t="s">
        <v>4329</v>
      </c>
      <c r="B600" s="316" t="s">
        <v>3674</v>
      </c>
      <c r="C600" s="316" t="s">
        <v>5156</v>
      </c>
      <c r="D600" s="67" t="s">
        <v>5468</v>
      </c>
    </row>
    <row r="601" spans="1:4" ht="15">
      <c r="A601" s="316" t="s">
        <v>4330</v>
      </c>
      <c r="B601" s="316" t="s">
        <v>3675</v>
      </c>
      <c r="C601" s="316" t="s">
        <v>5157</v>
      </c>
      <c r="D601" s="67" t="s">
        <v>5469</v>
      </c>
    </row>
    <row r="602" spans="1:4" ht="15">
      <c r="A602" s="316" t="s">
        <v>4331</v>
      </c>
      <c r="B602" s="316" t="s">
        <v>3676</v>
      </c>
      <c r="C602" s="316" t="s">
        <v>5158</v>
      </c>
      <c r="D602" s="467" t="s">
        <v>3676</v>
      </c>
    </row>
    <row r="603" spans="1:4" ht="15">
      <c r="A603" s="316" t="s">
        <v>4332</v>
      </c>
      <c r="B603" s="316" t="s">
        <v>3677</v>
      </c>
      <c r="C603" s="316" t="s">
        <v>5159</v>
      </c>
      <c r="D603" s="467" t="s">
        <v>3677</v>
      </c>
    </row>
    <row r="604" spans="1:4" ht="15">
      <c r="A604" s="316" t="s">
        <v>4333</v>
      </c>
      <c r="B604" s="316" t="s">
        <v>3678</v>
      </c>
      <c r="C604" s="316" t="s">
        <v>5160</v>
      </c>
      <c r="D604" s="467" t="s">
        <v>3678</v>
      </c>
    </row>
    <row r="605" spans="1:4" ht="15">
      <c r="A605" s="316" t="s">
        <v>4334</v>
      </c>
      <c r="B605" s="316" t="s">
        <v>3679</v>
      </c>
      <c r="C605" s="316" t="s">
        <v>5161</v>
      </c>
      <c r="D605" s="467" t="s">
        <v>3679</v>
      </c>
    </row>
    <row r="606" spans="1:4" ht="15">
      <c r="A606" s="316" t="s">
        <v>4335</v>
      </c>
      <c r="B606" s="316" t="s">
        <v>3680</v>
      </c>
      <c r="C606" s="316" t="s">
        <v>5162</v>
      </c>
      <c r="D606" s="467" t="s">
        <v>3680</v>
      </c>
    </row>
    <row r="607" spans="1:4" ht="15">
      <c r="A607" s="316" t="s">
        <v>4336</v>
      </c>
      <c r="B607" s="316" t="s">
        <v>3681</v>
      </c>
      <c r="C607" s="316" t="s">
        <v>5163</v>
      </c>
      <c r="D607" s="467" t="s">
        <v>3681</v>
      </c>
    </row>
    <row r="608" spans="1:4" ht="15">
      <c r="A608" s="316" t="s">
        <v>4337</v>
      </c>
      <c r="B608" s="316" t="s">
        <v>3682</v>
      </c>
      <c r="C608" s="318" t="s">
        <v>3682</v>
      </c>
      <c r="D608" s="467" t="s">
        <v>3682</v>
      </c>
    </row>
    <row r="609" spans="1:4" ht="15">
      <c r="A609" s="316" t="s">
        <v>4338</v>
      </c>
      <c r="B609" s="316" t="s">
        <v>3683</v>
      </c>
      <c r="C609" s="318" t="s">
        <v>3683</v>
      </c>
      <c r="D609" s="467" t="s">
        <v>3683</v>
      </c>
    </row>
    <row r="610" spans="1:4" ht="15">
      <c r="A610" s="316" t="s">
        <v>4339</v>
      </c>
      <c r="B610" s="316" t="s">
        <v>3684</v>
      </c>
      <c r="C610" s="316" t="s">
        <v>5164</v>
      </c>
      <c r="D610" s="67" t="s">
        <v>5470</v>
      </c>
    </row>
    <row r="611" spans="1:4" ht="15">
      <c r="A611" s="316" t="s">
        <v>4340</v>
      </c>
      <c r="B611" s="316" t="s">
        <v>3685</v>
      </c>
      <c r="C611" s="316" t="s">
        <v>5165</v>
      </c>
      <c r="D611" s="467" t="s">
        <v>3685</v>
      </c>
    </row>
    <row r="612" spans="1:4" ht="15">
      <c r="A612" s="316" t="s">
        <v>4341</v>
      </c>
      <c r="B612" s="316" t="s">
        <v>3686</v>
      </c>
      <c r="C612" s="316" t="s">
        <v>5166</v>
      </c>
      <c r="D612" s="467" t="s">
        <v>3686</v>
      </c>
    </row>
    <row r="613" spans="1:4" ht="15">
      <c r="A613" s="316" t="s">
        <v>4342</v>
      </c>
      <c r="B613" s="316" t="s">
        <v>3687</v>
      </c>
      <c r="C613" s="316" t="s">
        <v>5167</v>
      </c>
      <c r="D613" s="467" t="s">
        <v>3687</v>
      </c>
    </row>
    <row r="614" spans="1:4" ht="15">
      <c r="A614" s="316" t="s">
        <v>4343</v>
      </c>
      <c r="B614" s="316" t="s">
        <v>3688</v>
      </c>
      <c r="C614" s="316" t="s">
        <v>5168</v>
      </c>
      <c r="D614" s="467" t="s">
        <v>3688</v>
      </c>
    </row>
    <row r="615" spans="1:4" ht="15">
      <c r="A615" s="316" t="s">
        <v>4344</v>
      </c>
      <c r="B615" s="316" t="s">
        <v>3689</v>
      </c>
      <c r="C615" s="316" t="s">
        <v>5169</v>
      </c>
      <c r="D615" s="467" t="s">
        <v>3689</v>
      </c>
    </row>
    <row r="616" spans="1:4" ht="15">
      <c r="A616" s="316" t="s">
        <v>4345</v>
      </c>
      <c r="B616" s="316" t="s">
        <v>3690</v>
      </c>
      <c r="C616" s="318" t="s">
        <v>3690</v>
      </c>
      <c r="D616" s="467" t="s">
        <v>3690</v>
      </c>
    </row>
    <row r="617" spans="1:4" ht="15">
      <c r="A617" s="316" t="s">
        <v>4346</v>
      </c>
      <c r="B617" s="316" t="s">
        <v>3691</v>
      </c>
      <c r="C617" s="316" t="s">
        <v>5170</v>
      </c>
      <c r="D617" s="467" t="s">
        <v>3691</v>
      </c>
    </row>
    <row r="618" spans="1:4" ht="15">
      <c r="A618" s="316" t="s">
        <v>4347</v>
      </c>
      <c r="B618" s="316" t="s">
        <v>3692</v>
      </c>
      <c r="C618" s="318" t="s">
        <v>3692</v>
      </c>
      <c r="D618" s="467" t="s">
        <v>3692</v>
      </c>
    </row>
    <row r="619" spans="1:4" ht="15">
      <c r="A619" s="316" t="s">
        <v>4348</v>
      </c>
      <c r="B619" s="316" t="s">
        <v>3693</v>
      </c>
      <c r="C619" s="318" t="s">
        <v>3693</v>
      </c>
      <c r="D619" s="467" t="s">
        <v>3693</v>
      </c>
    </row>
    <row r="620" spans="1:4" ht="15">
      <c r="A620" s="316" t="s">
        <v>4349</v>
      </c>
      <c r="B620" s="316" t="s">
        <v>3694</v>
      </c>
      <c r="C620" s="318" t="s">
        <v>3694</v>
      </c>
      <c r="D620" s="467" t="s">
        <v>3694</v>
      </c>
    </row>
    <row r="621" spans="1:4" ht="15">
      <c r="A621" s="316" t="s">
        <v>4350</v>
      </c>
      <c r="B621" s="316" t="s">
        <v>3695</v>
      </c>
      <c r="C621" s="318" t="s">
        <v>3695</v>
      </c>
      <c r="D621" s="467" t="s">
        <v>3695</v>
      </c>
    </row>
    <row r="622" spans="1:4" ht="15">
      <c r="A622" s="316" t="s">
        <v>4351</v>
      </c>
      <c r="B622" s="316" t="s">
        <v>3696</v>
      </c>
      <c r="C622" s="316" t="s">
        <v>5171</v>
      </c>
      <c r="D622" s="467" t="s">
        <v>3696</v>
      </c>
    </row>
    <row r="623" spans="1:4" ht="15">
      <c r="A623" s="316" t="s">
        <v>4352</v>
      </c>
      <c r="B623" s="316" t="s">
        <v>3697</v>
      </c>
      <c r="C623" s="316" t="s">
        <v>5172</v>
      </c>
      <c r="D623" s="467" t="s">
        <v>3697</v>
      </c>
    </row>
    <row r="624" spans="1:4" ht="15">
      <c r="A624" s="316" t="s">
        <v>4353</v>
      </c>
      <c r="B624" s="316" t="s">
        <v>3698</v>
      </c>
      <c r="C624" s="316" t="s">
        <v>5173</v>
      </c>
      <c r="D624" s="467" t="s">
        <v>3698</v>
      </c>
    </row>
    <row r="625" spans="1:4" ht="15">
      <c r="A625" s="316" t="s">
        <v>4354</v>
      </c>
      <c r="B625" s="316" t="s">
        <v>3699</v>
      </c>
      <c r="C625" s="318" t="s">
        <v>3699</v>
      </c>
      <c r="D625" s="467" t="s">
        <v>3699</v>
      </c>
    </row>
    <row r="626" spans="1:4" ht="15">
      <c r="A626" s="316" t="s">
        <v>4355</v>
      </c>
      <c r="B626" s="316" t="s">
        <v>3700</v>
      </c>
      <c r="C626" s="318" t="s">
        <v>3700</v>
      </c>
      <c r="D626" s="467" t="s">
        <v>3700</v>
      </c>
    </row>
    <row r="627" spans="1:4" ht="15">
      <c r="A627" s="316" t="s">
        <v>4356</v>
      </c>
      <c r="B627" s="316" t="s">
        <v>3701</v>
      </c>
      <c r="C627" s="318" t="s">
        <v>3701</v>
      </c>
      <c r="D627" s="467" t="s">
        <v>3701</v>
      </c>
    </row>
    <row r="628" spans="1:4" ht="15">
      <c r="A628" s="316" t="s">
        <v>4357</v>
      </c>
      <c r="B628" s="316" t="s">
        <v>3702</v>
      </c>
      <c r="C628" s="318" t="s">
        <v>3702</v>
      </c>
      <c r="D628" s="467" t="s">
        <v>3702</v>
      </c>
    </row>
    <row r="629" spans="1:4" ht="15">
      <c r="A629" s="316" t="s">
        <v>4358</v>
      </c>
      <c r="B629" s="316" t="s">
        <v>3703</v>
      </c>
      <c r="C629" s="318" t="s">
        <v>3703</v>
      </c>
      <c r="D629" s="467" t="s">
        <v>3703</v>
      </c>
    </row>
    <row r="630" spans="1:4" ht="15">
      <c r="A630" s="316" t="s">
        <v>4359</v>
      </c>
      <c r="B630" s="316" t="s">
        <v>3704</v>
      </c>
      <c r="C630" s="318" t="s">
        <v>3704</v>
      </c>
      <c r="D630" s="467" t="s">
        <v>3704</v>
      </c>
    </row>
    <row r="631" spans="1:4" ht="15">
      <c r="A631" s="316" t="s">
        <v>4360</v>
      </c>
      <c r="B631" s="316" t="s">
        <v>3705</v>
      </c>
      <c r="C631" s="318" t="s">
        <v>3705</v>
      </c>
      <c r="D631" s="467" t="s">
        <v>3705</v>
      </c>
    </row>
    <row r="632" spans="1:4" ht="15">
      <c r="A632" s="316" t="s">
        <v>4361</v>
      </c>
      <c r="B632" s="316" t="s">
        <v>3706</v>
      </c>
      <c r="C632" s="318" t="s">
        <v>3706</v>
      </c>
      <c r="D632" s="467" t="s">
        <v>3706</v>
      </c>
    </row>
    <row r="633" spans="1:4" ht="15">
      <c r="A633" s="316" t="s">
        <v>4362</v>
      </c>
      <c r="B633" s="316" t="s">
        <v>3707</v>
      </c>
      <c r="C633" s="318" t="s">
        <v>3707</v>
      </c>
      <c r="D633" s="67" t="s">
        <v>5471</v>
      </c>
    </row>
    <row r="634" spans="1:4" ht="15">
      <c r="A634" s="316" t="s">
        <v>4363</v>
      </c>
      <c r="B634" s="316" t="s">
        <v>3708</v>
      </c>
      <c r="C634" s="318" t="s">
        <v>5174</v>
      </c>
      <c r="D634" s="467" t="s">
        <v>3708</v>
      </c>
    </row>
    <row r="635" spans="1:4" ht="15">
      <c r="A635" s="316" t="s">
        <v>4364</v>
      </c>
      <c r="B635" s="316" t="s">
        <v>3709</v>
      </c>
      <c r="C635" s="318" t="s">
        <v>3709</v>
      </c>
      <c r="D635" s="467" t="s">
        <v>3709</v>
      </c>
    </row>
    <row r="636" spans="1:4" ht="15">
      <c r="A636" s="316" t="s">
        <v>4365</v>
      </c>
      <c r="B636" s="316" t="s">
        <v>3710</v>
      </c>
      <c r="C636" s="318" t="s">
        <v>3710</v>
      </c>
      <c r="D636" s="67" t="s">
        <v>5472</v>
      </c>
    </row>
    <row r="637" spans="1:4" ht="15">
      <c r="A637" s="316" t="s">
        <v>4366</v>
      </c>
      <c r="B637" s="316" t="s">
        <v>3711</v>
      </c>
      <c r="C637" s="318" t="s">
        <v>3711</v>
      </c>
      <c r="D637" s="467" t="s">
        <v>3711</v>
      </c>
    </row>
    <row r="638" spans="1:4" ht="15">
      <c r="A638" s="316" t="s">
        <v>4367</v>
      </c>
      <c r="B638" s="316" t="s">
        <v>3712</v>
      </c>
      <c r="C638" s="318" t="s">
        <v>3712</v>
      </c>
      <c r="D638" s="467" t="s">
        <v>3712</v>
      </c>
    </row>
    <row r="639" spans="1:4" ht="15">
      <c r="A639" s="316" t="s">
        <v>4368</v>
      </c>
      <c r="B639" s="316" t="s">
        <v>3713</v>
      </c>
      <c r="C639" s="318" t="s">
        <v>3713</v>
      </c>
      <c r="D639" s="67" t="s">
        <v>5473</v>
      </c>
    </row>
    <row r="640" spans="1:4" ht="15">
      <c r="A640" s="316" t="s">
        <v>4369</v>
      </c>
      <c r="B640" s="316" t="s">
        <v>3714</v>
      </c>
      <c r="C640" s="316" t="s">
        <v>5175</v>
      </c>
      <c r="D640" s="67" t="s">
        <v>5474</v>
      </c>
    </row>
    <row r="641" spans="1:4" ht="15">
      <c r="A641" s="316" t="s">
        <v>4370</v>
      </c>
      <c r="B641" s="316" t="s">
        <v>3715</v>
      </c>
      <c r="C641" s="316" t="s">
        <v>5176</v>
      </c>
      <c r="D641" s="67" t="s">
        <v>5475</v>
      </c>
    </row>
    <row r="642" spans="1:4" ht="15">
      <c r="A642" s="316" t="s">
        <v>4371</v>
      </c>
      <c r="B642" s="316" t="s">
        <v>3716</v>
      </c>
      <c r="C642" s="316" t="s">
        <v>5177</v>
      </c>
      <c r="D642" s="467" t="s">
        <v>3716</v>
      </c>
    </row>
    <row r="643" spans="1:4" ht="15">
      <c r="A643" s="316" t="s">
        <v>4372</v>
      </c>
      <c r="B643" s="316" t="s">
        <v>3717</v>
      </c>
      <c r="C643" s="316" t="s">
        <v>5178</v>
      </c>
      <c r="D643" s="67" t="s">
        <v>5476</v>
      </c>
    </row>
    <row r="644" spans="1:4" ht="15">
      <c r="A644" s="316" t="s">
        <v>4373</v>
      </c>
      <c r="B644" s="316" t="s">
        <v>3718</v>
      </c>
      <c r="C644" s="318" t="s">
        <v>3718</v>
      </c>
      <c r="D644" s="467" t="s">
        <v>3718</v>
      </c>
    </row>
    <row r="645" spans="1:4" ht="15">
      <c r="A645" s="316" t="s">
        <v>4374</v>
      </c>
      <c r="B645" s="316" t="s">
        <v>3719</v>
      </c>
      <c r="C645" s="316" t="s">
        <v>5179</v>
      </c>
      <c r="D645" s="467" t="s">
        <v>3719</v>
      </c>
    </row>
    <row r="646" spans="1:4" ht="15">
      <c r="A646" s="316" t="s">
        <v>4375</v>
      </c>
      <c r="B646" s="316" t="s">
        <v>3720</v>
      </c>
      <c r="C646" s="318" t="s">
        <v>3720</v>
      </c>
      <c r="D646" s="467" t="s">
        <v>3720</v>
      </c>
    </row>
    <row r="647" spans="1:4" ht="15">
      <c r="A647" s="316" t="s">
        <v>4376</v>
      </c>
      <c r="B647" s="316" t="s">
        <v>3721</v>
      </c>
      <c r="C647" s="316" t="s">
        <v>5180</v>
      </c>
      <c r="D647" s="467" t="s">
        <v>3721</v>
      </c>
    </row>
    <row r="648" spans="1:4" ht="15">
      <c r="A648" s="316" t="s">
        <v>4377</v>
      </c>
      <c r="B648" s="316" t="s">
        <v>3722</v>
      </c>
      <c r="C648" s="318" t="s">
        <v>3722</v>
      </c>
      <c r="D648" s="467" t="s">
        <v>3722</v>
      </c>
    </row>
    <row r="649" spans="1:4" ht="15">
      <c r="A649" s="316" t="s">
        <v>4378</v>
      </c>
      <c r="B649" s="316" t="s">
        <v>3723</v>
      </c>
      <c r="C649" s="318" t="s">
        <v>3723</v>
      </c>
      <c r="D649" s="467" t="s">
        <v>3723</v>
      </c>
    </row>
    <row r="650" spans="1:4" ht="15">
      <c r="A650" s="316" t="s">
        <v>4379</v>
      </c>
      <c r="B650" s="316" t="s">
        <v>3724</v>
      </c>
      <c r="C650" s="318" t="s">
        <v>3724</v>
      </c>
      <c r="D650" s="467" t="s">
        <v>3724</v>
      </c>
    </row>
    <row r="651" spans="1:4" ht="15">
      <c r="A651" s="316" t="s">
        <v>4380</v>
      </c>
      <c r="B651" s="316" t="s">
        <v>3725</v>
      </c>
      <c r="C651" s="318" t="s">
        <v>3725</v>
      </c>
      <c r="D651" s="467" t="s">
        <v>3725</v>
      </c>
    </row>
    <row r="652" spans="1:4" ht="15">
      <c r="A652" s="316" t="s">
        <v>4381</v>
      </c>
      <c r="B652" s="316" t="s">
        <v>3726</v>
      </c>
      <c r="C652" s="316" t="s">
        <v>5181</v>
      </c>
      <c r="D652" s="67" t="s">
        <v>5477</v>
      </c>
    </row>
    <row r="653" spans="1:4" ht="15">
      <c r="A653" s="316" t="s">
        <v>4382</v>
      </c>
      <c r="B653" s="316" t="s">
        <v>3727</v>
      </c>
      <c r="C653" s="318" t="s">
        <v>3727</v>
      </c>
      <c r="D653" s="467" t="s">
        <v>3727</v>
      </c>
    </row>
    <row r="654" spans="1:4" ht="15">
      <c r="A654" s="316" t="s">
        <v>4383</v>
      </c>
      <c r="B654" s="316" t="s">
        <v>3728</v>
      </c>
      <c r="C654" s="318" t="s">
        <v>3728</v>
      </c>
      <c r="D654" s="467" t="s">
        <v>3728</v>
      </c>
    </row>
    <row r="655" spans="1:4" ht="15">
      <c r="A655" s="316" t="s">
        <v>4384</v>
      </c>
      <c r="B655" s="316" t="s">
        <v>3729</v>
      </c>
      <c r="C655" s="318" t="s">
        <v>3729</v>
      </c>
      <c r="D655" s="467" t="s">
        <v>3729</v>
      </c>
    </row>
    <row r="656" spans="1:4" ht="15">
      <c r="A656" s="316" t="s">
        <v>4385</v>
      </c>
      <c r="B656" s="316" t="s">
        <v>3730</v>
      </c>
      <c r="C656" s="318" t="s">
        <v>3730</v>
      </c>
      <c r="D656" s="467" t="s">
        <v>3730</v>
      </c>
    </row>
  </sheetData>
  <autoFilter ref="A1:B656" xr:uid="{00000000-0009-0000-0000-00000D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22">
    <tabColor rgb="FFFFC000"/>
    <pageSetUpPr fitToPage="1"/>
  </sheetPr>
  <dimension ref="A1:AH72"/>
  <sheetViews>
    <sheetView view="pageBreakPreview" topLeftCell="A55" zoomScaleNormal="100" zoomScaleSheetLayoutView="100" workbookViewId="0">
      <selection activeCell="A3" sqref="A3"/>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34" hidden="1">
      <c r="H1" s="51"/>
      <c r="I1" s="51"/>
      <c r="L1" s="51"/>
      <c r="M1" s="51"/>
      <c r="N1" s="51"/>
      <c r="O1" s="51"/>
      <c r="P1" s="51"/>
      <c r="Q1" s="51"/>
      <c r="R1" s="51"/>
      <c r="S1" s="51"/>
      <c r="T1" s="51"/>
      <c r="U1" s="56"/>
      <c r="X1" s="58"/>
      <c r="Y1" s="58"/>
      <c r="Z1" s="58"/>
      <c r="AA1" s="58"/>
    </row>
    <row r="2" spans="1:34" hidden="1">
      <c r="H2" s="51"/>
      <c r="I2" s="51"/>
      <c r="L2" s="51"/>
      <c r="M2" s="51"/>
      <c r="N2" s="51"/>
      <c r="O2" s="51"/>
      <c r="P2" s="51"/>
      <c r="Q2" s="51"/>
      <c r="R2" s="51"/>
      <c r="S2" s="51"/>
      <c r="T2" s="51"/>
      <c r="U2" s="56"/>
      <c r="X2" s="58"/>
      <c r="Y2" s="58"/>
      <c r="Z2" s="58"/>
      <c r="AA2" s="58"/>
    </row>
    <row r="3" spans="1:34" s="42" customFormat="1" ht="38.25" customHeight="1">
      <c r="A3" s="41"/>
      <c r="B3" s="41"/>
      <c r="C3" s="41"/>
      <c r="D3" s="41"/>
      <c r="E3" s="41"/>
      <c r="G3" s="43"/>
      <c r="H3" s="41"/>
      <c r="I3" s="43"/>
      <c r="J3" s="43"/>
      <c r="AA3" s="468" t="s">
        <v>1257</v>
      </c>
      <c r="AB3" s="468"/>
      <c r="AC3" s="468"/>
      <c r="AD3" s="468"/>
      <c r="AE3" s="468"/>
      <c r="AF3" s="468"/>
      <c r="AG3" s="468"/>
      <c r="AH3" s="468"/>
    </row>
    <row r="4" spans="1:34" s="46" customFormat="1" ht="10.5" customHeight="1">
      <c r="A4" s="44"/>
      <c r="B4" s="44"/>
      <c r="C4" s="44"/>
      <c r="D4" s="44"/>
      <c r="E4" s="44"/>
      <c r="F4" s="44"/>
      <c r="G4" s="44"/>
      <c r="H4" s="44"/>
      <c r="I4" s="44"/>
      <c r="J4" s="44"/>
      <c r="K4" s="44"/>
      <c r="L4" s="44"/>
      <c r="M4" s="44"/>
      <c r="N4" s="44"/>
      <c r="O4" s="44"/>
      <c r="P4" s="44"/>
      <c r="Q4" s="44"/>
      <c r="R4" s="44"/>
      <c r="S4" s="44"/>
      <c r="T4" s="44"/>
      <c r="U4" s="45"/>
      <c r="X4" s="47"/>
      <c r="Y4" s="47"/>
      <c r="Z4" s="47"/>
      <c r="AA4" s="47"/>
    </row>
    <row r="5" spans="1:34"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34"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34"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34"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34"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34"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34"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34"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34"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34"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34"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34"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27"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27"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27"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27"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27"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27"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27"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27"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27"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27"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27"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row>
    <row r="44" spans="1:27"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27"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27"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27"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27"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L61" s="59"/>
      <c r="M61" s="59"/>
      <c r="N61" s="59"/>
      <c r="O61" s="59"/>
      <c r="P61" s="59"/>
      <c r="Q61" s="49"/>
      <c r="R61" s="44"/>
      <c r="S61" s="44"/>
      <c r="T61" s="44"/>
      <c r="U61" s="45"/>
      <c r="V61" s="46"/>
      <c r="W61" s="46"/>
      <c r="X61" s="47"/>
      <c r="Y61" s="47"/>
      <c r="Z61" s="53"/>
      <c r="AA61" s="53"/>
    </row>
    <row r="62" spans="1:27" s="54" customFormat="1" ht="9.75" customHeight="1">
      <c r="A62" s="60"/>
      <c r="B62" s="60"/>
      <c r="C62" s="60"/>
      <c r="D62" s="60"/>
      <c r="E62" s="60"/>
      <c r="G62" s="60"/>
      <c r="H62" s="62"/>
      <c r="J62" s="60"/>
      <c r="K62" s="60"/>
      <c r="L62" s="60"/>
      <c r="M62" s="60"/>
      <c r="N62" s="60"/>
      <c r="O62" s="60"/>
      <c r="P62" s="60"/>
      <c r="Q62" s="60"/>
      <c r="R62" s="60"/>
      <c r="S62" s="60"/>
      <c r="T62" s="60"/>
      <c r="U62" s="61"/>
      <c r="X62" s="53"/>
      <c r="Y62" s="53"/>
      <c r="Z62" s="53"/>
      <c r="AA62" s="53"/>
    </row>
    <row r="63" spans="1:27" s="46" customFormat="1" ht="12.75" customHeight="1">
      <c r="A63" s="44"/>
      <c r="B63" s="44"/>
      <c r="C63" s="44"/>
      <c r="D63" s="44"/>
      <c r="E63" s="736" t="str">
        <f>CHOOSE(jezyk,n!A29,n!B29,n!C29)</f>
        <v>Sprawozdanie finansowe</v>
      </c>
      <c r="F63" s="736"/>
      <c r="G63" s="736"/>
      <c r="H63" s="736"/>
      <c r="I63" s="736"/>
      <c r="J63" s="736"/>
      <c r="K63" s="736"/>
      <c r="L63" s="736"/>
      <c r="M63" s="736"/>
      <c r="N63" s="736"/>
      <c r="O63" s="736"/>
      <c r="P63" s="736"/>
      <c r="Q63" s="736"/>
      <c r="R63" s="736"/>
      <c r="S63" s="736"/>
      <c r="T63" s="736"/>
      <c r="U63" s="736"/>
      <c r="V63" s="736"/>
      <c r="X63" s="47"/>
      <c r="Y63" s="47"/>
      <c r="Z63" s="47"/>
      <c r="AA63" s="47"/>
    </row>
    <row r="64" spans="1:27" s="46" customFormat="1" ht="12" customHeight="1">
      <c r="A64" s="44"/>
      <c r="B64" s="44"/>
      <c r="C64" s="44"/>
      <c r="D64" s="44"/>
      <c r="E64" s="59" t="str">
        <f>CHOOSE(jezyk,n!A30,n!B30,n!C30)</f>
        <v>na dzień 31.12.2024</v>
      </c>
      <c r="G64" s="44"/>
      <c r="H64" s="52"/>
      <c r="J64" s="44"/>
      <c r="K64" s="44"/>
      <c r="L64" s="44"/>
      <c r="M64" s="44"/>
      <c r="N64" s="44"/>
      <c r="O64" s="44"/>
      <c r="P64" s="44"/>
      <c r="Q64" s="44"/>
      <c r="R64" s="44"/>
      <c r="S64" s="44"/>
      <c r="T64" s="44"/>
      <c r="U64" s="45"/>
      <c r="X64" s="47"/>
      <c r="Y64" s="47"/>
      <c r="Z64" s="47"/>
      <c r="AA64" s="47"/>
    </row>
    <row r="65" spans="1:27" s="46" customFormat="1" ht="12.75" customHeight="1">
      <c r="A65" s="44"/>
      <c r="B65" s="44"/>
      <c r="C65" s="44"/>
      <c r="D65" s="44"/>
      <c r="E65" s="51"/>
      <c r="G65" s="44"/>
      <c r="H65" s="50"/>
      <c r="J65" s="44"/>
      <c r="K65" s="44"/>
      <c r="L65" s="44"/>
      <c r="M65" s="44"/>
      <c r="N65" s="44"/>
      <c r="O65" s="44"/>
      <c r="P65" s="44"/>
      <c r="Q65" s="44"/>
      <c r="R65" s="44"/>
      <c r="S65" s="44"/>
      <c r="T65" s="44"/>
      <c r="U65" s="45"/>
      <c r="X65" s="47"/>
      <c r="Y65" s="47"/>
      <c r="Z65" s="47"/>
      <c r="AA65" s="47"/>
    </row>
    <row r="66" spans="1:27" s="46" customFormat="1" ht="46.5" customHeight="1">
      <c r="A66" s="44"/>
      <c r="B66" s="44"/>
      <c r="C66" s="44"/>
      <c r="D66" s="44"/>
      <c r="E66" s="737" t="str">
        <f>CHOOSE(jezyk,n!A31,n!B31,n!C31)</f>
        <v>NINIEJSZY DOKUMENT NIE STANOWI ORYGINAŁU SPRAWOZDANIA FINANSOWEGO W ROZUMIENIU USTAWY Z DN. 29 WRZEŚNIA 1994 R. O RACHUNKOWOŚCI (Dz. U. Z 2023 r., POZ. 120 z późn. zm.).</v>
      </c>
      <c r="F66" s="737"/>
      <c r="G66" s="737"/>
      <c r="H66" s="737"/>
      <c r="I66" s="737"/>
      <c r="J66" s="737"/>
      <c r="K66" s="737"/>
      <c r="L66" s="737"/>
      <c r="M66" s="737"/>
      <c r="N66" s="737"/>
      <c r="O66" s="737"/>
      <c r="P66" s="737"/>
      <c r="Q66" s="737"/>
      <c r="R66" s="737"/>
      <c r="S66" s="737"/>
      <c r="T66" s="737"/>
      <c r="U66" s="737"/>
      <c r="V66" s="737"/>
      <c r="X66" s="47"/>
      <c r="Y66" s="47"/>
      <c r="Z66" s="47"/>
      <c r="AA66" s="47"/>
    </row>
    <row r="67" spans="1:27" s="46" customFormat="1" ht="30" customHeight="1">
      <c r="A67" s="44"/>
      <c r="B67" s="44"/>
      <c r="C67" s="44"/>
      <c r="D67" s="44"/>
      <c r="E67" s="737" t="str">
        <f>CHOOSE(jezyk,n!A32,n!B32,n!C32)</f>
        <v xml:space="preserve">SPRAWOZDANIE FINANSOWE SPÓŁKI SPORZĄDZONE ZOSTAŁO W WYMAGANEJ PRZEZ USTAWĘ FORMIE ELEKTRONICZNEJ. </v>
      </c>
      <c r="F67" s="737"/>
      <c r="G67" s="737"/>
      <c r="H67" s="737"/>
      <c r="I67" s="737"/>
      <c r="J67" s="737"/>
      <c r="K67" s="737"/>
      <c r="L67" s="737"/>
      <c r="M67" s="737"/>
      <c r="N67" s="737"/>
      <c r="O67" s="737"/>
      <c r="P67" s="737"/>
      <c r="Q67" s="737"/>
      <c r="R67" s="737"/>
      <c r="S67" s="737"/>
      <c r="T67" s="737"/>
      <c r="U67" s="737"/>
      <c r="V67" s="737"/>
      <c r="X67" s="47"/>
      <c r="Y67" s="47"/>
      <c r="Z67" s="47"/>
      <c r="AA67" s="47"/>
    </row>
    <row r="68" spans="1:27" s="46" customFormat="1">
      <c r="A68" s="44"/>
      <c r="B68" s="44"/>
      <c r="C68" s="44"/>
      <c r="D68" s="44"/>
      <c r="E68" s="391"/>
      <c r="F68" s="391"/>
      <c r="G68" s="391"/>
      <c r="H68" s="391"/>
      <c r="I68" s="391"/>
      <c r="J68" s="391"/>
      <c r="K68" s="391"/>
      <c r="L68" s="391"/>
      <c r="M68" s="391"/>
      <c r="N68" s="391"/>
      <c r="O68" s="391"/>
      <c r="P68" s="391"/>
      <c r="Q68" s="391"/>
      <c r="R68" s="391"/>
      <c r="S68" s="391"/>
      <c r="T68" s="391"/>
      <c r="U68" s="391"/>
      <c r="V68" s="391"/>
      <c r="X68" s="47"/>
      <c r="Y68" s="47"/>
      <c r="Z68" s="47"/>
      <c r="AA68" s="47"/>
    </row>
    <row r="69" spans="1:27" s="46" customFormat="1" ht="10.5" customHeight="1">
      <c r="A69" s="44"/>
      <c r="B69" s="44"/>
      <c r="C69" s="44"/>
      <c r="D69" s="44"/>
      <c r="E69" s="737" t="str">
        <f>CHOOSE(jezyk,n!A34,n!B34,n!C34)</f>
        <v>NINIEJSZY DOKUMENT STANOWI JEDYNIE KOPIĘ W/W SPRAWOZDANIA FINANSOWEGO.</v>
      </c>
      <c r="F69" s="737"/>
      <c r="G69" s="737"/>
      <c r="H69" s="737"/>
      <c r="I69" s="737"/>
      <c r="J69" s="737"/>
      <c r="K69" s="737"/>
      <c r="L69" s="737"/>
      <c r="M69" s="737"/>
      <c r="N69" s="737"/>
      <c r="O69" s="737"/>
      <c r="P69" s="737"/>
      <c r="Q69" s="737"/>
      <c r="R69" s="737"/>
      <c r="S69" s="737"/>
      <c r="T69" s="737"/>
      <c r="U69" s="737"/>
      <c r="V69" s="737"/>
      <c r="X69" s="47"/>
      <c r="Y69" s="47"/>
      <c r="Z69" s="47"/>
      <c r="AA69" s="47"/>
    </row>
    <row r="70" spans="1:27" s="46" customFormat="1" ht="20.25" customHeight="1">
      <c r="A70" s="44"/>
      <c r="B70" s="44"/>
      <c r="C70" s="44"/>
      <c r="D70" s="44"/>
      <c r="E70" s="737"/>
      <c r="F70" s="737"/>
      <c r="G70" s="737"/>
      <c r="H70" s="737"/>
      <c r="I70" s="737"/>
      <c r="J70" s="737"/>
      <c r="K70" s="737"/>
      <c r="L70" s="737"/>
      <c r="M70" s="737"/>
      <c r="N70" s="737"/>
      <c r="O70" s="737"/>
      <c r="P70" s="737"/>
      <c r="Q70" s="737"/>
      <c r="R70" s="737"/>
      <c r="S70" s="737"/>
      <c r="T70" s="737"/>
      <c r="U70" s="737"/>
      <c r="V70" s="737"/>
      <c r="X70" s="47"/>
      <c r="Y70" s="47"/>
      <c r="Z70" s="47"/>
      <c r="AA70" s="47"/>
    </row>
    <row r="71" spans="1:27" s="46" customFormat="1" ht="10.5" hidden="1"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46" customFormat="1" ht="10.5" customHeight="1">
      <c r="A72" s="44"/>
      <c r="B72" s="44"/>
      <c r="C72" s="44"/>
      <c r="D72" s="44"/>
      <c r="E72" s="44"/>
      <c r="F72" s="44"/>
      <c r="G72" s="44"/>
      <c r="H72" s="44"/>
      <c r="I72" s="44"/>
      <c r="J72" s="44"/>
      <c r="K72" s="44"/>
      <c r="L72" s="44"/>
      <c r="M72" s="44"/>
      <c r="N72" s="44"/>
      <c r="O72" s="44"/>
      <c r="P72" s="44"/>
      <c r="Q72" s="44"/>
      <c r="R72" s="44"/>
      <c r="S72" s="44"/>
      <c r="T72" s="44"/>
      <c r="U72" s="45"/>
      <c r="X72" s="47"/>
      <c r="Y72" s="47"/>
      <c r="Z72" s="47"/>
      <c r="AA72" s="47"/>
    </row>
  </sheetData>
  <sheetProtection formatCells="0" formatRows="0" insertRows="0" deleteRows="0"/>
  <mergeCells count="7">
    <mergeCell ref="E54:W58"/>
    <mergeCell ref="E59:P60"/>
    <mergeCell ref="E63:V63"/>
    <mergeCell ref="E69:V70"/>
    <mergeCell ref="E66:V66"/>
    <mergeCell ref="E67:V67"/>
    <mergeCell ref="E61:F61"/>
  </mergeCells>
  <hyperlinks>
    <hyperlink ref="AA3:AH3" location="'spis treści'!A1" display="SPIS TREŚCI" xr:uid="{00000000-0004-0000-0E00-000001000000}"/>
  </hyperlinks>
  <pageMargins left="0.70866141732283472" right="0.23622047244094491" top="0.35433070866141736" bottom="0.19685039370078741" header="0.27559055118110237" footer="7.874015748031496E-2"/>
  <pageSetup paperSize="9" fitToHeight="0" orientation="portrait" blackAndWhite="1" r:id="rId1"/>
  <colBreaks count="1" manualBreakCount="1">
    <brk id="26" max="71"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20">
    <tabColor rgb="FF92D050"/>
  </sheetPr>
  <dimension ref="A1:K1789"/>
  <sheetViews>
    <sheetView showGridLines="0" topLeftCell="A1634" zoomScale="90" zoomScaleNormal="90" workbookViewId="0">
      <selection activeCell="B1647" sqref="B1647"/>
    </sheetView>
  </sheetViews>
  <sheetFormatPr defaultColWidth="7.85546875" defaultRowHeight="12.75"/>
  <cols>
    <col min="1" max="1" width="42.85546875" style="291" customWidth="1"/>
    <col min="2" max="2" width="40" style="489" customWidth="1"/>
    <col min="3" max="3" width="43" style="291" customWidth="1"/>
    <col min="4" max="4" width="66.5703125" style="291" customWidth="1"/>
    <col min="5" max="5" width="47.5703125" style="291" customWidth="1"/>
    <col min="6" max="6" width="11" style="291" bestFit="1" customWidth="1"/>
    <col min="7" max="7" width="16.85546875" style="291" customWidth="1"/>
    <col min="8" max="8" width="12.7109375" style="291" bestFit="1" customWidth="1"/>
    <col min="9" max="16384" width="7.85546875" style="291"/>
  </cols>
  <sheetData>
    <row r="1" spans="1:4" ht="13.5" thickBot="1">
      <c r="A1" s="738" t="s">
        <v>992</v>
      </c>
      <c r="B1" s="738"/>
      <c r="C1" s="739"/>
    </row>
    <row r="2" spans="1:4" ht="25.5">
      <c r="A2" s="487" t="s">
        <v>1494</v>
      </c>
      <c r="B2" s="293" t="s">
        <v>1571</v>
      </c>
      <c r="C2" s="487" t="s">
        <v>1900</v>
      </c>
      <c r="D2" s="487"/>
    </row>
    <row r="3" spans="1:4">
      <c r="A3" s="291" t="s">
        <v>132</v>
      </c>
      <c r="B3" s="293" t="s">
        <v>1361</v>
      </c>
      <c r="C3" s="291" t="s">
        <v>1004</v>
      </c>
    </row>
    <row r="4" spans="1:4">
      <c r="A4" s="291" t="s">
        <v>514</v>
      </c>
      <c r="B4" s="293" t="s">
        <v>1572</v>
      </c>
      <c r="C4" s="291" t="s">
        <v>725</v>
      </c>
    </row>
    <row r="5" spans="1:4">
      <c r="A5" s="291" t="s">
        <v>993</v>
      </c>
      <c r="B5" s="293" t="s">
        <v>1362</v>
      </c>
      <c r="C5" s="291" t="s">
        <v>197</v>
      </c>
    </row>
    <row r="6" spans="1:4">
      <c r="A6" s="291" t="s">
        <v>994</v>
      </c>
      <c r="B6" s="293" t="s">
        <v>1363</v>
      </c>
      <c r="C6" s="291" t="s">
        <v>135</v>
      </c>
    </row>
    <row r="7" spans="1:4">
      <c r="A7" s="291" t="s">
        <v>995</v>
      </c>
      <c r="B7" s="293" t="s">
        <v>1364</v>
      </c>
      <c r="C7" s="291" t="s">
        <v>1478</v>
      </c>
    </row>
    <row r="8" spans="1:4">
      <c r="A8" s="291" t="s">
        <v>1445</v>
      </c>
      <c r="B8" s="293" t="s">
        <v>1365</v>
      </c>
      <c r="C8" s="291" t="s">
        <v>198</v>
      </c>
    </row>
    <row r="9" spans="1:4">
      <c r="A9" s="291" t="s">
        <v>997</v>
      </c>
      <c r="B9" s="293" t="s">
        <v>137</v>
      </c>
      <c r="C9" s="291" t="s">
        <v>1472</v>
      </c>
    </row>
    <row r="10" spans="1:4">
      <c r="A10" s="291" t="s">
        <v>996</v>
      </c>
      <c r="B10" s="293" t="s">
        <v>1366</v>
      </c>
      <c r="C10" s="291" t="s">
        <v>1473</v>
      </c>
    </row>
    <row r="11" spans="1:4">
      <c r="A11" s="291" t="s">
        <v>998</v>
      </c>
      <c r="B11" s="293" t="s">
        <v>1367</v>
      </c>
      <c r="C11" s="291" t="s">
        <v>199</v>
      </c>
    </row>
    <row r="12" spans="1:4">
      <c r="A12" s="291" t="s">
        <v>999</v>
      </c>
      <c r="B12" s="293" t="s">
        <v>1368</v>
      </c>
      <c r="C12" s="291" t="s">
        <v>1474</v>
      </c>
    </row>
    <row r="13" spans="1:4">
      <c r="A13" s="291" t="s">
        <v>133</v>
      </c>
      <c r="B13" s="293" t="s">
        <v>1369</v>
      </c>
      <c r="C13" s="291" t="s">
        <v>88</v>
      </c>
    </row>
    <row r="14" spans="1:4">
      <c r="A14" s="291" t="s">
        <v>1000</v>
      </c>
      <c r="B14" s="293" t="s">
        <v>1370</v>
      </c>
      <c r="C14" s="291" t="s">
        <v>1475</v>
      </c>
    </row>
    <row r="15" spans="1:4">
      <c r="A15" s="291" t="s">
        <v>1001</v>
      </c>
      <c r="B15" s="293" t="s">
        <v>1371</v>
      </c>
      <c r="C15" s="291" t="s">
        <v>1476</v>
      </c>
    </row>
    <row r="16" spans="1:4">
      <c r="A16" s="291" t="s">
        <v>1002</v>
      </c>
      <c r="B16" s="293" t="s">
        <v>549</v>
      </c>
      <c r="C16" s="291" t="s">
        <v>1477</v>
      </c>
    </row>
    <row r="17" spans="1:4">
      <c r="A17" s="291" t="s">
        <v>1202</v>
      </c>
      <c r="B17" s="293" t="s">
        <v>550</v>
      </c>
      <c r="C17" s="291" t="s">
        <v>1479</v>
      </c>
    </row>
    <row r="18" spans="1:4">
      <c r="A18" s="291" t="s">
        <v>1481</v>
      </c>
      <c r="B18" s="293" t="s">
        <v>1573</v>
      </c>
      <c r="C18" s="291" t="s">
        <v>1005</v>
      </c>
    </row>
    <row r="19" spans="1:4">
      <c r="A19" s="488" t="s">
        <v>917</v>
      </c>
      <c r="B19" s="293" t="s">
        <v>556</v>
      </c>
      <c r="C19" s="291" t="s">
        <v>1148</v>
      </c>
    </row>
    <row r="20" spans="1:4" ht="25.5">
      <c r="A20" s="291" t="s">
        <v>1003</v>
      </c>
      <c r="B20" s="293" t="s">
        <v>552</v>
      </c>
      <c r="C20" s="291" t="s">
        <v>200</v>
      </c>
    </row>
    <row r="21" spans="1:4">
      <c r="A21" s="291" t="s">
        <v>712</v>
      </c>
      <c r="B21" s="293" t="s">
        <v>553</v>
      </c>
      <c r="C21" s="291" t="s">
        <v>201</v>
      </c>
    </row>
    <row r="22" spans="1:4">
      <c r="A22" s="291" t="s">
        <v>1502</v>
      </c>
      <c r="B22" s="293" t="s">
        <v>554</v>
      </c>
      <c r="C22" s="291" t="s">
        <v>202</v>
      </c>
    </row>
    <row r="23" spans="1:4" ht="25.5">
      <c r="A23" s="291" t="s">
        <v>915</v>
      </c>
      <c r="B23" s="293" t="s">
        <v>557</v>
      </c>
      <c r="C23" s="291" t="s">
        <v>1176</v>
      </c>
    </row>
    <row r="24" spans="1:4">
      <c r="A24" s="291" t="s">
        <v>916</v>
      </c>
      <c r="B24" s="293" t="s">
        <v>1574</v>
      </c>
      <c r="C24" s="291" t="s">
        <v>1007</v>
      </c>
    </row>
    <row r="25" spans="1:4">
      <c r="A25" s="291" t="s">
        <v>913</v>
      </c>
      <c r="B25" s="293" t="s">
        <v>5848</v>
      </c>
      <c r="C25" s="291" t="s">
        <v>203</v>
      </c>
    </row>
    <row r="26" spans="1:4">
      <c r="A26" s="291" t="s">
        <v>914</v>
      </c>
      <c r="B26" s="293" t="s">
        <v>5849</v>
      </c>
      <c r="C26" s="291" t="s">
        <v>204</v>
      </c>
    </row>
    <row r="27" spans="1:4" ht="25.5" customHeight="1">
      <c r="A27" s="291" t="str">
        <f>"Sprawozdanie finansowe sporządzone za rok obrotowy "&amp;ro</f>
        <v>Sprawozdanie finansowe sporządzone za rok obrotowy 2024</v>
      </c>
      <c r="B27" s="291" t="str">
        <f>"Jahresabschluss für das Geschäftsjahr "&amp;ro</f>
        <v>Jahresabschluss für das Geschäftsjahr 2024</v>
      </c>
      <c r="C27" s="291" t="str">
        <f>"The financial statements for the financial year "&amp;ro</f>
        <v>The financial statements for the financial year 2024</v>
      </c>
    </row>
    <row r="28" spans="1:4">
      <c r="A28" s="291" t="s">
        <v>797</v>
      </c>
      <c r="B28" s="489" t="s">
        <v>555</v>
      </c>
      <c r="C28" s="291" t="s">
        <v>1006</v>
      </c>
    </row>
    <row r="29" spans="1:4">
      <c r="A29" s="291" t="s">
        <v>2485</v>
      </c>
      <c r="B29" s="293" t="s">
        <v>2855</v>
      </c>
      <c r="C29" s="291" t="s">
        <v>2945</v>
      </c>
    </row>
    <row r="30" spans="1:4">
      <c r="A30" s="490" t="str">
        <f>"na dzień "&amp;dzb</f>
        <v>na dzień 31.12.2024</v>
      </c>
      <c r="B30" s="491" t="str">
        <f>"zum "&amp;dzb</f>
        <v>zum 31.12.2024</v>
      </c>
      <c r="C30" s="490" t="str">
        <f>"as of "&amp;dzb</f>
        <v>as of 31.12.2024</v>
      </c>
    </row>
    <row r="31" spans="1:4" ht="76.5">
      <c r="A31" s="492" t="str">
        <f>"NINIEJSZY DOKUMENT NIE STANOWI ORYGINAŁU SPRAWOZDANIA FINANSOWEGO W ROZUMIENIU USTAWY Z DN. 29 WRZEŚNIA 1994 R. O RACHUNKOWOŚCI ("&amp;GA!N47&amp;")."</f>
        <v>NINIEJSZY DOKUMENT NIE STANOWI ORYGINAŁU SPRAWOZDANIA FINANSOWEGO W ROZUMIENIU USTAWY Z DN. 29 WRZEŚNIA 1994 R. O RACHUNKOWOŚCI (Dz. U. Z 2023 r., POZ. 120 z późn. zm.).</v>
      </c>
      <c r="B31" s="492" t="str">
        <f>"DIESES DOKUMENT IST KEIN ORIGINAL DES JAHRESABSCHLUSSES IM SINNE DES RECHNUNGSLEGUNGSGESETZES VOM 29. SEPTEMBER 1994 ("&amp;GA!O47&amp;")."</f>
        <v>DIESES DOKUMENT IST KEIN ORIGINAL DES JAHRESABSCHLUSSES IM SINNE DES RECHNUNGSLEGUNGSGESETZES VOM 29. SEPTEMBER 1994 (DZ. U. JAHRGANG 2023, POS. 120 M.Ä.).</v>
      </c>
      <c r="C31" s="492" t="str">
        <f>"THESE ARE NOT THE ORIGINAL FINANCIAL STATEMENTS IN THE MEANING OF THE ACCOUNTING ACT OF 29 SEPTEMBER 1994 ("&amp;GA!P47&amp;")."</f>
        <v>THESE ARE NOT THE ORIGINAL FINANCIAL STATEMENTS IN THE MEANING OF THE ACCOUNTING ACT OF 29 SEPTEMBER 1994 (JOURNAL OF LAWS OF 2023, ITEM 120, AS AMENDED).</v>
      </c>
      <c r="D31" s="291" t="s">
        <v>6488</v>
      </c>
    </row>
    <row r="32" spans="1:4" ht="38.25">
      <c r="A32" s="490" t="s">
        <v>2489</v>
      </c>
      <c r="B32" s="490" t="s">
        <v>2856</v>
      </c>
      <c r="C32" s="490" t="s">
        <v>2946</v>
      </c>
    </row>
    <row r="33" spans="1:5" ht="51">
      <c r="A33" s="490" t="s">
        <v>6649</v>
      </c>
      <c r="B33" s="490" t="s">
        <v>2856</v>
      </c>
      <c r="C33" s="490" t="s">
        <v>6757</v>
      </c>
    </row>
    <row r="34" spans="1:5" ht="38.25">
      <c r="A34" s="490" t="s">
        <v>2488</v>
      </c>
      <c r="B34" s="490" t="s">
        <v>2857</v>
      </c>
      <c r="C34" s="490" t="s">
        <v>2947</v>
      </c>
    </row>
    <row r="35" spans="1:5" ht="51">
      <c r="A35" s="291" t="s">
        <v>2487</v>
      </c>
      <c r="B35" s="291" t="s">
        <v>5850</v>
      </c>
      <c r="C35" s="291" t="s">
        <v>2948</v>
      </c>
    </row>
    <row r="36" spans="1:5" ht="13.5" thickBot="1">
      <c r="A36" s="638"/>
      <c r="B36" s="640" t="s">
        <v>346</v>
      </c>
      <c r="C36" s="639"/>
    </row>
    <row r="37" spans="1:5" ht="25.5">
      <c r="A37" s="291" t="s">
        <v>1067</v>
      </c>
      <c r="B37" s="293" t="s">
        <v>559</v>
      </c>
      <c r="C37" s="291" t="s">
        <v>1008</v>
      </c>
    </row>
    <row r="38" spans="1:5">
      <c r="A38" s="291" t="s">
        <v>759</v>
      </c>
      <c r="B38" s="293" t="s">
        <v>5851</v>
      </c>
      <c r="C38" s="291" t="s">
        <v>1009</v>
      </c>
    </row>
    <row r="39" spans="1:5">
      <c r="A39" s="291" t="s">
        <v>1068</v>
      </c>
      <c r="B39" s="293" t="s">
        <v>1377</v>
      </c>
      <c r="C39" s="291" t="s">
        <v>1010</v>
      </c>
    </row>
    <row r="40" spans="1:5">
      <c r="A40" s="291" t="s">
        <v>442</v>
      </c>
      <c r="B40" s="293" t="s">
        <v>1376</v>
      </c>
      <c r="C40" s="291" t="s">
        <v>1011</v>
      </c>
      <c r="E40" s="493"/>
    </row>
    <row r="41" spans="1:5" ht="25.5">
      <c r="A41" s="291" t="s">
        <v>704</v>
      </c>
      <c r="B41" s="293" t="s">
        <v>1378</v>
      </c>
      <c r="C41" s="291" t="s">
        <v>1012</v>
      </c>
    </row>
    <row r="42" spans="1:5" ht="25.5">
      <c r="A42" s="291" t="s">
        <v>6055</v>
      </c>
      <c r="B42" s="293" t="s">
        <v>6056</v>
      </c>
      <c r="C42" s="291" t="s">
        <v>6057</v>
      </c>
    </row>
    <row r="43" spans="1:5">
      <c r="A43" s="291" t="s">
        <v>705</v>
      </c>
      <c r="B43" s="293" t="s">
        <v>1379</v>
      </c>
      <c r="C43" s="291" t="s">
        <v>1013</v>
      </c>
    </row>
    <row r="44" spans="1:5">
      <c r="A44" s="291" t="s">
        <v>2689</v>
      </c>
      <c r="B44" s="293" t="s">
        <v>4520</v>
      </c>
      <c r="C44" s="291" t="s">
        <v>4519</v>
      </c>
    </row>
    <row r="45" spans="1:5" ht="38.25">
      <c r="A45" s="291" t="s">
        <v>706</v>
      </c>
      <c r="B45" s="293" t="s">
        <v>1606</v>
      </c>
      <c r="C45" s="291" t="s">
        <v>5753</v>
      </c>
    </row>
    <row r="46" spans="1:5" ht="38.25">
      <c r="A46" s="291" t="s">
        <v>6650</v>
      </c>
      <c r="B46" s="293" t="s">
        <v>1606</v>
      </c>
      <c r="C46" s="291" t="s">
        <v>5753</v>
      </c>
    </row>
    <row r="47" spans="1:5" ht="38.25">
      <c r="A47" s="291" t="s">
        <v>6244</v>
      </c>
      <c r="B47" s="293" t="s">
        <v>6243</v>
      </c>
      <c r="C47" s="291" t="s">
        <v>6245</v>
      </c>
    </row>
    <row r="48" spans="1:5" ht="38.25">
      <c r="A48" s="291" t="s">
        <v>6651</v>
      </c>
      <c r="B48" s="293" t="s">
        <v>6243</v>
      </c>
      <c r="C48" s="291" t="s">
        <v>6245</v>
      </c>
    </row>
    <row r="49" spans="1:3" ht="38.25">
      <c r="A49" s="291" t="s">
        <v>707</v>
      </c>
      <c r="B49" s="293" t="s">
        <v>1607</v>
      </c>
      <c r="C49" s="291" t="s">
        <v>5754</v>
      </c>
    </row>
    <row r="50" spans="1:3" ht="38.25">
      <c r="A50" s="291" t="s">
        <v>6652</v>
      </c>
      <c r="B50" s="293" t="s">
        <v>1607</v>
      </c>
      <c r="C50" s="291" t="s">
        <v>5754</v>
      </c>
    </row>
    <row r="51" spans="1:3" ht="38.25">
      <c r="A51" s="291" t="s">
        <v>4521</v>
      </c>
      <c r="B51" s="494" t="s">
        <v>4523</v>
      </c>
      <c r="C51" s="291" t="s">
        <v>4522</v>
      </c>
    </row>
    <row r="52" spans="1:3">
      <c r="A52" s="291" t="s">
        <v>1524</v>
      </c>
      <c r="B52" s="293" t="s">
        <v>561</v>
      </c>
      <c r="C52" s="291" t="s">
        <v>1014</v>
      </c>
    </row>
    <row r="53" spans="1:3" ht="25.5">
      <c r="A53" s="291" t="s">
        <v>1525</v>
      </c>
      <c r="B53" s="293" t="s">
        <v>562</v>
      </c>
      <c r="C53" s="291" t="s">
        <v>1212</v>
      </c>
    </row>
    <row r="54" spans="1:3" ht="63.75">
      <c r="A54" s="291" t="s">
        <v>342</v>
      </c>
      <c r="B54" s="293" t="s">
        <v>1785</v>
      </c>
      <c r="C54" s="291" t="s">
        <v>1901</v>
      </c>
    </row>
    <row r="55" spans="1:3">
      <c r="A55" s="291" t="s">
        <v>1129</v>
      </c>
      <c r="B55" s="293" t="s">
        <v>2231</v>
      </c>
      <c r="C55" s="291" t="s">
        <v>1497</v>
      </c>
    </row>
    <row r="56" spans="1:3">
      <c r="A56" s="291" t="s">
        <v>517</v>
      </c>
      <c r="B56" s="293" t="s">
        <v>2235</v>
      </c>
      <c r="C56" s="291" t="s">
        <v>775</v>
      </c>
    </row>
    <row r="57" spans="1:3" ht="25.5">
      <c r="A57" s="291" t="s">
        <v>776</v>
      </c>
      <c r="B57" s="293" t="s">
        <v>563</v>
      </c>
      <c r="C57" s="291" t="s">
        <v>1498</v>
      </c>
    </row>
    <row r="58" spans="1:3">
      <c r="A58" s="291" t="s">
        <v>308</v>
      </c>
      <c r="B58" s="293" t="s">
        <v>564</v>
      </c>
      <c r="C58" s="291" t="s">
        <v>1211</v>
      </c>
    </row>
    <row r="59" spans="1:3">
      <c r="A59" s="291" t="s">
        <v>505</v>
      </c>
      <c r="B59" s="293" t="s">
        <v>1592</v>
      </c>
      <c r="C59" s="291" t="s">
        <v>1015</v>
      </c>
    </row>
    <row r="60" spans="1:3" ht="25.5">
      <c r="A60" s="291" t="s">
        <v>2190</v>
      </c>
      <c r="B60" s="293" t="s">
        <v>2232</v>
      </c>
      <c r="C60" s="495" t="s">
        <v>32</v>
      </c>
    </row>
    <row r="61" spans="1:3">
      <c r="A61" s="291" t="s">
        <v>524</v>
      </c>
      <c r="B61" s="293" t="s">
        <v>2233</v>
      </c>
      <c r="C61" s="495" t="s">
        <v>33</v>
      </c>
    </row>
    <row r="62" spans="1:3">
      <c r="A62" s="291" t="s">
        <v>526</v>
      </c>
      <c r="B62" s="293" t="s">
        <v>566</v>
      </c>
      <c r="C62" s="495" t="s">
        <v>34</v>
      </c>
    </row>
    <row r="63" spans="1:3">
      <c r="A63" s="291" t="s">
        <v>525</v>
      </c>
      <c r="B63" s="293" t="s">
        <v>2234</v>
      </c>
      <c r="C63" s="495" t="s">
        <v>1141</v>
      </c>
    </row>
    <row r="64" spans="1:3" ht="38.25">
      <c r="A64" s="291" t="s">
        <v>558</v>
      </c>
      <c r="B64" s="293" t="s">
        <v>1575</v>
      </c>
      <c r="C64" s="291" t="s">
        <v>726</v>
      </c>
    </row>
    <row r="65" spans="1:5">
      <c r="A65" s="291" t="s">
        <v>1209</v>
      </c>
      <c r="B65" s="293" t="s">
        <v>568</v>
      </c>
      <c r="C65" s="291" t="s">
        <v>1210</v>
      </c>
    </row>
    <row r="66" spans="1:5">
      <c r="A66" s="291" t="s">
        <v>1208</v>
      </c>
      <c r="B66" s="293" t="s">
        <v>569</v>
      </c>
      <c r="C66" s="291" t="s">
        <v>1207</v>
      </c>
    </row>
    <row r="67" spans="1:5" ht="25.5">
      <c r="A67" s="291" t="s">
        <v>713</v>
      </c>
      <c r="B67" s="293" t="s">
        <v>570</v>
      </c>
      <c r="C67" s="291" t="s">
        <v>1410</v>
      </c>
    </row>
    <row r="68" spans="1:5" ht="25.5">
      <c r="A68" s="291" t="s">
        <v>714</v>
      </c>
      <c r="B68" s="293" t="s">
        <v>103</v>
      </c>
      <c r="C68" s="291" t="s">
        <v>1411</v>
      </c>
    </row>
    <row r="69" spans="1:5">
      <c r="A69" s="291" t="s">
        <v>715</v>
      </c>
      <c r="B69" s="293" t="s">
        <v>104</v>
      </c>
      <c r="C69" s="291" t="s">
        <v>1412</v>
      </c>
    </row>
    <row r="70" spans="1:5">
      <c r="A70" s="291" t="s">
        <v>435</v>
      </c>
      <c r="B70" s="293" t="s">
        <v>1789</v>
      </c>
      <c r="C70" s="291" t="s">
        <v>436</v>
      </c>
    </row>
    <row r="71" spans="1:5">
      <c r="A71" s="291" t="s">
        <v>1569</v>
      </c>
      <c r="B71" s="293" t="s">
        <v>105</v>
      </c>
      <c r="C71" s="291" t="s">
        <v>1413</v>
      </c>
    </row>
    <row r="72" spans="1:5">
      <c r="A72" s="291" t="s">
        <v>1570</v>
      </c>
      <c r="B72" s="293" t="s">
        <v>106</v>
      </c>
      <c r="C72" s="291" t="s">
        <v>1414</v>
      </c>
    </row>
    <row r="73" spans="1:5" ht="25.5">
      <c r="A73" s="291" t="s">
        <v>441</v>
      </c>
      <c r="B73" s="293" t="s">
        <v>1576</v>
      </c>
      <c r="C73" s="291" t="s">
        <v>1415</v>
      </c>
      <c r="E73" s="95"/>
    </row>
    <row r="74" spans="1:5">
      <c r="A74" s="291" t="s">
        <v>657</v>
      </c>
      <c r="B74" s="293" t="s">
        <v>107</v>
      </c>
      <c r="C74" s="291" t="s">
        <v>1416</v>
      </c>
    </row>
    <row r="75" spans="1:5" ht="25.5">
      <c r="A75" s="291" t="s">
        <v>6430</v>
      </c>
      <c r="B75" s="293" t="s">
        <v>6431</v>
      </c>
      <c r="C75" s="291" t="s">
        <v>6432</v>
      </c>
    </row>
    <row r="76" spans="1:5" ht="38.25">
      <c r="A76" s="291" t="s">
        <v>343</v>
      </c>
      <c r="B76" s="293" t="s">
        <v>1372</v>
      </c>
      <c r="C76" s="291" t="s">
        <v>1273</v>
      </c>
    </row>
    <row r="77" spans="1:5" ht="38.25">
      <c r="A77" s="293" t="s">
        <v>6666</v>
      </c>
      <c r="B77" s="293" t="s">
        <v>1372</v>
      </c>
      <c r="C77" s="291" t="s">
        <v>1273</v>
      </c>
    </row>
    <row r="78" spans="1:5" ht="38.25">
      <c r="A78" s="291" t="s">
        <v>344</v>
      </c>
      <c r="B78" s="293" t="s">
        <v>1373</v>
      </c>
      <c r="C78" s="291" t="s">
        <v>1274</v>
      </c>
    </row>
    <row r="79" spans="1:5" ht="38.25">
      <c r="A79" s="293" t="s">
        <v>6667</v>
      </c>
      <c r="B79" s="293" t="s">
        <v>1373</v>
      </c>
      <c r="C79" s="291" t="s">
        <v>1274</v>
      </c>
    </row>
    <row r="80" spans="1:5" ht="25.5">
      <c r="A80" s="291" t="s">
        <v>2765</v>
      </c>
      <c r="B80" s="293" t="s">
        <v>1374</v>
      </c>
      <c r="C80" s="291" t="s">
        <v>1177</v>
      </c>
    </row>
    <row r="81" spans="1:3" ht="25.5">
      <c r="A81" s="291" t="s">
        <v>2764</v>
      </c>
      <c r="B81" s="293" t="s">
        <v>1375</v>
      </c>
      <c r="C81" s="291" t="s">
        <v>1178</v>
      </c>
    </row>
    <row r="82" spans="1:3">
      <c r="A82" s="291" t="s">
        <v>419</v>
      </c>
      <c r="B82" s="293" t="s">
        <v>1338</v>
      </c>
      <c r="C82" s="291" t="s">
        <v>760</v>
      </c>
    </row>
    <row r="84" spans="1:3">
      <c r="A84" s="291" t="s">
        <v>2671</v>
      </c>
      <c r="B84" s="291" t="s">
        <v>2982</v>
      </c>
      <c r="C84" s="291" t="s">
        <v>3030</v>
      </c>
    </row>
    <row r="85" spans="1:3">
      <c r="A85" s="88" t="s">
        <v>2966</v>
      </c>
      <c r="B85" s="88" t="s">
        <v>5836</v>
      </c>
      <c r="C85" s="496" t="s">
        <v>3031</v>
      </c>
    </row>
    <row r="86" spans="1:3">
      <c r="A86" s="88" t="s">
        <v>2672</v>
      </c>
      <c r="B86" s="88" t="s">
        <v>2983</v>
      </c>
      <c r="C86" s="496" t="s">
        <v>3032</v>
      </c>
    </row>
    <row r="87" spans="1:3">
      <c r="A87" s="79" t="s">
        <v>2673</v>
      </c>
      <c r="B87" s="79" t="s">
        <v>2984</v>
      </c>
      <c r="C87" s="497" t="s">
        <v>3033</v>
      </c>
    </row>
    <row r="88" spans="1:3">
      <c r="A88" s="291" t="s">
        <v>2678</v>
      </c>
      <c r="B88" s="291" t="s">
        <v>2985</v>
      </c>
      <c r="C88" s="291" t="s">
        <v>3034</v>
      </c>
    </row>
    <row r="89" spans="1:3">
      <c r="A89" s="291" t="s">
        <v>2679</v>
      </c>
      <c r="B89" s="291" t="s">
        <v>2986</v>
      </c>
      <c r="C89" s="291" t="s">
        <v>3035</v>
      </c>
    </row>
    <row r="90" spans="1:3">
      <c r="A90" s="291" t="s">
        <v>6107</v>
      </c>
      <c r="B90" s="291" t="s">
        <v>6108</v>
      </c>
      <c r="C90" s="291" t="s">
        <v>6110</v>
      </c>
    </row>
    <row r="91" spans="1:3">
      <c r="A91" s="291" t="s">
        <v>6106</v>
      </c>
      <c r="B91" s="291" t="s">
        <v>6109</v>
      </c>
      <c r="C91" s="291" t="s">
        <v>6111</v>
      </c>
    </row>
    <row r="92" spans="1:3">
      <c r="A92" s="291" t="s">
        <v>2677</v>
      </c>
      <c r="B92" s="291" t="s">
        <v>2987</v>
      </c>
      <c r="C92" s="291" t="s">
        <v>3036</v>
      </c>
    </row>
    <row r="93" spans="1:3">
      <c r="A93" s="291" t="s">
        <v>2681</v>
      </c>
      <c r="B93" s="291" t="s">
        <v>2988</v>
      </c>
      <c r="C93" s="291" t="s">
        <v>3037</v>
      </c>
    </row>
    <row r="94" spans="1:3">
      <c r="A94" s="291" t="s">
        <v>4657</v>
      </c>
      <c r="B94" s="291" t="s">
        <v>5677</v>
      </c>
      <c r="C94" s="291" t="s">
        <v>5602</v>
      </c>
    </row>
    <row r="95" spans="1:3">
      <c r="A95" s="291" t="s">
        <v>2676</v>
      </c>
      <c r="B95" s="291" t="s">
        <v>2989</v>
      </c>
      <c r="C95" s="498" t="s">
        <v>3038</v>
      </c>
    </row>
    <row r="96" spans="1:3">
      <c r="A96" s="291" t="s">
        <v>2675</v>
      </c>
      <c r="B96" s="291" t="s">
        <v>2990</v>
      </c>
      <c r="C96" s="498" t="s">
        <v>3039</v>
      </c>
    </row>
    <row r="97" spans="1:3">
      <c r="A97" s="291" t="s">
        <v>2674</v>
      </c>
      <c r="B97" s="291" t="s">
        <v>2991</v>
      </c>
      <c r="C97" s="498" t="s">
        <v>3040</v>
      </c>
    </row>
    <row r="98" spans="1:3">
      <c r="A98" s="291" t="s">
        <v>2682</v>
      </c>
      <c r="B98" s="291" t="s">
        <v>2992</v>
      </c>
      <c r="C98" s="498" t="s">
        <v>3041</v>
      </c>
    </row>
    <row r="99" spans="1:3">
      <c r="A99" s="291" t="s">
        <v>6105</v>
      </c>
      <c r="B99" s="291" t="s">
        <v>6253</v>
      </c>
      <c r="C99" s="291" t="s">
        <v>6118</v>
      </c>
    </row>
    <row r="100" spans="1:3" ht="25.5">
      <c r="A100" s="499" t="s">
        <v>2683</v>
      </c>
      <c r="B100" s="499" t="s">
        <v>2993</v>
      </c>
      <c r="C100" s="500" t="s">
        <v>3042</v>
      </c>
    </row>
    <row r="101" spans="1:3">
      <c r="A101" s="291" t="s">
        <v>2685</v>
      </c>
      <c r="B101" s="291" t="s">
        <v>2994</v>
      </c>
      <c r="C101" s="498" t="s">
        <v>3043</v>
      </c>
    </row>
    <row r="102" spans="1:3">
      <c r="A102" s="291" t="s">
        <v>2686</v>
      </c>
      <c r="B102" s="291" t="s">
        <v>2995</v>
      </c>
      <c r="C102" s="498" t="s">
        <v>3044</v>
      </c>
    </row>
    <row r="103" spans="1:3">
      <c r="A103" s="291" t="s">
        <v>2687</v>
      </c>
      <c r="B103" s="291" t="s">
        <v>2996</v>
      </c>
      <c r="C103" s="498" t="s">
        <v>3045</v>
      </c>
    </row>
    <row r="104" spans="1:3" ht="25.5">
      <c r="A104" s="291" t="s">
        <v>2688</v>
      </c>
      <c r="B104" s="291" t="s">
        <v>2997</v>
      </c>
      <c r="C104" s="498" t="s">
        <v>3046</v>
      </c>
    </row>
    <row r="105" spans="1:3" ht="38.25">
      <c r="A105" s="291" t="s">
        <v>2690</v>
      </c>
      <c r="B105" s="291" t="s">
        <v>2998</v>
      </c>
      <c r="C105" s="498" t="s">
        <v>3047</v>
      </c>
    </row>
    <row r="106" spans="1:3" ht="114.75">
      <c r="A106" s="291" t="s">
        <v>6725</v>
      </c>
      <c r="B106" s="291" t="s">
        <v>6751</v>
      </c>
      <c r="C106" s="291" t="s">
        <v>6753</v>
      </c>
    </row>
    <row r="107" spans="1:3" ht="127.5">
      <c r="A107" s="291" t="s">
        <v>6724</v>
      </c>
      <c r="B107" s="291" t="s">
        <v>6752</v>
      </c>
      <c r="C107" s="291" t="s">
        <v>6754</v>
      </c>
    </row>
    <row r="108" spans="1:3" ht="38.25">
      <c r="A108" s="291" t="s">
        <v>2692</v>
      </c>
      <c r="B108" s="291" t="s">
        <v>2999</v>
      </c>
      <c r="C108" s="498" t="s">
        <v>3048</v>
      </c>
    </row>
    <row r="109" spans="1:3">
      <c r="A109" s="291" t="s">
        <v>2693</v>
      </c>
      <c r="B109" s="291" t="s">
        <v>3000</v>
      </c>
      <c r="C109" s="498" t="s">
        <v>3049</v>
      </c>
    </row>
    <row r="110" spans="1:3">
      <c r="A110" s="291" t="s">
        <v>2694</v>
      </c>
      <c r="B110" s="291" t="s">
        <v>3001</v>
      </c>
      <c r="C110" s="498" t="s">
        <v>3050</v>
      </c>
    </row>
    <row r="111" spans="1:3" ht="38.25">
      <c r="A111" s="291" t="s">
        <v>6598</v>
      </c>
      <c r="B111" s="291" t="s">
        <v>6599</v>
      </c>
      <c r="C111" s="501" t="s">
        <v>6600</v>
      </c>
    </row>
    <row r="112" spans="1:3" ht="51">
      <c r="A112" s="291" t="s">
        <v>6664</v>
      </c>
      <c r="B112" s="630" t="s">
        <v>6254</v>
      </c>
      <c r="C112" s="659" t="s">
        <v>6071</v>
      </c>
    </row>
    <row r="113" spans="1:11" ht="51">
      <c r="A113" s="291" t="s">
        <v>6070</v>
      </c>
      <c r="B113" s="291" t="s">
        <v>6923</v>
      </c>
      <c r="C113" s="501" t="s">
        <v>6071</v>
      </c>
    </row>
    <row r="114" spans="1:11" ht="38.25">
      <c r="A114" s="291" t="s">
        <v>6665</v>
      </c>
      <c r="B114" s="630" t="s">
        <v>6599</v>
      </c>
      <c r="C114" s="659" t="s">
        <v>6600</v>
      </c>
    </row>
    <row r="115" spans="1:11" ht="25.5">
      <c r="A115" s="291" t="s">
        <v>2695</v>
      </c>
      <c r="B115" s="291" t="s">
        <v>3002</v>
      </c>
      <c r="C115" s="498" t="s">
        <v>3051</v>
      </c>
    </row>
    <row r="116" spans="1:11">
      <c r="A116" s="291" t="s">
        <v>2696</v>
      </c>
      <c r="B116" s="291" t="s">
        <v>3003</v>
      </c>
      <c r="C116" s="502" t="s">
        <v>5775</v>
      </c>
    </row>
    <row r="117" spans="1:11" ht="25.5">
      <c r="A117" s="291" t="s">
        <v>2697</v>
      </c>
      <c r="B117" s="291" t="s">
        <v>3004</v>
      </c>
      <c r="C117" s="502" t="s">
        <v>5776</v>
      </c>
    </row>
    <row r="118" spans="1:11" ht="25.5">
      <c r="A118" s="291" t="s">
        <v>2698</v>
      </c>
      <c r="B118" s="291" t="s">
        <v>3005</v>
      </c>
      <c r="C118" s="502" t="s">
        <v>5777</v>
      </c>
    </row>
    <row r="119" spans="1:11" ht="38.25">
      <c r="A119" s="291" t="s">
        <v>2699</v>
      </c>
      <c r="B119" s="291" t="s">
        <v>3006</v>
      </c>
      <c r="C119" s="502" t="s">
        <v>3052</v>
      </c>
    </row>
    <row r="120" spans="1:11" ht="25.5">
      <c r="A120" s="503" t="s">
        <v>4644</v>
      </c>
      <c r="B120" s="503" t="s">
        <v>4645</v>
      </c>
      <c r="C120" s="502" t="s">
        <v>4646</v>
      </c>
    </row>
    <row r="121" spans="1:11" ht="51">
      <c r="A121" s="503" t="s">
        <v>6594</v>
      </c>
      <c r="B121" s="503" t="s">
        <v>6729</v>
      </c>
      <c r="C121" s="503" t="s">
        <v>6755</v>
      </c>
    </row>
    <row r="122" spans="1:11" ht="51">
      <c r="A122" s="503" t="s">
        <v>6668</v>
      </c>
      <c r="B122" s="503" t="s">
        <v>6730</v>
      </c>
      <c r="C122" s="503" t="s">
        <v>6756</v>
      </c>
    </row>
    <row r="123" spans="1:11" ht="12.75" customHeight="1">
      <c r="A123" s="79" t="s">
        <v>2701</v>
      </c>
      <c r="B123" s="79" t="s">
        <v>2815</v>
      </c>
      <c r="C123" s="162" t="s">
        <v>2846</v>
      </c>
      <c r="E123" s="99"/>
      <c r="F123" s="99"/>
      <c r="G123" s="99"/>
      <c r="H123" s="99"/>
      <c r="I123" s="99"/>
      <c r="J123" s="99"/>
      <c r="K123" s="99"/>
    </row>
    <row r="124" spans="1:11" ht="72" customHeight="1">
      <c r="A124" s="504" t="str">
        <f>"W Spółce stosowane są następujące zasady rachunkowości, które są zgodne z przepisami ustawy z dnia 29 września 1994 r. o rachunkowości ("&amp;GA!N46&amp;" - zwaną dalej UoR)."</f>
        <v>W Spółce stosowane są następujące zasady rachunkowości, które są zgodne z przepisami ustawy z dnia 29 września 1994 r. o rachunkowości (Dz. U. z 2023 r., poz. 120 z późn. zm. - zwaną dalej UoR).</v>
      </c>
      <c r="B124" s="505" t="str">
        <f>"In der Gesellschaft werden folgende Rechnungslegungsgrundsätze angewandt, die mit dem Rechnungslegungsgesetz vom 29. September 1994 übereinstimmen ("&amp;GA!O46&amp;" - nachfolgend RLG-PL)."</f>
        <v>In der Gesellschaft werden folgende Rechnungslegungsgrundsätze angewandt, die mit dem Rechnungslegungsgesetz vom 29. September 1994 übereinstimmen (Dz. U. Jahrgang 2023, Pos. 120 m.Ä. - nachfolgend RLG-PL).</v>
      </c>
      <c r="C124" s="504"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4" s="99" t="s">
        <v>6488</v>
      </c>
      <c r="E124" s="99"/>
      <c r="F124" s="99"/>
      <c r="G124" s="99"/>
      <c r="H124" s="99"/>
      <c r="I124" s="99"/>
      <c r="J124" s="99"/>
      <c r="K124" s="99"/>
    </row>
    <row r="125" spans="1:11" ht="72" customHeight="1">
      <c r="A125" s="504" t="str">
        <f>"W Oddziale stosowane są następujące zasady rachunkowości, które są zgodne z przepisami ustawy z dnia 29 września 1994 r. o rachunkowości ("&amp;GA!N46&amp;" - zwaną dalej UoR)."</f>
        <v>W Oddziale stosowane są następujące zasady rachunkowości, które są zgodne z przepisami ustawy z dnia 29 września 1994 r. o rachunkowości (Dz. U. z 2023 r., poz. 120 z późn. zm. - zwaną dalej UoR).</v>
      </c>
      <c r="B125" s="651" t="str">
        <f>"In der Gesellschaft werden folgende Rechnungslegungsgrundsätze angewandt, die mit den Vorschriften des Rechnungslegungsgesetzes vom 29. September 1994 übereinstimmen ("&amp;GA!O46&amp;" - nachfolgend RLG-PL)."</f>
        <v>In der Gesellschaft werden folgende Rechnungslegungsgrundsätze angewandt, die mit den Vorschriften des Rechnungslegungsgesetzes vom 29. September 1994 übereinstimmen (Dz. U. Jahrgang 2023, Pos. 120 m.Ä. - nachfolgend RLG-PL).</v>
      </c>
      <c r="C125" s="630"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5" s="99"/>
      <c r="E125" s="99"/>
      <c r="F125" s="99"/>
      <c r="G125" s="99"/>
      <c r="H125" s="99"/>
      <c r="I125" s="99"/>
      <c r="J125" s="99"/>
      <c r="K125" s="99"/>
    </row>
    <row r="126" spans="1:11" ht="136.5" customHeight="1">
      <c r="A126" s="505" t="str">
        <f>"Przy sporządzeniu sprawozdania finansowego przyjęto założenie, że spółka nie będzie kontynuowała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spółka nie będzie kontynuowała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6" s="505"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6" s="504"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6" s="99" t="s">
        <v>6488</v>
      </c>
      <c r="E126" s="99"/>
      <c r="F126" s="99"/>
      <c r="G126" s="99"/>
      <c r="H126" s="99"/>
      <c r="I126" s="99"/>
      <c r="J126" s="99"/>
      <c r="K126" s="99"/>
    </row>
    <row r="127" spans="1:11" ht="136.5" customHeight="1">
      <c r="A127" s="505" t="str">
        <f>"Przy sporządzeniu sprawozdania finansowego przyjęto założenie, że Oddział nie będzie kontynuował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Oddział nie będzie kontynuował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7" s="651"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7" s="630"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7" s="99"/>
      <c r="E127" s="99"/>
      <c r="F127" s="99"/>
      <c r="G127" s="99"/>
      <c r="H127" s="99"/>
      <c r="I127" s="99"/>
      <c r="J127" s="99"/>
      <c r="K127" s="99"/>
    </row>
    <row r="128" spans="1:11" ht="136.5" customHeight="1">
      <c r="A128" s="291" t="str">
        <f>"W Spółce stosowane są zasady rachunkowości, które są zgodne z przepisami ustawy z dnia 29 września 1994 r. o rachunkowości ("&amp;GA!N46&amp;" - zwaną dalej UoR)."&amp;"Opis stosowanych metod wyceny stanowi załącznik do sprawozdania finansowego."</f>
        <v>W Spółce stosowane są zasady rachunkowości, które są zgodne z przepisami ustawy z dnia 29 września 1994 r. o rachunkowości (Dz. U. z 2023 r., poz. 120 z późn. zm. - zwaną dalej UoR).Opis stosowanych metod wyceny stanowi załącznik do sprawozdania finansowego.</v>
      </c>
      <c r="B128"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8" s="291" t="str">
        <f>"The Company applies the accounting rules which comply with the Accounting Act of 29 September 1994 ("&amp;GA!P46&amp;" – hereinafter referred to as the Accounting Act).The description of the applied valuation methods is made an appendix to the financial statements."</f>
        <v>The Company applies the accounting rules which comply with the Accounting Act of 29 September 1994 (Journal of Laws of 2023, item 120, as amended – hereinafter referred to as the Accounting Act).The description of the applied valuation methods is made an appendix to the financial statements.</v>
      </c>
      <c r="D128" s="99"/>
      <c r="E128" s="99"/>
      <c r="F128" s="99"/>
      <c r="G128" s="99"/>
      <c r="H128" s="99"/>
      <c r="I128" s="99"/>
      <c r="J128" s="99"/>
      <c r="K128" s="99"/>
    </row>
    <row r="129" spans="1:11" ht="136.5" customHeight="1">
      <c r="A129" s="291" t="str">
        <f>"W Oddziale stosowane są zasady rachunkowości, które są zgodne z przepisami ustawy z dnia 29 września 1994 r. o rachunkowości ("&amp;GA!N46&amp;" - zwaną dalej UoR)."&amp;"Opis stosowanych metod wyceny stanowi załącznik do sprawozdania finansowego."</f>
        <v>W Oddziale stosowane są zasady rachunkowości, które są zgodne z przepisami ustawy z dnia 29 września 1994 r. o rachunkowości (Dz. U. z 2023 r., poz. 120 z późn. zm. - zwaną dalej UoR).Opis stosowanych metod wyceny stanowi załącznik do sprawozdania finansowego.</v>
      </c>
      <c r="B129"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9" s="291" t="str">
        <f>"The Branch Office applies the accounting rules which comply with the Accounting Act of 29 September 1994 ("&amp;GA!P46&amp;", as amended – hereinafter referred to as the Accounting Act).The description of the applied valuation methods is made an appendix to the financial statements."</f>
        <v>The Branch Office applies the accounting rules which comply with the Accounting Act of 29 September 1994 (Journal of Laws of 2023, item 120, as amended, as amended – hereinafter referred to as the Accounting Act).The description of the applied valuation methods is made an appendix to the financial statements.</v>
      </c>
      <c r="D129" s="99"/>
      <c r="E129" s="99"/>
      <c r="F129" s="99"/>
      <c r="G129" s="99"/>
      <c r="H129" s="99"/>
      <c r="I129" s="99"/>
      <c r="J129" s="99"/>
      <c r="K129" s="99"/>
    </row>
    <row r="130" spans="1:11" ht="25.5">
      <c r="A130" s="291" t="s">
        <v>646</v>
      </c>
      <c r="B130" s="291" t="s">
        <v>673</v>
      </c>
      <c r="C130" s="291" t="s">
        <v>1496</v>
      </c>
      <c r="D130" s="506"/>
      <c r="E130" s="95"/>
      <c r="G130" s="507"/>
      <c r="H130" s="506"/>
    </row>
    <row r="131" spans="1:11" ht="127.5">
      <c r="A131" s="291" t="s">
        <v>2702</v>
      </c>
      <c r="B131" s="291" t="s">
        <v>2771</v>
      </c>
      <c r="C131" s="291" t="s">
        <v>3058</v>
      </c>
      <c r="D131" s="506"/>
      <c r="E131" s="95"/>
      <c r="G131" s="507"/>
      <c r="H131" s="506"/>
    </row>
    <row r="132" spans="1:11" ht="89.25">
      <c r="A132" s="291" t="str">
        <f>"Wartości niematerialne i prawne o wartości początkowej od "&amp;wart.dolna&amp;" PLN do "&amp;WG_WNIP&amp;" PLN ujmowane są w ewidencji wartości niematerialnych prawnych i amortyzowane jednorazowo w miesiącu przekazania ich do użytkowania."</f>
        <v>Wartości niematerialne i prawne o wartości początkowej od 0 PLN do 3500 PLN ujmowane są w ewidencji wartości niematerialnych prawnych i amortyzowane jednorazowo w miesiącu przekazania ich do użytkowania.</v>
      </c>
      <c r="B132" s="291" t="str">
        <f>"Immaterielle Vermögensgegenstände und Rechte mit Anschaffungs- oder Herstellungskosten von "&amp;wart.dolna&amp;" PLN bis "&amp;WG_WNIP&amp;" PLN werden im Verzeichnis der immateriellen Vermögensgegenstände und Rechte erfasst und im Monat ihrer Freigabe zur Nutzung einmalig abgeschrieben."</f>
        <v>Immaterielle Vermögensgegenstände und Rechte mit Anschaffungs- oder Herstellungskosten von 0 PLN bis 3500 PLN werden im Verzeichnis der immateriellen Vermögensgegenstände und Rechte erfasst und im Monat ihrer Freigabe zur Nutzung einmalig abgeschrieben.</v>
      </c>
      <c r="C132" s="291" t="str">
        <f>"Intangible assets with an initial value higher than PLN "&amp;wart.dolna&amp;" but not exceeding PLN "&amp;WG_WNIP&amp;" are recognised in the intangible asset records and amortised as a one-off charge in the month in which they were brought into use."</f>
        <v>Intangible assets with an initial value higher than PLN 0 but not exceeding PLN 3500 are recognised in the intangible asset records and amortised as a one-off charge in the month in which they were brought into use.</v>
      </c>
      <c r="D132" s="506"/>
      <c r="E132" s="95"/>
      <c r="G132" s="507"/>
      <c r="H132" s="506"/>
    </row>
    <row r="133" spans="1:11">
      <c r="A133" s="291" t="s">
        <v>523</v>
      </c>
      <c r="B133" s="291" t="s">
        <v>1383</v>
      </c>
      <c r="C133" s="291" t="s">
        <v>1500</v>
      </c>
      <c r="D133" s="506"/>
      <c r="E133" s="95"/>
      <c r="G133" s="507"/>
      <c r="H133" s="506"/>
    </row>
    <row r="134" spans="1:11" ht="102">
      <c r="A134" s="291" t="s">
        <v>2703</v>
      </c>
      <c r="B134" s="291" t="s">
        <v>2772</v>
      </c>
      <c r="C134" s="291" t="s">
        <v>2821</v>
      </c>
      <c r="D134" s="506"/>
      <c r="E134" s="95"/>
      <c r="G134" s="111"/>
      <c r="H134" s="506"/>
    </row>
    <row r="135" spans="1:11" ht="63.75">
      <c r="A135" s="291" t="str">
        <f>"Środki trwałe o wartości początkowej od "&amp;ST_WD&amp;" PLN do "&amp;WG_ST&amp;" PLN ujmowane są w ewidencji środków trwałych i amortyzowane jednorazowo w miesiącu oddania do użytkowania."</f>
        <v>Środki trwałe o wartości początkowej od 0 PLN do 3500 PLN ujmowane są w ewidencji środków trwałych i amortyzowane jednorazowo w miesiącu oddania do użytkowania.</v>
      </c>
      <c r="B135" s="291" t="str">
        <f>"Sachanlagen mit Anschaffungs- oder Herstellungskosten von "&amp;ST_WD&amp;" PLN bis "&amp;WG_ST&amp;" PLN werden im Verzeichnis der Sachanlagen erfasst und im Monat ihrer Freigabe zur Nutzung einmalig abgeschrieben."</f>
        <v>Sachanlagen mit Anschaffungs- oder Herstellungskosten von 0 PLN bis 3500 PLN werden im Verzeichnis der Sachanlagen erfasst und im Monat ihrer Freigabe zur Nutzung einmalig abgeschrieben.</v>
      </c>
      <c r="C135" s="291" t="str">
        <f>"Tangible assets with an initial value higher than PLN "&amp;ST_WD&amp;" but not exceeding PLN "&amp;WG_ST&amp;" are recognised in the tangible asset records and depreciated as a one-off charge in the month in which they were brought into use."</f>
        <v>Tangible assets with an initial value higher than PLN 0 but not exceeding PLN 3500 are recognised in the tangible asset records and depreciated as a one-off charge in the month in which they were brought into use.</v>
      </c>
      <c r="D135" s="506"/>
      <c r="E135" s="95"/>
      <c r="G135" s="507"/>
      <c r="H135" s="506"/>
    </row>
    <row r="136" spans="1:11">
      <c r="A136" s="291" t="s">
        <v>417</v>
      </c>
      <c r="B136" s="291" t="s">
        <v>1351</v>
      </c>
      <c r="C136" s="291" t="s">
        <v>47</v>
      </c>
      <c r="D136" s="506"/>
      <c r="E136" s="95"/>
      <c r="G136" s="507"/>
      <c r="H136" s="506"/>
    </row>
    <row r="137" spans="1:11" ht="178.5" customHeight="1">
      <c r="A137" s="291" t="s">
        <v>5558</v>
      </c>
      <c r="B137" s="291" t="s">
        <v>5678</v>
      </c>
      <c r="C137" s="508" t="s">
        <v>5603</v>
      </c>
      <c r="D137" s="506"/>
      <c r="E137" s="95"/>
      <c r="G137" s="507"/>
      <c r="H137" s="506"/>
    </row>
    <row r="138" spans="1:11">
      <c r="B138" s="291"/>
      <c r="D138" s="506"/>
      <c r="E138" s="95"/>
      <c r="G138" s="111"/>
      <c r="H138" s="506"/>
    </row>
    <row r="139" spans="1:11" ht="38.25">
      <c r="A139" s="291" t="str">
        <f>"Środki trwałe o wartości powyżej "&amp;WG_ST&amp;" PLN amortyzowane są metodą liniową."</f>
        <v>Środki trwałe o wartości powyżej 3500 PLN amortyzowane są metodą liniową.</v>
      </c>
      <c r="B139" s="291" t="str">
        <f>"Sachanlagen mit einem Wert über "&amp;WG_ST&amp;" PLN werden linear abgeschrieben."</f>
        <v>Sachanlagen mit einem Wert über 3500 PLN werden linear abgeschrieben.</v>
      </c>
      <c r="C139" s="291" t="str">
        <f>"Tangible assets with a value higher than PLN "&amp;WG_ST&amp;" are depreciated using the straight-line method."</f>
        <v>Tangible assets with a value higher than PLN 3500 are depreciated using the straight-line method.</v>
      </c>
      <c r="D139" s="506"/>
      <c r="E139" s="95"/>
      <c r="G139" s="507"/>
      <c r="H139" s="506"/>
    </row>
    <row r="140" spans="1:11" ht="38.25">
      <c r="A140" s="291" t="str">
        <f>"Środki trwałe o wartości powyżej "&amp;WG_ST&amp;" PLN amortyzowane są metodą degresywną."</f>
        <v>Środki trwałe o wartości powyżej 3500 PLN amortyzowane są metodą degresywną.</v>
      </c>
      <c r="B140" s="291" t="str">
        <f>"Sachanlagen mit einem Wert über "&amp;WG_ST&amp;" PLN werden linear degressiv abgeschrieben."</f>
        <v>Sachanlagen mit einem Wert über 3500 PLN werden linear degressiv abgeschrieben.</v>
      </c>
      <c r="C140" s="291" t="str">
        <f>"Tangible assets with a value higher than PLN "&amp;WG_ST&amp;" are depreciated using the declining balance method."</f>
        <v>Tangible assets with a value higher than PLN 3500 are depreciated using the declining balance method.</v>
      </c>
      <c r="D140" s="506"/>
      <c r="E140" s="95"/>
      <c r="G140" s="507"/>
      <c r="H140" s="506"/>
    </row>
    <row r="141" spans="1:11">
      <c r="A141" s="291" t="s">
        <v>2967</v>
      </c>
      <c r="B141" s="291" t="s">
        <v>3074</v>
      </c>
      <c r="C141" s="291" t="s">
        <v>3073</v>
      </c>
      <c r="D141" s="506"/>
      <c r="E141" s="95"/>
      <c r="G141" s="507"/>
      <c r="H141" s="506"/>
    </row>
    <row r="142" spans="1:11" ht="99" customHeight="1">
      <c r="A142" s="291" t="str">
        <f>"Jeżeli wartość początkowa przedmiotu długotrwałego użytku nie przekracza kwoty "&amp;ST_WD&amp;" PLN, to składników tych nie zalicza się do środków trwałych i odpisywane są one bezpośrednio jako koszt zużycia materiałów, o ile nie zniekształca to istotnie wyniku finansowego za dany rok obrotowy."</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B142" s="291" t="str">
        <f>"Betragen die Anschaffungskosten der langlebigen Gebrauchsgüter nicht mehr als "&amp;ST_WD&amp;" PLN, so werden sie als geringwertige Wirtschaftsgüter direkt als Aufwand verbucht – sofern dies das Ergebnis für das betreffende Geschäftsjahr nicht wesentlich verzerrt."</f>
        <v>Betragen die Anschaffungskosten der langlebigen Gebrauchsgüter nicht mehr als 0 PLN, so werden sie als geringwertige Wirtschaftsgüter direkt als Aufwand verbucht – sofern dies das Ergebnis für das betreffende Geschäftsjahr nicht wesentlich verzerrt.</v>
      </c>
      <c r="C142" s="291" t="str">
        <f>"If the initial value of a non-current asset does not exceed PLN "&amp;ST_WD&amp;", such assets are not classified as tangible assets, but are depreciated directly as costs of raw materials used, provided that it does not significantly distort the profit(loss) for the financial year"</f>
        <v>If the initial value of a non-current asset does not exceed PLN 0, such assets are not classified as tangible assets, but are depreciated directly as costs of raw materials used, provided that it does not significantly distort the profit(loss) for the financial year</v>
      </c>
      <c r="D142" s="506"/>
      <c r="E142" s="95"/>
      <c r="G142" s="507"/>
      <c r="H142" s="506"/>
    </row>
    <row r="143" spans="1:11" ht="127.5">
      <c r="A143" s="291" t="s">
        <v>6093</v>
      </c>
      <c r="B143" s="291" t="s">
        <v>6255</v>
      </c>
      <c r="C143" s="291" t="s">
        <v>6119</v>
      </c>
      <c r="D143" s="506"/>
      <c r="E143" s="95"/>
      <c r="G143" s="507"/>
      <c r="H143" s="506"/>
    </row>
    <row r="144" spans="1:11" ht="127.5">
      <c r="A144" s="291" t="s">
        <v>6654</v>
      </c>
      <c r="B144" s="669" t="s">
        <v>6255</v>
      </c>
      <c r="C144" s="669" t="s">
        <v>6119</v>
      </c>
      <c r="D144" s="506"/>
      <c r="E144" s="95"/>
      <c r="G144" s="507"/>
      <c r="H144" s="506"/>
    </row>
    <row r="145" spans="1:8" ht="25.5">
      <c r="A145" s="291" t="s">
        <v>2704</v>
      </c>
      <c r="B145" s="291" t="s">
        <v>2773</v>
      </c>
      <c r="C145" s="291" t="s">
        <v>5756</v>
      </c>
      <c r="D145" s="506"/>
      <c r="E145" s="95"/>
      <c r="G145" s="507"/>
      <c r="H145" s="506"/>
    </row>
    <row r="146" spans="1:8" ht="25.5">
      <c r="A146" s="293" t="s">
        <v>6653</v>
      </c>
      <c r="B146" s="291" t="s">
        <v>2773</v>
      </c>
      <c r="C146" s="291" t="s">
        <v>5756</v>
      </c>
      <c r="D146" s="506"/>
      <c r="E146" s="95"/>
      <c r="G146" s="507"/>
      <c r="H146" s="506"/>
    </row>
    <row r="147" spans="1:8">
      <c r="A147" s="291" t="s">
        <v>2705</v>
      </c>
      <c r="B147" s="291" t="s">
        <v>5852</v>
      </c>
      <c r="C147" s="291" t="s">
        <v>2847</v>
      </c>
      <c r="D147" s="506"/>
      <c r="E147" s="95"/>
      <c r="G147" s="507"/>
      <c r="H147" s="506"/>
    </row>
    <row r="148" spans="1:8" ht="38.25">
      <c r="A148" s="291" t="s">
        <v>6915</v>
      </c>
      <c r="B148" s="291" t="s">
        <v>6916</v>
      </c>
      <c r="C148" s="291" t="s">
        <v>6785</v>
      </c>
      <c r="D148" s="506"/>
      <c r="E148" s="95"/>
      <c r="G148" s="507"/>
      <c r="H148" s="506"/>
    </row>
    <row r="149" spans="1:8" ht="27" customHeight="1">
      <c r="A149" s="291" t="s">
        <v>6917</v>
      </c>
      <c r="B149" s="291" t="s">
        <v>6918</v>
      </c>
      <c r="C149" s="291" t="s">
        <v>2851</v>
      </c>
      <c r="D149" s="506"/>
      <c r="E149" s="95"/>
      <c r="G149" s="507"/>
      <c r="H149" s="506"/>
    </row>
    <row r="150" spans="1:8">
      <c r="A150" s="291" t="s">
        <v>2706</v>
      </c>
      <c r="B150" s="291" t="s">
        <v>5853</v>
      </c>
      <c r="C150" s="291" t="s">
        <v>2852</v>
      </c>
      <c r="D150" s="506"/>
      <c r="E150" s="95"/>
      <c r="G150" s="507"/>
      <c r="H150" s="506"/>
    </row>
    <row r="151" spans="1:8">
      <c r="A151" s="291" t="s">
        <v>6919</v>
      </c>
      <c r="B151" s="291" t="s">
        <v>6920</v>
      </c>
      <c r="C151" s="291" t="s">
        <v>2853</v>
      </c>
      <c r="D151" s="509"/>
      <c r="E151" s="95"/>
      <c r="G151" s="509"/>
      <c r="H151" s="509"/>
    </row>
    <row r="152" spans="1:8">
      <c r="B152" s="291"/>
      <c r="D152" s="510"/>
      <c r="E152" s="95"/>
      <c r="G152" s="509"/>
      <c r="H152" s="510"/>
    </row>
    <row r="153" spans="1:8" ht="25.5">
      <c r="A153" s="291" t="s">
        <v>2707</v>
      </c>
      <c r="B153" s="291" t="s">
        <v>5854</v>
      </c>
      <c r="C153" s="291" t="s">
        <v>2848</v>
      </c>
      <c r="D153" s="509"/>
      <c r="E153" s="95"/>
      <c r="G153" s="509"/>
      <c r="H153" s="509"/>
    </row>
    <row r="154" spans="1:8">
      <c r="A154" s="291" t="s">
        <v>2708</v>
      </c>
      <c r="B154" s="291" t="s">
        <v>6499</v>
      </c>
      <c r="C154" s="291" t="s">
        <v>2849</v>
      </c>
      <c r="D154" s="510"/>
      <c r="E154" s="95"/>
      <c r="G154" s="509"/>
      <c r="H154" s="510"/>
    </row>
    <row r="155" spans="1:8">
      <c r="A155" s="291" t="s">
        <v>6922</v>
      </c>
      <c r="B155" s="291" t="s">
        <v>6921</v>
      </c>
      <c r="C155" s="291" t="s">
        <v>2850</v>
      </c>
      <c r="D155" s="509"/>
      <c r="E155" s="95"/>
      <c r="G155" s="509"/>
      <c r="H155" s="509"/>
    </row>
    <row r="156" spans="1:8">
      <c r="A156" s="291" t="s">
        <v>5553</v>
      </c>
      <c r="B156" s="291" t="s">
        <v>5679</v>
      </c>
      <c r="C156" s="291" t="s">
        <v>5604</v>
      </c>
      <c r="D156" s="509"/>
      <c r="E156" s="95"/>
      <c r="G156" s="509"/>
      <c r="H156" s="509"/>
    </row>
    <row r="157" spans="1:8" ht="51">
      <c r="A157" s="291" t="s">
        <v>6092</v>
      </c>
      <c r="B157" s="291" t="s">
        <v>6256</v>
      </c>
      <c r="C157" s="291" t="s">
        <v>6120</v>
      </c>
      <c r="D157" s="509"/>
      <c r="E157" s="95"/>
      <c r="G157" s="509"/>
      <c r="H157" s="509"/>
    </row>
    <row r="158" spans="1:8" ht="51">
      <c r="A158" s="293" t="s">
        <v>6655</v>
      </c>
      <c r="B158" s="669" t="s">
        <v>6256</v>
      </c>
      <c r="C158" s="669" t="s">
        <v>6120</v>
      </c>
      <c r="D158" s="509"/>
      <c r="E158" s="95"/>
      <c r="G158" s="509"/>
      <c r="H158" s="509"/>
    </row>
    <row r="159" spans="1:8">
      <c r="A159" s="291" t="s">
        <v>1103</v>
      </c>
      <c r="B159" s="291" t="s">
        <v>1401</v>
      </c>
      <c r="C159" s="291" t="s">
        <v>2822</v>
      </c>
      <c r="D159" s="506"/>
      <c r="E159" s="95"/>
      <c r="G159" s="507"/>
      <c r="H159" s="506"/>
    </row>
    <row r="160" spans="1:8" ht="89.25">
      <c r="A160" s="291" t="s">
        <v>2709</v>
      </c>
      <c r="B160" s="291" t="s">
        <v>2774</v>
      </c>
      <c r="C160" s="291" t="s">
        <v>2823</v>
      </c>
      <c r="D160" s="509"/>
      <c r="E160" s="95"/>
      <c r="G160" s="509"/>
      <c r="H160" s="509"/>
    </row>
    <row r="161" spans="1:8" ht="127.5">
      <c r="A161" s="291" t="s">
        <v>2710</v>
      </c>
      <c r="B161" s="291" t="s">
        <v>2775</v>
      </c>
      <c r="C161" s="291" t="s">
        <v>2824</v>
      </c>
      <c r="D161" s="510"/>
      <c r="E161" s="95"/>
      <c r="G161" s="509"/>
      <c r="H161" s="510"/>
    </row>
    <row r="162" spans="1:8" ht="38.25">
      <c r="A162" s="291" t="s">
        <v>4632</v>
      </c>
      <c r="B162" s="291" t="s">
        <v>4633</v>
      </c>
      <c r="C162" s="291" t="s">
        <v>4634</v>
      </c>
      <c r="D162" s="506"/>
      <c r="E162" s="511"/>
      <c r="G162" s="111"/>
      <c r="H162" s="506"/>
    </row>
    <row r="163" spans="1:8" ht="25.5">
      <c r="A163" s="291" t="s">
        <v>4635</v>
      </c>
      <c r="B163" s="291" t="s">
        <v>4636</v>
      </c>
      <c r="C163" s="291" t="s">
        <v>4637</v>
      </c>
      <c r="D163" s="506"/>
      <c r="E163" s="511"/>
      <c r="G163" s="111"/>
      <c r="H163" s="506"/>
    </row>
    <row r="164" spans="1:8" ht="38.25">
      <c r="A164" s="291" t="s">
        <v>4638</v>
      </c>
      <c r="B164" s="291" t="s">
        <v>4639</v>
      </c>
      <c r="C164" s="291" t="s">
        <v>4640</v>
      </c>
      <c r="D164" s="506"/>
      <c r="E164" s="511"/>
      <c r="G164" s="111"/>
      <c r="H164" s="506"/>
    </row>
    <row r="165" spans="1:8" ht="51">
      <c r="A165" s="291" t="s">
        <v>2711</v>
      </c>
      <c r="B165" s="291" t="s">
        <v>2776</v>
      </c>
      <c r="C165" s="291" t="s">
        <v>2825</v>
      </c>
      <c r="D165" s="506"/>
      <c r="E165" s="95"/>
      <c r="G165" s="507"/>
      <c r="H165" s="506"/>
    </row>
    <row r="166" spans="1:8" ht="38.25">
      <c r="A166" s="291" t="s">
        <v>2715</v>
      </c>
      <c r="B166" s="291" t="s">
        <v>3007</v>
      </c>
      <c r="C166" s="291" t="s">
        <v>2829</v>
      </c>
      <c r="D166" s="506"/>
      <c r="E166" s="95"/>
      <c r="G166" s="507"/>
      <c r="H166" s="506"/>
    </row>
    <row r="167" spans="1:8" ht="38.25">
      <c r="A167" s="291" t="s">
        <v>2715</v>
      </c>
      <c r="B167" s="291" t="s">
        <v>3007</v>
      </c>
      <c r="C167" s="291" t="s">
        <v>2829</v>
      </c>
      <c r="D167" s="506"/>
      <c r="E167" s="95"/>
      <c r="G167" s="507"/>
      <c r="H167" s="506"/>
    </row>
    <row r="168" spans="1:8" ht="76.5">
      <c r="A168" s="291" t="s">
        <v>6656</v>
      </c>
      <c r="B168" s="291" t="s">
        <v>2777</v>
      </c>
      <c r="C168" s="293" t="s">
        <v>3059</v>
      </c>
      <c r="D168" s="506"/>
      <c r="E168" s="95"/>
      <c r="G168" s="507"/>
      <c r="H168" s="506"/>
    </row>
    <row r="169" spans="1:8">
      <c r="A169" s="291" t="s">
        <v>2712</v>
      </c>
      <c r="B169" s="291" t="s">
        <v>2778</v>
      </c>
      <c r="C169" s="291" t="s">
        <v>2826</v>
      </c>
      <c r="D169" s="506"/>
      <c r="E169" s="95"/>
      <c r="G169" s="507"/>
      <c r="H169" s="506"/>
    </row>
    <row r="170" spans="1:8" ht="76.5">
      <c r="A170" s="291" t="s">
        <v>2713</v>
      </c>
      <c r="B170" s="291" t="s">
        <v>2779</v>
      </c>
      <c r="C170" s="291" t="s">
        <v>2827</v>
      </c>
      <c r="D170" s="506"/>
      <c r="E170" s="95"/>
      <c r="G170" s="507"/>
      <c r="H170" s="506"/>
    </row>
    <row r="171" spans="1:8" ht="127.5">
      <c r="A171" s="291" t="s">
        <v>2714</v>
      </c>
      <c r="B171" s="291" t="s">
        <v>2780</v>
      </c>
      <c r="C171" s="291" t="s">
        <v>3060</v>
      </c>
      <c r="D171" s="506"/>
      <c r="E171" s="95"/>
      <c r="G171" s="507"/>
      <c r="H171" s="506"/>
    </row>
    <row r="172" spans="1:8" ht="38.25">
      <c r="A172" s="291" t="s">
        <v>4386</v>
      </c>
      <c r="B172" s="291" t="s">
        <v>4390</v>
      </c>
      <c r="C172" s="291" t="s">
        <v>4394</v>
      </c>
      <c r="D172" s="506"/>
      <c r="E172" s="95"/>
      <c r="G172" s="507"/>
      <c r="H172" s="506"/>
    </row>
    <row r="173" spans="1:8" ht="38.25">
      <c r="A173" s="291" t="s">
        <v>4387</v>
      </c>
      <c r="B173" s="291" t="s">
        <v>4391</v>
      </c>
      <c r="C173" s="291" t="s">
        <v>4395</v>
      </c>
      <c r="D173" s="506"/>
      <c r="E173" s="95"/>
      <c r="G173" s="507"/>
      <c r="H173" s="506"/>
    </row>
    <row r="174" spans="1:8" ht="38.25">
      <c r="A174" s="291" t="s">
        <v>4388</v>
      </c>
      <c r="B174" s="291" t="s">
        <v>4392</v>
      </c>
      <c r="C174" s="291" t="s">
        <v>4396</v>
      </c>
      <c r="D174" s="506"/>
      <c r="E174" s="95"/>
      <c r="G174" s="507"/>
      <c r="H174" s="506"/>
    </row>
    <row r="175" spans="1:8" ht="38.25">
      <c r="A175" s="291" t="s">
        <v>4389</v>
      </c>
      <c r="B175" s="291" t="s">
        <v>4393</v>
      </c>
      <c r="C175" s="291" t="s">
        <v>4397</v>
      </c>
      <c r="D175" s="506"/>
      <c r="E175" s="95"/>
      <c r="G175" s="507"/>
      <c r="H175" s="506"/>
    </row>
    <row r="176" spans="1:8" ht="76.5">
      <c r="A176" s="291" t="s">
        <v>2766</v>
      </c>
      <c r="B176" s="291" t="s">
        <v>2781</v>
      </c>
      <c r="C176" s="291" t="s">
        <v>2828</v>
      </c>
      <c r="D176" s="506"/>
      <c r="E176" s="95"/>
      <c r="G176" s="507"/>
      <c r="H176" s="506"/>
    </row>
    <row r="177" spans="1:8" ht="38.25">
      <c r="A177" s="291" t="s">
        <v>2715</v>
      </c>
      <c r="B177" s="291" t="s">
        <v>3007</v>
      </c>
      <c r="C177" s="291" t="s">
        <v>2829</v>
      </c>
      <c r="D177" s="506"/>
      <c r="E177" s="511"/>
      <c r="G177" s="507"/>
      <c r="H177" s="506"/>
    </row>
    <row r="178" spans="1:8" ht="39.75" customHeight="1">
      <c r="A178" s="291" t="s">
        <v>2715</v>
      </c>
      <c r="B178" s="291" t="s">
        <v>3007</v>
      </c>
      <c r="C178" s="291" t="s">
        <v>2829</v>
      </c>
      <c r="D178" s="506"/>
      <c r="E178" s="511"/>
      <c r="G178" s="507"/>
      <c r="H178" s="506"/>
    </row>
    <row r="179" spans="1:8" ht="63.75">
      <c r="A179" s="291" t="s">
        <v>2716</v>
      </c>
      <c r="B179" s="291" t="s">
        <v>2782</v>
      </c>
      <c r="C179" s="291" t="s">
        <v>2830</v>
      </c>
      <c r="D179" s="506"/>
      <c r="E179" s="95"/>
      <c r="G179" s="111"/>
      <c r="H179" s="506"/>
    </row>
    <row r="180" spans="1:8" ht="76.5">
      <c r="A180" s="291" t="s">
        <v>6657</v>
      </c>
      <c r="B180" s="291" t="s">
        <v>2783</v>
      </c>
      <c r="C180" s="293" t="s">
        <v>3061</v>
      </c>
      <c r="D180" s="506"/>
      <c r="E180" s="95"/>
      <c r="G180" s="507"/>
      <c r="H180" s="506"/>
    </row>
    <row r="181" spans="1:8">
      <c r="A181" s="291" t="s">
        <v>2717</v>
      </c>
      <c r="B181" s="291" t="s">
        <v>2236</v>
      </c>
      <c r="C181" s="291" t="s">
        <v>215</v>
      </c>
      <c r="D181" s="506"/>
      <c r="E181" s="95"/>
      <c r="G181" s="507"/>
      <c r="H181" s="506"/>
    </row>
    <row r="182" spans="1:8" ht="42" customHeight="1">
      <c r="A182" s="291" t="s">
        <v>5823</v>
      </c>
      <c r="B182" s="291" t="s">
        <v>5824</v>
      </c>
      <c r="C182" s="291" t="s">
        <v>5825</v>
      </c>
      <c r="D182" s="506"/>
      <c r="E182" s="511"/>
      <c r="G182" s="507"/>
      <c r="H182" s="506"/>
    </row>
    <row r="183" spans="1:8" ht="38.25">
      <c r="A183" s="291" t="s">
        <v>5826</v>
      </c>
      <c r="B183" s="291" t="s">
        <v>5827</v>
      </c>
      <c r="C183" s="291" t="s">
        <v>5828</v>
      </c>
      <c r="D183" s="506"/>
      <c r="E183" s="511"/>
      <c r="G183" s="507"/>
      <c r="H183" s="506"/>
    </row>
    <row r="184" spans="1:8" ht="38.25">
      <c r="A184" s="291" t="s">
        <v>5829</v>
      </c>
      <c r="B184" s="291" t="s">
        <v>5830</v>
      </c>
      <c r="C184" s="291" t="s">
        <v>5831</v>
      </c>
      <c r="D184" s="506"/>
      <c r="E184" s="511"/>
      <c r="G184" s="507"/>
      <c r="H184" s="506"/>
    </row>
    <row r="185" spans="1:8" ht="38.25">
      <c r="A185" s="291" t="s">
        <v>5832</v>
      </c>
      <c r="B185" s="291" t="s">
        <v>5833</v>
      </c>
      <c r="C185" s="291" t="s">
        <v>5834</v>
      </c>
      <c r="D185" s="506"/>
      <c r="E185" s="511"/>
      <c r="G185" s="507"/>
      <c r="H185" s="506"/>
    </row>
    <row r="186" spans="1:8" ht="51">
      <c r="A186" s="291" t="s">
        <v>2718</v>
      </c>
      <c r="B186" s="291" t="s">
        <v>2784</v>
      </c>
      <c r="C186" s="291" t="s">
        <v>2831</v>
      </c>
      <c r="D186" s="506"/>
      <c r="E186" s="95"/>
      <c r="G186" s="507"/>
      <c r="H186" s="506"/>
    </row>
    <row r="187" spans="1:8" ht="63.75">
      <c r="A187" s="291" t="s">
        <v>2719</v>
      </c>
      <c r="B187" s="291" t="s">
        <v>3008</v>
      </c>
      <c r="C187" s="293" t="s">
        <v>3062</v>
      </c>
      <c r="D187" s="506"/>
      <c r="E187" s="95"/>
      <c r="G187" s="507"/>
      <c r="H187" s="506"/>
    </row>
    <row r="188" spans="1:8" ht="89.25">
      <c r="A188" s="291" t="s">
        <v>6094</v>
      </c>
      <c r="B188" s="291" t="s">
        <v>6257</v>
      </c>
      <c r="C188" s="291" t="s">
        <v>6121</v>
      </c>
      <c r="D188" s="506"/>
      <c r="E188" s="511"/>
      <c r="G188" s="507"/>
      <c r="H188" s="506"/>
    </row>
    <row r="189" spans="1:8" ht="89.25">
      <c r="A189" s="293" t="s">
        <v>6658</v>
      </c>
      <c r="B189" s="669" t="s">
        <v>6257</v>
      </c>
      <c r="C189" s="669" t="s">
        <v>6121</v>
      </c>
      <c r="D189" s="506"/>
      <c r="E189" s="511"/>
      <c r="G189" s="507"/>
      <c r="H189" s="506"/>
    </row>
    <row r="190" spans="1:8" ht="76.5">
      <c r="A190" s="291" t="s">
        <v>2720</v>
      </c>
      <c r="B190" s="291" t="s">
        <v>2785</v>
      </c>
      <c r="C190" s="291" t="s">
        <v>2832</v>
      </c>
      <c r="D190" s="506"/>
      <c r="E190" s="95"/>
      <c r="G190" s="507"/>
      <c r="H190" s="506"/>
    </row>
    <row r="191" spans="1:8" ht="76.5">
      <c r="A191" s="291" t="s">
        <v>6659</v>
      </c>
      <c r="B191" s="291" t="s">
        <v>2786</v>
      </c>
      <c r="C191" s="293" t="s">
        <v>3063</v>
      </c>
      <c r="D191" s="506"/>
      <c r="E191" s="95"/>
      <c r="G191" s="507"/>
      <c r="H191" s="506"/>
    </row>
    <row r="192" spans="1:8">
      <c r="A192" s="291" t="s">
        <v>2721</v>
      </c>
      <c r="B192" s="291" t="s">
        <v>2787</v>
      </c>
      <c r="C192" s="291" t="s">
        <v>2833</v>
      </c>
      <c r="D192" s="506"/>
      <c r="E192" s="95"/>
      <c r="G192" s="111"/>
      <c r="H192" s="506"/>
    </row>
    <row r="193" spans="1:8" ht="63.75">
      <c r="A193" s="291" t="s">
        <v>2722</v>
      </c>
      <c r="B193" s="291" t="s">
        <v>2788</v>
      </c>
      <c r="C193" s="291" t="s">
        <v>2834</v>
      </c>
      <c r="D193" s="506"/>
      <c r="E193" s="512"/>
      <c r="G193" s="111"/>
      <c r="H193" s="506"/>
    </row>
    <row r="194" spans="1:8" ht="25.5">
      <c r="A194" s="291" t="s">
        <v>2723</v>
      </c>
      <c r="B194" s="291" t="s">
        <v>2789</v>
      </c>
      <c r="C194" s="291" t="s">
        <v>2835</v>
      </c>
      <c r="D194" s="506"/>
      <c r="E194" s="512"/>
      <c r="G194" s="507"/>
      <c r="H194" s="506"/>
    </row>
    <row r="195" spans="1:8" ht="63.75">
      <c r="A195" s="503" t="s">
        <v>2812</v>
      </c>
      <c r="B195" s="503" t="s">
        <v>2819</v>
      </c>
      <c r="C195" s="503" t="s">
        <v>2854</v>
      </c>
      <c r="E195" s="512"/>
      <c r="G195" s="507"/>
      <c r="H195" s="506"/>
    </row>
    <row r="196" spans="1:8" ht="25.5">
      <c r="A196" s="503" t="s">
        <v>2813</v>
      </c>
      <c r="B196" s="503" t="s">
        <v>5855</v>
      </c>
      <c r="C196" s="503" t="s">
        <v>5757</v>
      </c>
      <c r="E196" s="95"/>
      <c r="G196" s="506"/>
      <c r="H196" s="506"/>
    </row>
    <row r="197" spans="1:8" ht="63.75">
      <c r="A197" s="503" t="s">
        <v>2814</v>
      </c>
      <c r="B197" s="503" t="s">
        <v>2820</v>
      </c>
      <c r="C197" s="503" t="s">
        <v>5758</v>
      </c>
      <c r="E197" s="95"/>
      <c r="G197" s="507"/>
      <c r="H197" s="506"/>
    </row>
    <row r="198" spans="1:8" ht="25.5">
      <c r="A198" s="291" t="s">
        <v>2724</v>
      </c>
      <c r="B198" s="291" t="s">
        <v>3009</v>
      </c>
      <c r="C198" s="291" t="s">
        <v>3053</v>
      </c>
      <c r="D198" s="506"/>
      <c r="E198" s="95"/>
      <c r="G198" s="507"/>
      <c r="H198" s="506"/>
    </row>
    <row r="199" spans="1:8" ht="63.75">
      <c r="A199" s="291" t="s">
        <v>2725</v>
      </c>
      <c r="B199" s="291" t="s">
        <v>3010</v>
      </c>
      <c r="C199" s="291" t="s">
        <v>3054</v>
      </c>
      <c r="D199" s="506"/>
      <c r="E199" s="95"/>
      <c r="G199" s="507"/>
      <c r="H199" s="506"/>
    </row>
    <row r="200" spans="1:8">
      <c r="A200" s="291" t="s">
        <v>5598</v>
      </c>
      <c r="B200" s="291" t="s">
        <v>5838</v>
      </c>
      <c r="C200" s="291" t="s">
        <v>5759</v>
      </c>
      <c r="D200" s="506"/>
      <c r="E200" s="95"/>
      <c r="G200" s="507"/>
      <c r="H200" s="506"/>
    </row>
    <row r="201" spans="1:8" ht="25.5">
      <c r="A201" s="291" t="s">
        <v>5599</v>
      </c>
      <c r="B201" s="291" t="s">
        <v>5839</v>
      </c>
      <c r="C201" s="291" t="s">
        <v>5760</v>
      </c>
      <c r="D201" s="506"/>
      <c r="E201" s="95"/>
      <c r="G201" s="507"/>
      <c r="H201" s="506"/>
    </row>
    <row r="202" spans="1:8" ht="25.5">
      <c r="A202" s="291" t="s">
        <v>5600</v>
      </c>
      <c r="B202" s="291" t="s">
        <v>5840</v>
      </c>
      <c r="C202" s="291" t="s">
        <v>5761</v>
      </c>
      <c r="D202" s="506"/>
      <c r="E202" s="95"/>
      <c r="G202" s="507"/>
      <c r="H202" s="506"/>
    </row>
    <row r="203" spans="1:8">
      <c r="A203" s="291" t="s">
        <v>2726</v>
      </c>
      <c r="B203" s="291" t="s">
        <v>2790</v>
      </c>
      <c r="C203" s="291" t="s">
        <v>2836</v>
      </c>
      <c r="D203" s="506"/>
      <c r="E203" s="95"/>
      <c r="G203" s="507"/>
      <c r="H203" s="506"/>
    </row>
    <row r="204" spans="1:8" ht="38.25">
      <c r="A204" s="291" t="s">
        <v>2727</v>
      </c>
      <c r="B204" s="291" t="s">
        <v>2791</v>
      </c>
      <c r="C204" s="291" t="s">
        <v>2837</v>
      </c>
      <c r="D204" s="506"/>
      <c r="E204" s="95"/>
      <c r="G204" s="507"/>
      <c r="H204" s="506"/>
    </row>
    <row r="205" spans="1:8" ht="102">
      <c r="A205" s="291" t="s">
        <v>2728</v>
      </c>
      <c r="B205" s="291" t="s">
        <v>2792</v>
      </c>
      <c r="C205" s="291" t="s">
        <v>5762</v>
      </c>
      <c r="D205" s="506"/>
      <c r="E205" s="95"/>
      <c r="G205" s="507"/>
      <c r="H205" s="506"/>
    </row>
    <row r="206" spans="1:8" ht="51">
      <c r="A206" s="291" t="s">
        <v>2729</v>
      </c>
      <c r="B206" s="291" t="s">
        <v>2793</v>
      </c>
      <c r="C206" s="291" t="s">
        <v>3064</v>
      </c>
      <c r="D206" s="506"/>
      <c r="E206" s="95"/>
      <c r="G206" s="513"/>
      <c r="H206" s="506"/>
    </row>
    <row r="207" spans="1:8" ht="23.25" customHeight="1">
      <c r="A207" s="291" t="s">
        <v>2730</v>
      </c>
      <c r="B207" s="291" t="s">
        <v>2794</v>
      </c>
      <c r="C207" s="291" t="s">
        <v>2838</v>
      </c>
      <c r="D207" s="506"/>
      <c r="E207" s="95"/>
      <c r="G207" s="507"/>
      <c r="H207" s="506"/>
    </row>
    <row r="208" spans="1:8" ht="170.25" customHeight="1">
      <c r="A208" s="291" t="s">
        <v>2731</v>
      </c>
      <c r="B208" s="291" t="s">
        <v>3011</v>
      </c>
      <c r="C208" s="291" t="s">
        <v>5763</v>
      </c>
      <c r="E208" s="95"/>
      <c r="G208" s="507"/>
      <c r="H208" s="506"/>
    </row>
    <row r="209" spans="1:8">
      <c r="A209" s="291" t="s">
        <v>507</v>
      </c>
      <c r="B209" s="291" t="s">
        <v>1408</v>
      </c>
      <c r="C209" s="291" t="s">
        <v>226</v>
      </c>
      <c r="E209" s="95"/>
      <c r="G209" s="507"/>
      <c r="H209" s="507"/>
    </row>
    <row r="210" spans="1:8" ht="51">
      <c r="A210" s="291" t="s">
        <v>2732</v>
      </c>
      <c r="B210" s="291" t="s">
        <v>3012</v>
      </c>
      <c r="C210" s="291" t="s">
        <v>5767</v>
      </c>
      <c r="D210" s="506"/>
      <c r="E210" s="95"/>
      <c r="G210" s="507"/>
      <c r="H210" s="507"/>
    </row>
    <row r="211" spans="1:8" ht="76.5">
      <c r="A211" s="291" t="s">
        <v>2733</v>
      </c>
      <c r="B211" s="291" t="s">
        <v>3013</v>
      </c>
      <c r="C211" s="291" t="s">
        <v>5764</v>
      </c>
      <c r="D211" s="506"/>
      <c r="E211" s="95"/>
      <c r="G211" s="507"/>
      <c r="H211" s="506"/>
    </row>
    <row r="212" spans="1:8" ht="51">
      <c r="A212" s="291" t="s">
        <v>2734</v>
      </c>
      <c r="B212" s="291" t="s">
        <v>2795</v>
      </c>
      <c r="C212" s="291" t="s">
        <v>5765</v>
      </c>
      <c r="D212" s="506"/>
      <c r="E212" s="95"/>
      <c r="G212" s="111"/>
      <c r="H212" s="506"/>
    </row>
    <row r="213" spans="1:8" ht="102">
      <c r="A213" s="291" t="s">
        <v>2735</v>
      </c>
      <c r="B213" s="291" t="s">
        <v>2816</v>
      </c>
      <c r="C213" s="291" t="s">
        <v>5766</v>
      </c>
      <c r="D213" s="506"/>
      <c r="E213" s="95"/>
      <c r="G213" s="507"/>
      <c r="H213" s="506"/>
    </row>
    <row r="214" spans="1:8">
      <c r="A214" s="291" t="s">
        <v>98</v>
      </c>
      <c r="B214" s="291" t="s">
        <v>1389</v>
      </c>
      <c r="C214" s="291" t="s">
        <v>1146</v>
      </c>
      <c r="D214" s="506"/>
      <c r="E214" s="95"/>
      <c r="G214" s="507"/>
      <c r="H214" s="506"/>
    </row>
    <row r="215" spans="1:8" ht="38.25">
      <c r="A215" s="291" t="s">
        <v>2736</v>
      </c>
      <c r="B215" s="291" t="s">
        <v>3014</v>
      </c>
      <c r="C215" s="291" t="s">
        <v>5768</v>
      </c>
      <c r="D215" s="506"/>
      <c r="E215" s="95"/>
      <c r="G215" s="507"/>
      <c r="H215" s="506"/>
    </row>
    <row r="216" spans="1:8" ht="89.25">
      <c r="A216" s="291" t="s">
        <v>2737</v>
      </c>
      <c r="B216" s="291" t="s">
        <v>3015</v>
      </c>
      <c r="C216" s="291" t="s">
        <v>5769</v>
      </c>
      <c r="D216" s="506"/>
      <c r="E216" s="95"/>
      <c r="G216" s="507"/>
      <c r="H216" s="506"/>
    </row>
    <row r="217" spans="1:8" ht="51">
      <c r="A217" s="291" t="s">
        <v>6718</v>
      </c>
      <c r="B217" s="291" t="s">
        <v>6720</v>
      </c>
      <c r="C217" s="291" t="s">
        <v>6723</v>
      </c>
      <c r="D217" s="506"/>
      <c r="E217" s="95"/>
      <c r="G217" s="507"/>
      <c r="H217" s="506"/>
    </row>
    <row r="218" spans="1:8" ht="38.25">
      <c r="A218" s="291" t="s">
        <v>6719</v>
      </c>
      <c r="B218" s="291" t="s">
        <v>6721</v>
      </c>
      <c r="C218" s="291" t="s">
        <v>6722</v>
      </c>
      <c r="D218" s="506"/>
      <c r="E218" s="95"/>
      <c r="G218" s="507"/>
      <c r="H218" s="506"/>
    </row>
    <row r="219" spans="1:8" ht="38.25">
      <c r="A219" s="291" t="s">
        <v>2738</v>
      </c>
      <c r="B219" s="291" t="s">
        <v>2796</v>
      </c>
      <c r="C219" s="291" t="s">
        <v>3065</v>
      </c>
      <c r="D219" s="506"/>
      <c r="E219" s="95"/>
      <c r="G219" s="507"/>
      <c r="H219" s="506"/>
    </row>
    <row r="220" spans="1:8" ht="89.25">
      <c r="A220" s="291" t="s">
        <v>2739</v>
      </c>
      <c r="B220" s="291" t="s">
        <v>3016</v>
      </c>
      <c r="C220" s="291" t="s">
        <v>3066</v>
      </c>
      <c r="D220" s="506"/>
      <c r="E220" s="95"/>
      <c r="G220" s="507"/>
      <c r="H220" s="506"/>
    </row>
    <row r="221" spans="1:8" ht="114.75">
      <c r="A221" s="291" t="s">
        <v>2740</v>
      </c>
      <c r="B221" s="291" t="s">
        <v>3017</v>
      </c>
      <c r="C221" s="291" t="s">
        <v>3067</v>
      </c>
      <c r="D221" s="506"/>
      <c r="E221" s="95"/>
      <c r="G221" s="507"/>
      <c r="H221" s="506"/>
    </row>
    <row r="222" spans="1:8" ht="38.25">
      <c r="A222" s="291" t="s">
        <v>2741</v>
      </c>
      <c r="B222" s="291" t="s">
        <v>2797</v>
      </c>
      <c r="C222" s="291" t="s">
        <v>3068</v>
      </c>
      <c r="D222" s="506"/>
      <c r="E222" s="95"/>
      <c r="G222" s="111"/>
      <c r="H222" s="506"/>
    </row>
    <row r="223" spans="1:8" ht="63.75">
      <c r="A223" s="291" t="s">
        <v>2742</v>
      </c>
      <c r="B223" s="291" t="s">
        <v>2817</v>
      </c>
      <c r="C223" s="291" t="s">
        <v>3069</v>
      </c>
      <c r="D223" s="506"/>
      <c r="E223" s="95"/>
      <c r="G223" s="507"/>
      <c r="H223" s="506"/>
    </row>
    <row r="224" spans="1:8" ht="76.5">
      <c r="A224" s="291" t="s">
        <v>2743</v>
      </c>
      <c r="B224" s="291" t="s">
        <v>2798</v>
      </c>
      <c r="C224" s="291" t="s">
        <v>3070</v>
      </c>
      <c r="D224" s="506"/>
      <c r="E224" s="95"/>
      <c r="G224" s="507"/>
      <c r="H224" s="506"/>
    </row>
    <row r="225" spans="1:8" ht="102">
      <c r="A225" s="291" t="s">
        <v>2744</v>
      </c>
      <c r="B225" s="291" t="s">
        <v>2799</v>
      </c>
      <c r="C225" s="291" t="s">
        <v>5770</v>
      </c>
      <c r="D225" s="506"/>
      <c r="E225" s="95"/>
      <c r="G225" s="507"/>
      <c r="H225" s="506"/>
    </row>
    <row r="226" spans="1:8" ht="89.25">
      <c r="A226" s="291" t="s">
        <v>2745</v>
      </c>
      <c r="B226" s="291" t="s">
        <v>5856</v>
      </c>
      <c r="C226" s="291" t="s">
        <v>3071</v>
      </c>
      <c r="D226" s="506"/>
      <c r="E226" s="95"/>
      <c r="G226" s="507"/>
      <c r="H226" s="506"/>
    </row>
    <row r="227" spans="1:8" ht="51">
      <c r="A227" s="291" t="s">
        <v>2746</v>
      </c>
      <c r="B227" s="291" t="s">
        <v>3018</v>
      </c>
      <c r="C227" s="291" t="s">
        <v>2839</v>
      </c>
      <c r="D227" s="506"/>
      <c r="E227" s="95"/>
      <c r="G227" s="507"/>
      <c r="H227" s="506"/>
    </row>
    <row r="228" spans="1:8">
      <c r="A228" s="291" t="s">
        <v>2747</v>
      </c>
      <c r="B228" s="291" t="s">
        <v>2800</v>
      </c>
      <c r="C228" s="291" t="s">
        <v>2840</v>
      </c>
      <c r="D228" s="506"/>
      <c r="E228" s="95"/>
      <c r="G228" s="507"/>
      <c r="H228" s="506"/>
    </row>
    <row r="229" spans="1:8" ht="38.25">
      <c r="A229" s="291" t="s">
        <v>2748</v>
      </c>
      <c r="B229" s="291" t="s">
        <v>2801</v>
      </c>
      <c r="C229" s="291" t="s">
        <v>2841</v>
      </c>
      <c r="D229" s="506"/>
      <c r="E229" s="95"/>
      <c r="G229" s="513"/>
      <c r="H229" s="506"/>
    </row>
    <row r="230" spans="1:8" ht="38.25">
      <c r="A230" s="293" t="s">
        <v>6660</v>
      </c>
      <c r="B230" s="669" t="s">
        <v>2801</v>
      </c>
      <c r="C230" s="669" t="s">
        <v>2841</v>
      </c>
      <c r="D230" s="506"/>
      <c r="E230" s="95"/>
      <c r="G230" s="513"/>
      <c r="H230" s="506"/>
    </row>
    <row r="231" spans="1:8" ht="51">
      <c r="A231" s="291" t="s">
        <v>2749</v>
      </c>
      <c r="B231" s="291" t="s">
        <v>2802</v>
      </c>
      <c r="C231" s="291" t="s">
        <v>2842</v>
      </c>
      <c r="D231" s="506"/>
      <c r="E231" s="95"/>
      <c r="G231" s="507"/>
      <c r="H231" s="506"/>
    </row>
    <row r="232" spans="1:8">
      <c r="A232" s="291" t="s">
        <v>2750</v>
      </c>
      <c r="B232" s="291" t="s">
        <v>2818</v>
      </c>
      <c r="C232" s="291" t="s">
        <v>5771</v>
      </c>
      <c r="D232" s="506"/>
      <c r="E232" s="512"/>
      <c r="G232" s="507"/>
      <c r="H232" s="506"/>
    </row>
    <row r="233" spans="1:8" ht="38.25">
      <c r="A233" s="291" t="s">
        <v>2751</v>
      </c>
      <c r="B233" s="291" t="s">
        <v>2803</v>
      </c>
      <c r="C233" s="291" t="s">
        <v>5772</v>
      </c>
      <c r="D233" s="506"/>
      <c r="E233" s="95"/>
      <c r="G233" s="507"/>
      <c r="H233" s="506"/>
    </row>
    <row r="234" spans="1:8" ht="51">
      <c r="A234" s="291" t="s">
        <v>2752</v>
      </c>
      <c r="B234" s="503" t="s">
        <v>5857</v>
      </c>
      <c r="C234" s="291" t="s">
        <v>2843</v>
      </c>
      <c r="D234" s="506"/>
      <c r="E234" s="95"/>
      <c r="G234" s="507"/>
      <c r="H234" s="506"/>
    </row>
    <row r="235" spans="1:8" ht="76.5">
      <c r="A235" s="291" t="s">
        <v>2753</v>
      </c>
      <c r="B235" s="503" t="s">
        <v>5858</v>
      </c>
      <c r="C235" s="291" t="s">
        <v>2844</v>
      </c>
      <c r="D235" s="506"/>
      <c r="E235" s="95"/>
      <c r="G235" s="507"/>
      <c r="H235" s="506"/>
    </row>
    <row r="236" spans="1:8" ht="76.5">
      <c r="A236" s="291" t="s">
        <v>2754</v>
      </c>
      <c r="B236" s="291" t="s">
        <v>2804</v>
      </c>
      <c r="C236" s="291" t="s">
        <v>5773</v>
      </c>
      <c r="D236" s="506"/>
      <c r="E236" s="95"/>
      <c r="G236" s="507"/>
      <c r="H236" s="506"/>
    </row>
    <row r="237" spans="1:8" ht="25.5">
      <c r="A237" s="291" t="s">
        <v>2755</v>
      </c>
      <c r="B237" s="291" t="s">
        <v>2805</v>
      </c>
      <c r="C237" s="291" t="s">
        <v>2845</v>
      </c>
      <c r="D237" s="506"/>
      <c r="E237" s="95"/>
      <c r="G237" s="507"/>
      <c r="H237" s="506"/>
    </row>
    <row r="238" spans="1:8" ht="127.5">
      <c r="A238" s="291" t="s">
        <v>2756</v>
      </c>
      <c r="B238" s="291" t="s">
        <v>3019</v>
      </c>
      <c r="C238" s="291" t="s">
        <v>5774</v>
      </c>
      <c r="D238" s="506"/>
      <c r="E238" s="95"/>
      <c r="G238" s="507"/>
      <c r="H238" s="506"/>
    </row>
    <row r="239" spans="1:8" ht="25.5">
      <c r="A239" s="291" t="s">
        <v>2757</v>
      </c>
      <c r="B239" s="291" t="s">
        <v>2806</v>
      </c>
      <c r="C239" s="514" t="s">
        <v>6492</v>
      </c>
      <c r="D239" s="506"/>
      <c r="E239" s="95"/>
      <c r="G239" s="507"/>
      <c r="H239" s="506"/>
    </row>
    <row r="240" spans="1:8" ht="63.75">
      <c r="A240" s="291" t="s">
        <v>2758</v>
      </c>
      <c r="B240" s="291" t="s">
        <v>2807</v>
      </c>
      <c r="C240" s="514" t="s">
        <v>6493</v>
      </c>
      <c r="D240" s="506"/>
      <c r="E240" s="95"/>
      <c r="G240" s="507"/>
      <c r="H240" s="506"/>
    </row>
    <row r="241" spans="1:8" ht="63.75">
      <c r="A241" s="291" t="s">
        <v>6661</v>
      </c>
      <c r="B241" s="669" t="s">
        <v>2807</v>
      </c>
      <c r="C241" s="669" t="s">
        <v>6493</v>
      </c>
      <c r="D241" s="506"/>
      <c r="E241" s="95"/>
      <c r="G241" s="507"/>
      <c r="H241" s="506"/>
    </row>
    <row r="242" spans="1:8" ht="102">
      <c r="A242" s="291" t="s">
        <v>2759</v>
      </c>
      <c r="B242" s="291" t="s">
        <v>2808</v>
      </c>
      <c r="C242" s="514" t="s">
        <v>6494</v>
      </c>
      <c r="D242" s="506"/>
      <c r="E242" s="95"/>
      <c r="G242" s="507"/>
      <c r="H242" s="506"/>
    </row>
    <row r="243" spans="1:8" ht="127.5">
      <c r="A243" s="291" t="s">
        <v>2760</v>
      </c>
      <c r="B243" s="291" t="s">
        <v>2809</v>
      </c>
      <c r="C243" s="291" t="s">
        <v>3072</v>
      </c>
      <c r="D243" s="506"/>
      <c r="E243" s="95"/>
      <c r="G243" s="507"/>
      <c r="H243" s="506"/>
    </row>
    <row r="244" spans="1:8" ht="114.75">
      <c r="A244" s="291" t="s">
        <v>2761</v>
      </c>
      <c r="B244" s="291" t="s">
        <v>2810</v>
      </c>
      <c r="C244" s="514" t="s">
        <v>6486</v>
      </c>
      <c r="D244" s="506"/>
      <c r="G244" s="507"/>
      <c r="H244" s="506"/>
    </row>
    <row r="245" spans="1:8" ht="76.5">
      <c r="A245" s="291" t="s">
        <v>2762</v>
      </c>
      <c r="B245" s="291" t="s">
        <v>2811</v>
      </c>
      <c r="C245" s="514" t="s">
        <v>6489</v>
      </c>
      <c r="D245" s="506"/>
      <c r="G245" s="506"/>
      <c r="H245" s="506"/>
    </row>
    <row r="246" spans="1:8" ht="25.5">
      <c r="A246" s="291" t="s">
        <v>5554</v>
      </c>
      <c r="B246" s="291" t="s">
        <v>5680</v>
      </c>
      <c r="C246" s="291" t="s">
        <v>5605</v>
      </c>
      <c r="D246" s="506"/>
      <c r="G246" s="506"/>
      <c r="H246" s="506"/>
    </row>
    <row r="247" spans="1:8" ht="114.75">
      <c r="A247" s="291" t="s">
        <v>5555</v>
      </c>
      <c r="B247" s="291" t="s">
        <v>5681</v>
      </c>
      <c r="C247" s="508" t="s">
        <v>5606</v>
      </c>
      <c r="D247" s="506"/>
      <c r="G247" s="506"/>
      <c r="H247" s="506"/>
    </row>
    <row r="248" spans="1:8" ht="114.75">
      <c r="A248" s="293" t="s">
        <v>6662</v>
      </c>
      <c r="B248" s="669" t="s">
        <v>5681</v>
      </c>
      <c r="C248" s="672" t="s">
        <v>5606</v>
      </c>
      <c r="D248" s="506"/>
      <c r="G248" s="506"/>
      <c r="H248" s="506"/>
    </row>
    <row r="249" spans="1:8" ht="89.25">
      <c r="A249" s="291" t="s">
        <v>5556</v>
      </c>
      <c r="B249" s="291" t="s">
        <v>5682</v>
      </c>
      <c r="C249" s="508" t="s">
        <v>5607</v>
      </c>
      <c r="D249" s="506"/>
      <c r="G249" s="506"/>
      <c r="H249" s="506"/>
    </row>
    <row r="250" spans="1:8" ht="89.25">
      <c r="A250" s="293" t="s">
        <v>6663</v>
      </c>
      <c r="B250" s="669" t="s">
        <v>5682</v>
      </c>
      <c r="C250" s="672" t="s">
        <v>5607</v>
      </c>
      <c r="D250" s="506"/>
      <c r="G250" s="506"/>
      <c r="H250" s="506"/>
    </row>
    <row r="251" spans="1:8">
      <c r="A251" s="291" t="s">
        <v>2763</v>
      </c>
      <c r="B251" s="291" t="s">
        <v>3020</v>
      </c>
      <c r="C251" s="291" t="s">
        <v>3055</v>
      </c>
      <c r="D251" s="506"/>
      <c r="G251" s="111"/>
      <c r="H251" s="506"/>
    </row>
    <row r="252" spans="1:8" ht="51">
      <c r="A252" s="291" t="s">
        <v>6068</v>
      </c>
      <c r="B252" s="291" t="s">
        <v>6258</v>
      </c>
      <c r="C252" s="291" t="s">
        <v>6069</v>
      </c>
      <c r="D252" s="507"/>
      <c r="G252" s="507"/>
      <c r="H252" s="506"/>
    </row>
    <row r="253" spans="1:8" ht="25.5">
      <c r="A253" s="291" t="s">
        <v>6595</v>
      </c>
      <c r="B253" s="291" t="s">
        <v>6596</v>
      </c>
      <c r="C253" s="291" t="s">
        <v>6597</v>
      </c>
      <c r="D253" s="507"/>
      <c r="G253" s="507"/>
      <c r="H253" s="506"/>
    </row>
    <row r="254" spans="1:8" ht="38.25">
      <c r="A254" s="291" t="s">
        <v>2767</v>
      </c>
      <c r="B254" s="291" t="s">
        <v>3021</v>
      </c>
      <c r="C254" s="291" t="s">
        <v>3056</v>
      </c>
      <c r="D254" s="507"/>
      <c r="G254" s="507"/>
      <c r="H254" s="506"/>
    </row>
    <row r="255" spans="1:8" ht="38.25">
      <c r="A255" s="291" t="s">
        <v>6252</v>
      </c>
      <c r="B255" s="291" t="s">
        <v>3021</v>
      </c>
      <c r="C255" s="291" t="s">
        <v>3056</v>
      </c>
      <c r="D255" s="506"/>
      <c r="E255" s="72"/>
      <c r="F255" s="72"/>
      <c r="G255" s="507"/>
      <c r="H255" s="507"/>
    </row>
    <row r="256" spans="1:8">
      <c r="A256" s="291" t="s">
        <v>2768</v>
      </c>
      <c r="B256" s="291" t="s">
        <v>3022</v>
      </c>
      <c r="C256" s="291" t="s">
        <v>5778</v>
      </c>
      <c r="D256" s="506"/>
      <c r="E256" s="72"/>
      <c r="F256" s="72"/>
      <c r="G256" s="507"/>
      <c r="H256" s="506"/>
    </row>
    <row r="257" spans="1:8">
      <c r="A257" s="291" t="e">
        <f>IF(GA!#REF!="tak","Obsługę ksiąg rachunkowych za rok "&amp;rok&amp;" prowadziła spółka Roedl Outsourcing sp. z o. o. z siedzibą w Warszawie, Oddział "&amp;gdzie&amp;" "&amp;gdzie2&amp;".","Obsługę ksiąg rachunkowych za rok "&amp;rok&amp;" spółka prowadziła we własnym zakresie.")</f>
        <v>#REF!</v>
      </c>
      <c r="B257" s="291" t="e">
        <f>IF(GA!#REF!="tak","Die Handelsbücher für das Jahr "&amp;rok&amp;" wurden von der Roedl Outsourcing sp. z o. o. mit Sitz in Warschau, Niederlassung "&amp;GA!#REF!&amp;", geführt.","Die Handelsbücher für das Jahr "&amp;rok&amp;" hat die Gesellschafft selbst geführt.")</f>
        <v>#REF!</v>
      </c>
      <c r="C257" s="291" t="e">
        <f>IF(GA!#REF!="tak","The Company's books of account for "&amp;rok&amp;" were kept by Roedl Outsourcing sp. z o.o. with its registered office in Warsaw, branch office in "&amp;oddzial_eng&amp;".","The Company kept its books of account for "&amp;rok&amp;" by itself.")</f>
        <v>#REF!</v>
      </c>
      <c r="D257" s="506"/>
      <c r="E257" s="99"/>
      <c r="F257" s="99"/>
      <c r="G257" s="513"/>
      <c r="H257" s="506"/>
    </row>
    <row r="258" spans="1:8" ht="51">
      <c r="A258" s="291" t="s">
        <v>6072</v>
      </c>
      <c r="B258" s="291" t="s">
        <v>6259</v>
      </c>
      <c r="C258" s="291" t="s">
        <v>6122</v>
      </c>
      <c r="D258" s="506"/>
      <c r="E258" s="99"/>
      <c r="F258" s="99"/>
      <c r="G258" s="513"/>
      <c r="H258" s="506"/>
    </row>
    <row r="259" spans="1:8" ht="25.5">
      <c r="A259" s="632" t="s">
        <v>6078</v>
      </c>
      <c r="B259" s="632" t="s">
        <v>6515</v>
      </c>
      <c r="C259" s="633" t="s">
        <v>6509</v>
      </c>
      <c r="D259" s="506"/>
      <c r="E259" s="99"/>
      <c r="F259" s="99"/>
      <c r="G259" s="513"/>
      <c r="H259" s="506"/>
    </row>
    <row r="260" spans="1:8" ht="178.5">
      <c r="A260" s="632" t="s">
        <v>6080</v>
      </c>
      <c r="B260" s="632" t="s">
        <v>6374</v>
      </c>
      <c r="C260" s="632" t="s">
        <v>6123</v>
      </c>
      <c r="D260" s="506"/>
      <c r="E260" s="99"/>
      <c r="F260" s="99"/>
      <c r="G260" s="513"/>
      <c r="H260" s="506"/>
    </row>
    <row r="261" spans="1:8" ht="178.5">
      <c r="A261" s="632" t="s">
        <v>6080</v>
      </c>
      <c r="B261" s="632" t="s">
        <v>6375</v>
      </c>
      <c r="C261" s="632" t="s">
        <v>6123</v>
      </c>
      <c r="D261" s="506"/>
      <c r="E261" s="99"/>
      <c r="F261" s="99"/>
      <c r="G261" s="513"/>
      <c r="H261" s="506"/>
    </row>
    <row r="262" spans="1:8" ht="165.75">
      <c r="A262" s="632" t="s">
        <v>6079</v>
      </c>
      <c r="B262" s="632" t="s">
        <v>6260</v>
      </c>
      <c r="C262" s="632" t="s">
        <v>6124</v>
      </c>
      <c r="D262" s="506"/>
      <c r="E262" s="99"/>
      <c r="F262" s="99"/>
      <c r="G262" s="513"/>
      <c r="H262" s="506"/>
    </row>
    <row r="263" spans="1:8" ht="165.75">
      <c r="A263" s="632" t="s">
        <v>6079</v>
      </c>
      <c r="B263" s="632" t="s">
        <v>6360</v>
      </c>
      <c r="C263" s="632" t="s">
        <v>6124</v>
      </c>
      <c r="D263" s="506"/>
      <c r="E263" s="99"/>
      <c r="F263" s="99"/>
      <c r="G263" s="513"/>
      <c r="H263" s="506"/>
    </row>
    <row r="264" spans="1:8" ht="25.5">
      <c r="A264" s="634" t="s">
        <v>6501</v>
      </c>
      <c r="B264" s="646" t="s">
        <v>6578</v>
      </c>
      <c r="C264" s="637" t="s">
        <v>6509</v>
      </c>
      <c r="D264" s="627"/>
      <c r="E264" s="99"/>
      <c r="F264" s="99"/>
      <c r="G264" s="513"/>
      <c r="H264" s="506"/>
    </row>
    <row r="265" spans="1:8" ht="178.5">
      <c r="A265" s="630" t="s">
        <v>6546</v>
      </c>
      <c r="B265" s="648" t="s">
        <v>6587</v>
      </c>
      <c r="C265" s="630" t="s">
        <v>6557</v>
      </c>
      <c r="E265" s="99"/>
      <c r="F265" s="99"/>
      <c r="G265" s="513"/>
      <c r="H265" s="506"/>
    </row>
    <row r="266" spans="1:8" ht="178.5">
      <c r="A266" s="630" t="s">
        <v>6546</v>
      </c>
      <c r="B266" s="648" t="s">
        <v>6590</v>
      </c>
      <c r="C266" s="630" t="s">
        <v>6557</v>
      </c>
      <c r="E266" s="99"/>
      <c r="F266" s="99"/>
      <c r="G266" s="513"/>
      <c r="H266" s="506"/>
    </row>
    <row r="267" spans="1:8" ht="165.75">
      <c r="A267" s="630" t="s">
        <v>6547</v>
      </c>
      <c r="B267" s="648" t="s">
        <v>6588</v>
      </c>
      <c r="C267" s="630" t="s">
        <v>6558</v>
      </c>
      <c r="E267" s="99"/>
      <c r="F267" s="99"/>
      <c r="G267" s="513"/>
      <c r="H267" s="506"/>
    </row>
    <row r="268" spans="1:8" ht="165.75">
      <c r="A268" s="630" t="s">
        <v>6547</v>
      </c>
      <c r="B268" s="648" t="s">
        <v>6589</v>
      </c>
      <c r="C268" s="630" t="s">
        <v>6558</v>
      </c>
      <c r="E268" s="99"/>
      <c r="F268" s="99"/>
      <c r="G268" s="513"/>
      <c r="H268" s="506"/>
    </row>
    <row r="269" spans="1:8" ht="38.25">
      <c r="A269" s="291" t="s">
        <v>6083</v>
      </c>
      <c r="B269" s="291" t="s">
        <v>6261</v>
      </c>
      <c r="C269" s="291" t="s">
        <v>6125</v>
      </c>
      <c r="D269" s="506"/>
      <c r="E269" s="99"/>
      <c r="F269" s="99"/>
      <c r="G269" s="513"/>
      <c r="H269" s="506"/>
    </row>
    <row r="270" spans="1:8" ht="38.25">
      <c r="A270" s="291" t="s">
        <v>6083</v>
      </c>
      <c r="B270" s="291" t="s">
        <v>6352</v>
      </c>
      <c r="C270" s="291" t="s">
        <v>6125</v>
      </c>
      <c r="D270" s="506"/>
      <c r="E270" s="99"/>
      <c r="F270" s="99"/>
      <c r="G270" s="513"/>
      <c r="H270" s="506"/>
    </row>
    <row r="271" spans="1:8">
      <c r="A271" s="291" t="s">
        <v>5478</v>
      </c>
      <c r="B271" s="291" t="s">
        <v>5683</v>
      </c>
      <c r="C271" s="291" t="s">
        <v>5608</v>
      </c>
      <c r="D271" s="506"/>
      <c r="E271" s="99"/>
      <c r="F271" s="99"/>
      <c r="G271" s="513"/>
      <c r="H271" s="506"/>
    </row>
    <row r="272" spans="1:8" ht="38.25">
      <c r="A272" s="291" t="s">
        <v>2769</v>
      </c>
      <c r="B272" s="291" t="s">
        <v>3023</v>
      </c>
      <c r="C272" s="291" t="s">
        <v>3057</v>
      </c>
      <c r="D272" s="506"/>
      <c r="E272" s="99"/>
      <c r="F272" s="99"/>
      <c r="G272" s="513"/>
      <c r="H272" s="506"/>
    </row>
    <row r="273" spans="1:11">
      <c r="A273" s="291" t="s">
        <v>6099</v>
      </c>
      <c r="B273" s="291" t="s">
        <v>6262</v>
      </c>
      <c r="C273" s="291" t="s">
        <v>6126</v>
      </c>
      <c r="D273" s="506"/>
      <c r="E273" s="99"/>
      <c r="F273" s="99"/>
      <c r="G273" s="513"/>
      <c r="H273" s="506"/>
    </row>
    <row r="274" spans="1:11" ht="150" customHeight="1">
      <c r="A274" s="291" t="s">
        <v>6100</v>
      </c>
      <c r="B274" s="291" t="s">
        <v>6263</v>
      </c>
      <c r="C274" s="291" t="s">
        <v>6127</v>
      </c>
      <c r="D274" s="99"/>
      <c r="E274" s="72"/>
      <c r="F274" s="72"/>
      <c r="G274" s="72"/>
      <c r="H274" s="72"/>
      <c r="I274" s="72"/>
      <c r="J274" s="72"/>
      <c r="K274" s="72"/>
    </row>
    <row r="275" spans="1:11" ht="150" customHeight="1">
      <c r="A275" s="291" t="s">
        <v>6100</v>
      </c>
      <c r="B275" s="291" t="s">
        <v>6361</v>
      </c>
      <c r="C275" s="291" t="s">
        <v>6127</v>
      </c>
      <c r="D275" s="99"/>
      <c r="E275" s="72"/>
      <c r="F275" s="72"/>
      <c r="G275" s="72"/>
      <c r="H275" s="72"/>
      <c r="I275" s="72"/>
      <c r="J275" s="72"/>
      <c r="K275" s="72"/>
    </row>
    <row r="276" spans="1:11" ht="43.5" customHeight="1">
      <c r="A276" s="291" t="e">
        <f>"Na "&amp;dzb&amp;" Spółka wykazuje narastającą stratę w wysokości PLN "&amp;strata1&amp;" oraz ujemne kapitały własne."</f>
        <v>#REF!</v>
      </c>
      <c r="B276" s="291" t="e">
        <f>"Zum "&amp;dzb&amp;" weist die Gesellschaft kumulativ einen Verlust von "&amp;strata1&amp;" PLN und ein negatives Eigenkapital aus."</f>
        <v>#REF!</v>
      </c>
      <c r="C276" s="291" t="e">
        <f>"As of "&amp;dzb&amp;" the Company shows growing losses of PLN "&amp;strata1&amp;" and negative owners' equity."</f>
        <v>#REF!</v>
      </c>
      <c r="D276" s="99"/>
      <c r="E276" s="72"/>
      <c r="F276" s="72"/>
      <c r="G276" s="72"/>
      <c r="H276" s="72"/>
      <c r="I276" s="72"/>
      <c r="J276" s="72"/>
      <c r="K276" s="72"/>
    </row>
    <row r="277" spans="1:11" ht="43.5" customHeight="1">
      <c r="A277" s="291" t="e">
        <f>"Na "&amp;dzb&amp;" Spółka wykazuje narastającą stratę w wysokości PLN "&amp;strata1&amp;"."</f>
        <v>#REF!</v>
      </c>
      <c r="B277" s="291" t="e">
        <f>"Zum "&amp;dzb&amp;" weist die Gesellschaft kumulativ einen Verlust von "&amp;strata1&amp;" PLN aus."</f>
        <v>#REF!</v>
      </c>
      <c r="C277" s="291" t="e">
        <f>"As of "&amp;dzb&amp;" the Company shows growing losses of PLN "&amp;strata1&amp;"."</f>
        <v>#REF!</v>
      </c>
      <c r="D277" s="99"/>
      <c r="E277" s="72"/>
      <c r="F277" s="72"/>
      <c r="G277" s="72"/>
      <c r="H277" s="72"/>
      <c r="I277" s="72"/>
      <c r="J277" s="72"/>
      <c r="K277" s="72"/>
    </row>
    <row r="278" spans="1:11" ht="81.75" customHeight="1">
      <c r="A278" s="291" t="str">
        <f>"Ze względu na fakt, że w bilansie sporządzonym za rok obrotowy "&amp;rok&amp;" wykazano stratę przewyższającą sumę kapitałów zapasowego i rezerwowych oraz połowę kapitału zakładowego, Udziałowcy Spółki podejmą uchwałę, zgodnie z art. 233 ksh, co do dalszego istnienia spółki."</f>
        <v>Ze względu na fakt, że w bilansie sporządzonym za rok obrotowy 2024 wykazano stratę przewyższającą sumę kapitałów zapasowego i rezerwowych oraz połowę kapitału zakładowego, Udziałowcy Spółki podejmą uchwałę, zgodnie z art. 233 ksh, co do dalszego istnienia spółki.</v>
      </c>
      <c r="B278" s="291" t="str">
        <f>"Da in der Bilanz für das Geschäftsjahr "&amp;rok&amp;" ein Verlust ausgewiesen wurde, der die Summe der Kapitalrücklagen und sonstigen Rücklagen sowie die Hälfte des Stammkapitals übersteigt,"&amp;" werden die Gesellschafter den Beschluss über die Unternehmensfortführung gemäß Art. 233 des Gesetzbuches über die Handelsgesellschaften fassen."</f>
        <v>Da in der Bilanz für das Geschäftsjahr 2024 ein Verlust ausgewiesen wurde, der die Summe der Kapitalrücklagen und sonstigen Rücklagen sowie die Hälfte des Stammkapitals übersteigt, werden die Gesellschafter den Beschluss über die Unternehmensfortführung gemäß Art. 233 des Gesetzbuches über die Handelsgesellschaften fassen.</v>
      </c>
      <c r="C278" s="291" t="str">
        <f>"As the balance sheet prepared for the financial year "&amp;rok&amp;" shows a loss higher than the total of capital reserves and a half of the share capital, the Company's shareholders will adopt a resolution on further existence of the Company, as required under Article 233 of the Code of Commercial Companies."</f>
        <v>As the balance sheet prepared for the financial year 2024 shows a loss higher than the total of capital reserves and a half of the share capital, the Company's shareholders will adopt a resolution on further existence of the Company, as required under Article 233 of the Code of Commercial Companies.</v>
      </c>
      <c r="D278" s="395"/>
      <c r="E278" s="84"/>
      <c r="F278" s="84"/>
      <c r="G278" s="84"/>
      <c r="H278" s="84"/>
      <c r="I278" s="84"/>
      <c r="J278" s="84"/>
      <c r="K278" s="84"/>
    </row>
    <row r="279" spans="1:11" ht="93" customHeight="1">
      <c r="A279" s="291" t="s">
        <v>6101</v>
      </c>
      <c r="B279" s="293" t="s">
        <v>6264</v>
      </c>
      <c r="C279" s="291" t="s">
        <v>6128</v>
      </c>
      <c r="D279" s="99"/>
      <c r="E279" s="72"/>
      <c r="F279" s="72"/>
      <c r="G279" s="72"/>
      <c r="H279" s="72"/>
      <c r="I279" s="72"/>
      <c r="J279" s="72"/>
      <c r="K279" s="72"/>
    </row>
    <row r="280" spans="1:11" ht="93" customHeight="1">
      <c r="A280" s="291" t="s">
        <v>6101</v>
      </c>
      <c r="B280" s="293" t="s">
        <v>6376</v>
      </c>
      <c r="C280" s="291" t="s">
        <v>6128</v>
      </c>
      <c r="D280" s="99"/>
      <c r="E280" s="72"/>
      <c r="F280" s="72"/>
      <c r="G280" s="72"/>
      <c r="H280" s="72"/>
      <c r="I280" s="72"/>
      <c r="J280" s="72"/>
      <c r="K280" s="72"/>
    </row>
    <row r="281" spans="1:11" ht="12.75" customHeight="1">
      <c r="A281" s="291" t="s">
        <v>4654</v>
      </c>
      <c r="B281" s="489" t="s">
        <v>1661</v>
      </c>
      <c r="C281" s="291" t="s">
        <v>1885</v>
      </c>
      <c r="D281" s="506"/>
      <c r="E281" s="99"/>
      <c r="F281" s="99"/>
      <c r="G281" s="513"/>
      <c r="H281" s="506"/>
    </row>
    <row r="282" spans="1:11" ht="12.75" customHeight="1">
      <c r="A282" s="291" t="s">
        <v>4654</v>
      </c>
      <c r="B282" s="293" t="s">
        <v>6370</v>
      </c>
      <c r="C282" s="291" t="s">
        <v>1885</v>
      </c>
      <c r="D282" s="506"/>
      <c r="E282" s="99"/>
      <c r="F282" s="99"/>
      <c r="G282" s="513"/>
      <c r="H282" s="506"/>
    </row>
    <row r="283" spans="1:11">
      <c r="A283" s="291" t="s">
        <v>4655</v>
      </c>
      <c r="B283" s="291" t="s">
        <v>5684</v>
      </c>
      <c r="C283" s="291" t="s">
        <v>5609</v>
      </c>
      <c r="D283" s="506"/>
      <c r="E283" s="99"/>
      <c r="F283" s="99"/>
      <c r="G283" s="513"/>
      <c r="H283" s="506"/>
    </row>
    <row r="284" spans="1:11">
      <c r="A284" s="291" t="s">
        <v>4655</v>
      </c>
      <c r="B284" s="515" t="s">
        <v>6371</v>
      </c>
      <c r="C284" s="291" t="s">
        <v>5609</v>
      </c>
    </row>
    <row r="285" spans="1:11" ht="13.5" thickBot="1">
      <c r="A285" s="638"/>
      <c r="B285" s="640" t="s">
        <v>345</v>
      </c>
      <c r="C285" s="639"/>
    </row>
    <row r="286" spans="1:11">
      <c r="A286" s="487" t="str">
        <f>"Bilans na dzień " &amp;dzb</f>
        <v>Bilans na dzień 31.12.2024</v>
      </c>
      <c r="B286" s="489" t="str">
        <f>"Bilanz zum " &amp;dzb</f>
        <v>Bilanz zum 31.12.2024</v>
      </c>
      <c r="C286" s="487" t="str">
        <f>"Balance sheet as of " &amp;dzb</f>
        <v>Balance sheet as of 31.12.2024</v>
      </c>
    </row>
    <row r="287" spans="1:11">
      <c r="A287" s="487" t="s">
        <v>2076</v>
      </c>
      <c r="B287" s="293" t="s">
        <v>2340</v>
      </c>
      <c r="C287" s="487" t="s">
        <v>2077</v>
      </c>
    </row>
    <row r="288" spans="1:11">
      <c r="A288" s="487" t="s">
        <v>348</v>
      </c>
      <c r="B288" s="489" t="s">
        <v>551</v>
      </c>
      <c r="C288" s="487" t="s">
        <v>1417</v>
      </c>
    </row>
    <row r="289" spans="1:3">
      <c r="A289" s="487" t="s">
        <v>6114</v>
      </c>
      <c r="B289" s="293" t="s">
        <v>6365</v>
      </c>
      <c r="C289" s="291" t="s">
        <v>6367</v>
      </c>
    </row>
    <row r="290" spans="1:3">
      <c r="A290" s="487" t="s">
        <v>6115</v>
      </c>
      <c r="B290" s="293" t="s">
        <v>6366</v>
      </c>
      <c r="C290" s="291" t="s">
        <v>6369</v>
      </c>
    </row>
    <row r="291" spans="1:3">
      <c r="A291" s="487" t="s">
        <v>6116</v>
      </c>
      <c r="B291" s="293" t="s">
        <v>6364</v>
      </c>
      <c r="C291" s="291" t="s">
        <v>6368</v>
      </c>
    </row>
    <row r="292" spans="1:3">
      <c r="A292" s="291" t="s">
        <v>36</v>
      </c>
      <c r="B292" s="489" t="s">
        <v>1380</v>
      </c>
      <c r="C292" s="291" t="s">
        <v>37</v>
      </c>
    </row>
    <row r="293" spans="1:3">
      <c r="A293" s="291" t="s">
        <v>1108</v>
      </c>
      <c r="B293" s="489" t="s">
        <v>1381</v>
      </c>
      <c r="C293" s="291" t="s">
        <v>1495</v>
      </c>
    </row>
    <row r="294" spans="1:3" ht="25.5">
      <c r="A294" s="291" t="s">
        <v>646</v>
      </c>
      <c r="B294" s="489" t="s">
        <v>673</v>
      </c>
      <c r="C294" s="291" t="s">
        <v>1496</v>
      </c>
    </row>
    <row r="295" spans="1:3">
      <c r="A295" s="291" t="s">
        <v>1129</v>
      </c>
      <c r="B295" s="293" t="s">
        <v>2231</v>
      </c>
      <c r="C295" s="291" t="s">
        <v>1497</v>
      </c>
    </row>
    <row r="296" spans="1:3">
      <c r="A296" s="291" t="s">
        <v>517</v>
      </c>
      <c r="B296" s="293" t="s">
        <v>2235</v>
      </c>
      <c r="C296" s="291" t="s">
        <v>775</v>
      </c>
    </row>
    <row r="297" spans="1:3" ht="25.5">
      <c r="A297" s="291" t="s">
        <v>776</v>
      </c>
      <c r="B297" s="489" t="s">
        <v>563</v>
      </c>
      <c r="C297" s="291" t="s">
        <v>1498</v>
      </c>
    </row>
    <row r="298" spans="1:3" ht="25.5">
      <c r="A298" s="291" t="s">
        <v>1109</v>
      </c>
      <c r="B298" s="489" t="s">
        <v>1382</v>
      </c>
      <c r="C298" s="291" t="s">
        <v>1275</v>
      </c>
    </row>
    <row r="299" spans="1:3">
      <c r="A299" s="291" t="s">
        <v>1110</v>
      </c>
      <c r="B299" s="293" t="s">
        <v>1786</v>
      </c>
      <c r="C299" s="291" t="s">
        <v>1499</v>
      </c>
    </row>
    <row r="300" spans="1:3">
      <c r="A300" s="291" t="s">
        <v>523</v>
      </c>
      <c r="B300" s="489" t="s">
        <v>1383</v>
      </c>
      <c r="C300" s="291" t="s">
        <v>1500</v>
      </c>
    </row>
    <row r="301" spans="1:3" ht="25.5">
      <c r="A301" s="291" t="s">
        <v>134</v>
      </c>
      <c r="B301" s="489" t="s">
        <v>1384</v>
      </c>
      <c r="C301" s="291" t="s">
        <v>1501</v>
      </c>
    </row>
    <row r="302" spans="1:3" ht="25.5">
      <c r="A302" s="291" t="s">
        <v>2190</v>
      </c>
      <c r="B302" s="293" t="s">
        <v>2437</v>
      </c>
      <c r="C302" s="291" t="s">
        <v>5779</v>
      </c>
    </row>
    <row r="303" spans="1:3">
      <c r="A303" s="291" t="s">
        <v>524</v>
      </c>
      <c r="B303" s="293" t="s">
        <v>2233</v>
      </c>
      <c r="C303" s="291" t="s">
        <v>33</v>
      </c>
    </row>
    <row r="304" spans="1:3">
      <c r="A304" s="291" t="s">
        <v>526</v>
      </c>
      <c r="B304" s="489" t="s">
        <v>566</v>
      </c>
      <c r="C304" s="291" t="s">
        <v>34</v>
      </c>
    </row>
    <row r="305" spans="1:4">
      <c r="A305" s="291" t="s">
        <v>525</v>
      </c>
      <c r="B305" s="293" t="s">
        <v>2234</v>
      </c>
      <c r="C305" s="291" t="s">
        <v>1141</v>
      </c>
    </row>
    <row r="306" spans="1:4">
      <c r="A306" s="291" t="s">
        <v>527</v>
      </c>
      <c r="B306" s="293" t="s">
        <v>1385</v>
      </c>
      <c r="C306" s="291" t="s">
        <v>1142</v>
      </c>
    </row>
    <row r="307" spans="1:4" ht="25.5">
      <c r="A307" s="291" t="s">
        <v>528</v>
      </c>
      <c r="B307" s="489" t="s">
        <v>1386</v>
      </c>
      <c r="C307" s="291" t="s">
        <v>1276</v>
      </c>
    </row>
    <row r="308" spans="1:4">
      <c r="A308" s="291" t="s">
        <v>1101</v>
      </c>
      <c r="B308" s="489" t="s">
        <v>1387</v>
      </c>
      <c r="C308" s="291" t="s">
        <v>1143</v>
      </c>
    </row>
    <row r="309" spans="1:4">
      <c r="A309" s="291" t="s">
        <v>529</v>
      </c>
      <c r="B309" s="489" t="s">
        <v>1577</v>
      </c>
      <c r="C309" s="291" t="s">
        <v>1144</v>
      </c>
    </row>
    <row r="310" spans="1:4" ht="25.5">
      <c r="A310" s="291" t="s">
        <v>2022</v>
      </c>
      <c r="B310" s="516" t="s">
        <v>6449</v>
      </c>
      <c r="C310" s="293" t="s">
        <v>5780</v>
      </c>
      <c r="D310" s="292"/>
    </row>
    <row r="311" spans="1:4">
      <c r="A311" s="291" t="s">
        <v>530</v>
      </c>
      <c r="B311" s="489" t="s">
        <v>1388</v>
      </c>
      <c r="C311" s="291" t="s">
        <v>1145</v>
      </c>
    </row>
    <row r="312" spans="1:4">
      <c r="A312" s="291" t="s">
        <v>98</v>
      </c>
      <c r="B312" s="489" t="s">
        <v>1389</v>
      </c>
      <c r="C312" s="291" t="s">
        <v>1146</v>
      </c>
    </row>
    <row r="313" spans="1:4">
      <c r="A313" s="291" t="s">
        <v>531</v>
      </c>
      <c r="B313" s="489" t="s">
        <v>1390</v>
      </c>
      <c r="C313" s="291" t="s">
        <v>899</v>
      </c>
    </row>
    <row r="314" spans="1:4" ht="25.5">
      <c r="A314" s="291" t="s">
        <v>646</v>
      </c>
      <c r="B314" s="293" t="s">
        <v>673</v>
      </c>
      <c r="C314" s="291" t="s">
        <v>1496</v>
      </c>
    </row>
    <row r="315" spans="1:4">
      <c r="A315" s="291" t="s">
        <v>532</v>
      </c>
      <c r="B315" s="489" t="s">
        <v>1391</v>
      </c>
      <c r="C315" s="291" t="s">
        <v>1147</v>
      </c>
    </row>
    <row r="316" spans="1:4">
      <c r="A316" s="291" t="s">
        <v>534</v>
      </c>
      <c r="B316" s="489" t="s">
        <v>1578</v>
      </c>
      <c r="C316" s="291" t="s">
        <v>314</v>
      </c>
    </row>
    <row r="317" spans="1:4">
      <c r="A317" s="291" t="s">
        <v>535</v>
      </c>
      <c r="B317" s="489" t="s">
        <v>1392</v>
      </c>
      <c r="C317" s="291" t="s">
        <v>315</v>
      </c>
    </row>
    <row r="318" spans="1:4">
      <c r="A318" s="291" t="s">
        <v>536</v>
      </c>
      <c r="B318" s="489" t="s">
        <v>1393</v>
      </c>
      <c r="C318" s="291" t="s">
        <v>316</v>
      </c>
    </row>
    <row r="319" spans="1:4">
      <c r="A319" s="291" t="s">
        <v>259</v>
      </c>
      <c r="B319" s="489" t="s">
        <v>1394</v>
      </c>
      <c r="C319" s="291" t="s">
        <v>317</v>
      </c>
    </row>
    <row r="320" spans="1:4" ht="25.5">
      <c r="A320" s="291" t="s">
        <v>260</v>
      </c>
      <c r="B320" s="489" t="s">
        <v>1579</v>
      </c>
      <c r="C320" s="291" t="s">
        <v>205</v>
      </c>
    </row>
    <row r="321" spans="1:4">
      <c r="A321" s="291" t="s">
        <v>261</v>
      </c>
      <c r="B321" s="489" t="s">
        <v>1395</v>
      </c>
      <c r="C321" s="291" t="s">
        <v>206</v>
      </c>
    </row>
    <row r="322" spans="1:4" ht="25.5">
      <c r="A322" s="291" t="s">
        <v>2029</v>
      </c>
      <c r="B322" s="516" t="s">
        <v>6450</v>
      </c>
      <c r="C322" s="293" t="s">
        <v>5781</v>
      </c>
      <c r="D322" s="292"/>
    </row>
    <row r="323" spans="1:4">
      <c r="A323" s="291" t="s">
        <v>262</v>
      </c>
      <c r="B323" s="489" t="s">
        <v>1396</v>
      </c>
      <c r="C323" s="291" t="s">
        <v>207</v>
      </c>
    </row>
    <row r="324" spans="1:4">
      <c r="A324" s="291" t="s">
        <v>263</v>
      </c>
      <c r="B324" s="489" t="s">
        <v>1397</v>
      </c>
      <c r="C324" s="291" t="s">
        <v>208</v>
      </c>
    </row>
    <row r="325" spans="1:4" ht="25.5">
      <c r="A325" s="291" t="s">
        <v>264</v>
      </c>
      <c r="B325" s="293" t="s">
        <v>2341</v>
      </c>
      <c r="C325" s="291" t="s">
        <v>209</v>
      </c>
    </row>
    <row r="326" spans="1:4">
      <c r="A326" s="291" t="s">
        <v>598</v>
      </c>
      <c r="B326" s="489" t="s">
        <v>1398</v>
      </c>
      <c r="C326" s="291" t="s">
        <v>210</v>
      </c>
    </row>
    <row r="327" spans="1:4">
      <c r="A327" s="291" t="s">
        <v>265</v>
      </c>
      <c r="B327" s="489" t="s">
        <v>1399</v>
      </c>
      <c r="C327" s="291" t="s">
        <v>211</v>
      </c>
    </row>
    <row r="328" spans="1:4">
      <c r="A328" s="291" t="s">
        <v>1102</v>
      </c>
      <c r="B328" s="489" t="s">
        <v>1400</v>
      </c>
      <c r="C328" s="291" t="s">
        <v>212</v>
      </c>
    </row>
    <row r="329" spans="1:4">
      <c r="A329" s="291" t="s">
        <v>1103</v>
      </c>
      <c r="B329" s="489" t="s">
        <v>1401</v>
      </c>
      <c r="C329" s="291" t="s">
        <v>213</v>
      </c>
    </row>
    <row r="330" spans="1:4">
      <c r="A330" s="291" t="s">
        <v>1104</v>
      </c>
      <c r="B330" s="489" t="s">
        <v>1402</v>
      </c>
      <c r="C330" s="291" t="s">
        <v>214</v>
      </c>
    </row>
    <row r="331" spans="1:4">
      <c r="A331" s="291" t="s">
        <v>1105</v>
      </c>
      <c r="B331" s="293" t="s">
        <v>2236</v>
      </c>
      <c r="C331" s="291" t="s">
        <v>215</v>
      </c>
    </row>
    <row r="332" spans="1:4">
      <c r="A332" s="291" t="s">
        <v>1106</v>
      </c>
      <c r="B332" s="489" t="s">
        <v>1403</v>
      </c>
      <c r="C332" s="291" t="s">
        <v>216</v>
      </c>
    </row>
    <row r="333" spans="1:4" ht="25.5">
      <c r="A333" s="291" t="s">
        <v>2019</v>
      </c>
      <c r="B333" s="293" t="s">
        <v>2020</v>
      </c>
      <c r="C333" s="291" t="s">
        <v>2021</v>
      </c>
    </row>
    <row r="334" spans="1:4">
      <c r="A334" s="291" t="s">
        <v>266</v>
      </c>
      <c r="B334" s="489" t="s">
        <v>1404</v>
      </c>
      <c r="C334" s="291" t="s">
        <v>217</v>
      </c>
    </row>
    <row r="335" spans="1:4">
      <c r="A335" s="291" t="s">
        <v>267</v>
      </c>
      <c r="B335" s="489" t="s">
        <v>1405</v>
      </c>
      <c r="C335" s="291" t="s">
        <v>218</v>
      </c>
    </row>
    <row r="336" spans="1:4" ht="25.5">
      <c r="A336" s="291" t="s">
        <v>2023</v>
      </c>
      <c r="B336" s="516" t="s">
        <v>6451</v>
      </c>
      <c r="C336" s="293" t="s">
        <v>5782</v>
      </c>
    </row>
    <row r="337" spans="1:3" ht="25.5">
      <c r="A337" s="291" t="s">
        <v>268</v>
      </c>
      <c r="B337" s="489" t="s">
        <v>150</v>
      </c>
      <c r="C337" s="291" t="s">
        <v>1418</v>
      </c>
    </row>
    <row r="338" spans="1:3">
      <c r="A338" s="291" t="s">
        <v>269</v>
      </c>
      <c r="B338" s="489" t="s">
        <v>151</v>
      </c>
      <c r="C338" s="291" t="s">
        <v>219</v>
      </c>
    </row>
    <row r="339" spans="1:3">
      <c r="A339" s="291" t="s">
        <v>270</v>
      </c>
      <c r="B339" s="489" t="s">
        <v>1406</v>
      </c>
      <c r="C339" s="291" t="s">
        <v>220</v>
      </c>
    </row>
    <row r="340" spans="1:3">
      <c r="A340" s="291" t="s">
        <v>271</v>
      </c>
      <c r="B340" s="489" t="s">
        <v>1407</v>
      </c>
      <c r="C340" s="291" t="s">
        <v>221</v>
      </c>
    </row>
    <row r="341" spans="1:3">
      <c r="A341" s="291" t="s">
        <v>272</v>
      </c>
      <c r="B341" s="293" t="s">
        <v>1625</v>
      </c>
      <c r="C341" s="291" t="s">
        <v>222</v>
      </c>
    </row>
    <row r="342" spans="1:3" ht="38.25">
      <c r="A342" s="291" t="s">
        <v>2221</v>
      </c>
      <c r="B342" s="293" t="s">
        <v>2342</v>
      </c>
      <c r="C342" s="291" t="s">
        <v>223</v>
      </c>
    </row>
    <row r="343" spans="1:3">
      <c r="A343" s="291" t="s">
        <v>271</v>
      </c>
      <c r="B343" s="489" t="s">
        <v>1407</v>
      </c>
      <c r="C343" s="291" t="s">
        <v>224</v>
      </c>
    </row>
    <row r="344" spans="1:3">
      <c r="A344" s="291" t="s">
        <v>273</v>
      </c>
      <c r="B344" s="517" t="s">
        <v>6452</v>
      </c>
      <c r="C344" s="291" t="s">
        <v>225</v>
      </c>
    </row>
    <row r="345" spans="1:3">
      <c r="A345" s="291" t="s">
        <v>507</v>
      </c>
      <c r="B345" s="489" t="s">
        <v>1408</v>
      </c>
      <c r="C345" s="291" t="s">
        <v>226</v>
      </c>
    </row>
    <row r="346" spans="1:3">
      <c r="A346" s="291" t="s">
        <v>508</v>
      </c>
      <c r="B346" s="489" t="s">
        <v>1409</v>
      </c>
      <c r="C346" s="291" t="s">
        <v>227</v>
      </c>
    </row>
    <row r="347" spans="1:3">
      <c r="A347" s="291" t="s">
        <v>534</v>
      </c>
      <c r="B347" s="293" t="s">
        <v>1578</v>
      </c>
      <c r="C347" s="291" t="s">
        <v>314</v>
      </c>
    </row>
    <row r="348" spans="1:3">
      <c r="A348" s="291" t="s">
        <v>535</v>
      </c>
      <c r="B348" s="489" t="s">
        <v>1392</v>
      </c>
      <c r="C348" s="291" t="s">
        <v>315</v>
      </c>
    </row>
    <row r="349" spans="1:3">
      <c r="A349" s="291" t="s">
        <v>536</v>
      </c>
      <c r="B349" s="489" t="s">
        <v>1393</v>
      </c>
      <c r="C349" s="291" t="s">
        <v>316</v>
      </c>
    </row>
    <row r="350" spans="1:3">
      <c r="A350" s="291" t="s">
        <v>259</v>
      </c>
      <c r="B350" s="489" t="s">
        <v>1394</v>
      </c>
      <c r="C350" s="291" t="s">
        <v>317</v>
      </c>
    </row>
    <row r="351" spans="1:3" ht="25.5">
      <c r="A351" s="291" t="s">
        <v>509</v>
      </c>
      <c r="B351" s="489" t="s">
        <v>1580</v>
      </c>
      <c r="C351" s="291" t="s">
        <v>228</v>
      </c>
    </row>
    <row r="352" spans="1:3">
      <c r="A352" s="291" t="s">
        <v>261</v>
      </c>
      <c r="B352" s="293" t="s">
        <v>1395</v>
      </c>
      <c r="C352" s="291" t="s">
        <v>206</v>
      </c>
    </row>
    <row r="353" spans="1:3" ht="25.5">
      <c r="A353" s="291" t="s">
        <v>413</v>
      </c>
      <c r="B353" s="489" t="s">
        <v>1322</v>
      </c>
      <c r="C353" s="291" t="s">
        <v>229</v>
      </c>
    </row>
    <row r="354" spans="1:3">
      <c r="A354" s="291" t="s">
        <v>828</v>
      </c>
      <c r="B354" s="489" t="s">
        <v>1323</v>
      </c>
      <c r="C354" s="291" t="s">
        <v>230</v>
      </c>
    </row>
    <row r="355" spans="1:3">
      <c r="A355" s="291" t="s">
        <v>829</v>
      </c>
      <c r="B355" s="489" t="s">
        <v>1581</v>
      </c>
      <c r="C355" s="291" t="s">
        <v>231</v>
      </c>
    </row>
    <row r="356" spans="1:3">
      <c r="A356" s="291" t="s">
        <v>830</v>
      </c>
      <c r="B356" s="489" t="s">
        <v>1582</v>
      </c>
      <c r="C356" s="291" t="s">
        <v>232</v>
      </c>
    </row>
    <row r="357" spans="1:3">
      <c r="A357" s="291" t="s">
        <v>844</v>
      </c>
      <c r="B357" s="489" t="s">
        <v>1324</v>
      </c>
      <c r="C357" s="291" t="s">
        <v>233</v>
      </c>
    </row>
    <row r="358" spans="1:3">
      <c r="A358" s="291" t="s">
        <v>845</v>
      </c>
      <c r="B358" s="489" t="s">
        <v>1325</v>
      </c>
      <c r="C358" s="291" t="s">
        <v>234</v>
      </c>
    </row>
    <row r="359" spans="1:3">
      <c r="A359" s="291" t="s">
        <v>274</v>
      </c>
      <c r="B359" s="489" t="s">
        <v>1583</v>
      </c>
      <c r="C359" s="291" t="s">
        <v>235</v>
      </c>
    </row>
    <row r="360" spans="1:3">
      <c r="A360" s="291" t="s">
        <v>347</v>
      </c>
      <c r="B360" s="489" t="s">
        <v>1584</v>
      </c>
      <c r="C360" s="291" t="s">
        <v>1419</v>
      </c>
    </row>
    <row r="361" spans="1:3">
      <c r="A361" s="291" t="s">
        <v>2220</v>
      </c>
      <c r="B361" s="489" t="s">
        <v>1326</v>
      </c>
      <c r="C361" s="291" t="s">
        <v>236</v>
      </c>
    </row>
    <row r="362" spans="1:3">
      <c r="A362" s="291" t="s">
        <v>1214</v>
      </c>
      <c r="B362" s="489" t="s">
        <v>1327</v>
      </c>
      <c r="C362" s="291" t="s">
        <v>237</v>
      </c>
    </row>
    <row r="363" spans="1:3" ht="25.5">
      <c r="A363" s="291" t="s">
        <v>2222</v>
      </c>
      <c r="B363" s="293" t="s">
        <v>2025</v>
      </c>
      <c r="C363" s="291" t="s">
        <v>2024</v>
      </c>
    </row>
    <row r="364" spans="1:3">
      <c r="A364" s="291" t="s">
        <v>2026</v>
      </c>
      <c r="B364" s="293" t="s">
        <v>2027</v>
      </c>
      <c r="C364" s="291" t="s">
        <v>2028</v>
      </c>
    </row>
    <row r="365" spans="1:3">
      <c r="A365" s="291" t="s">
        <v>2451</v>
      </c>
      <c r="B365" s="293" t="s">
        <v>2030</v>
      </c>
      <c r="C365" s="291" t="s">
        <v>2078</v>
      </c>
    </row>
    <row r="366" spans="1:3" ht="38.25">
      <c r="A366" s="291" t="s">
        <v>2031</v>
      </c>
      <c r="B366" s="291" t="s">
        <v>2032</v>
      </c>
      <c r="C366" s="291" t="s">
        <v>2033</v>
      </c>
    </row>
    <row r="367" spans="1:3">
      <c r="A367" s="291" t="s">
        <v>2452</v>
      </c>
      <c r="B367" s="293" t="s">
        <v>2034</v>
      </c>
      <c r="C367" s="291" t="s">
        <v>2079</v>
      </c>
    </row>
    <row r="368" spans="1:3" ht="25.5">
      <c r="A368" s="291" t="s">
        <v>2036</v>
      </c>
      <c r="B368" s="293" t="s">
        <v>2035</v>
      </c>
      <c r="C368" s="291" t="s">
        <v>2037</v>
      </c>
    </row>
    <row r="369" spans="1:4">
      <c r="A369" s="291" t="s">
        <v>2453</v>
      </c>
      <c r="B369" s="293" t="s">
        <v>2038</v>
      </c>
      <c r="C369" s="291" t="s">
        <v>2080</v>
      </c>
    </row>
    <row r="370" spans="1:4">
      <c r="A370" s="291" t="s">
        <v>2042</v>
      </c>
      <c r="B370" s="293" t="s">
        <v>2039</v>
      </c>
      <c r="C370" s="291" t="s">
        <v>2040</v>
      </c>
    </row>
    <row r="371" spans="1:4">
      <c r="A371" s="291" t="s">
        <v>2043</v>
      </c>
      <c r="B371" s="293" t="s">
        <v>2343</v>
      </c>
      <c r="C371" s="291" t="s">
        <v>2041</v>
      </c>
    </row>
    <row r="372" spans="1:4">
      <c r="A372" s="291" t="s">
        <v>846</v>
      </c>
      <c r="B372" s="489" t="s">
        <v>1328</v>
      </c>
      <c r="C372" s="291" t="s">
        <v>768</v>
      </c>
    </row>
    <row r="373" spans="1:4">
      <c r="A373" s="291" t="s">
        <v>847</v>
      </c>
      <c r="B373" s="489" t="s">
        <v>1329</v>
      </c>
      <c r="C373" s="291" t="s">
        <v>769</v>
      </c>
    </row>
    <row r="374" spans="1:4" ht="25.5">
      <c r="A374" s="291" t="s">
        <v>2963</v>
      </c>
      <c r="B374" s="293" t="s">
        <v>2964</v>
      </c>
      <c r="C374" s="291" t="s">
        <v>2965</v>
      </c>
    </row>
    <row r="375" spans="1:4" ht="25.5">
      <c r="A375" s="291" t="s">
        <v>918</v>
      </c>
      <c r="B375" s="489" t="s">
        <v>1330</v>
      </c>
      <c r="C375" s="291" t="s">
        <v>942</v>
      </c>
    </row>
    <row r="376" spans="1:4">
      <c r="A376" s="291" t="s">
        <v>919</v>
      </c>
      <c r="B376" s="489" t="s">
        <v>1331</v>
      </c>
      <c r="C376" s="291" t="s">
        <v>943</v>
      </c>
    </row>
    <row r="377" spans="1:4" ht="25.5">
      <c r="A377" s="291" t="s">
        <v>920</v>
      </c>
      <c r="B377" s="489" t="s">
        <v>1332</v>
      </c>
      <c r="C377" s="291" t="s">
        <v>6485</v>
      </c>
    </row>
    <row r="378" spans="1:4" ht="25.5">
      <c r="A378" s="291" t="s">
        <v>921</v>
      </c>
      <c r="B378" s="293" t="s">
        <v>2237</v>
      </c>
      <c r="C378" s="291" t="s">
        <v>1277</v>
      </c>
      <c r="D378" s="518"/>
    </row>
    <row r="379" spans="1:4">
      <c r="A379" s="291" t="s">
        <v>922</v>
      </c>
      <c r="B379" s="489" t="s">
        <v>1344</v>
      </c>
      <c r="C379" s="291" t="s">
        <v>944</v>
      </c>
      <c r="D379" s="518"/>
    </row>
    <row r="380" spans="1:4">
      <c r="A380" s="291" t="s">
        <v>923</v>
      </c>
      <c r="B380" s="489" t="s">
        <v>1333</v>
      </c>
      <c r="C380" s="291" t="s">
        <v>945</v>
      </c>
      <c r="D380" s="518"/>
    </row>
    <row r="381" spans="1:4">
      <c r="A381" s="291" t="s">
        <v>761</v>
      </c>
      <c r="B381" s="489" t="s">
        <v>1334</v>
      </c>
      <c r="C381" s="291" t="s">
        <v>946</v>
      </c>
      <c r="D381" s="518"/>
    </row>
    <row r="382" spans="1:4">
      <c r="A382" s="291" t="s">
        <v>1190</v>
      </c>
      <c r="B382" s="489" t="s">
        <v>1344</v>
      </c>
      <c r="C382" s="291" t="s">
        <v>944</v>
      </c>
      <c r="D382" s="518"/>
    </row>
    <row r="383" spans="1:4">
      <c r="A383" s="291" t="s">
        <v>1107</v>
      </c>
      <c r="B383" s="489" t="s">
        <v>1333</v>
      </c>
      <c r="C383" s="291" t="s">
        <v>945</v>
      </c>
      <c r="D383" s="518"/>
    </row>
    <row r="384" spans="1:4">
      <c r="A384" s="291" t="s">
        <v>924</v>
      </c>
      <c r="B384" s="489" t="s">
        <v>1335</v>
      </c>
      <c r="C384" s="291" t="s">
        <v>947</v>
      </c>
      <c r="D384" s="518"/>
    </row>
    <row r="385" spans="1:4">
      <c r="A385" s="291" t="s">
        <v>925</v>
      </c>
      <c r="B385" s="489" t="s">
        <v>1340</v>
      </c>
      <c r="C385" s="291" t="s">
        <v>948</v>
      </c>
      <c r="D385" s="518"/>
    </row>
    <row r="386" spans="1:4" ht="25.5">
      <c r="A386" s="291" t="s">
        <v>6803</v>
      </c>
      <c r="B386" s="517" t="s">
        <v>6453</v>
      </c>
      <c r="C386" s="291" t="s">
        <v>5783</v>
      </c>
      <c r="D386" s="518"/>
    </row>
    <row r="387" spans="1:4">
      <c r="A387" s="291" t="s">
        <v>926</v>
      </c>
      <c r="B387" s="489" t="s">
        <v>1336</v>
      </c>
      <c r="C387" s="291" t="s">
        <v>949</v>
      </c>
      <c r="D387" s="518"/>
    </row>
    <row r="388" spans="1:4">
      <c r="A388" s="291" t="s">
        <v>927</v>
      </c>
      <c r="B388" s="489" t="s">
        <v>1337</v>
      </c>
      <c r="C388" s="291" t="s">
        <v>6212</v>
      </c>
      <c r="D388" s="518"/>
    </row>
    <row r="389" spans="1:4" ht="25.5">
      <c r="A389" s="291" t="s">
        <v>928</v>
      </c>
      <c r="B389" s="293" t="s">
        <v>2257</v>
      </c>
      <c r="C389" s="291" t="s">
        <v>950</v>
      </c>
      <c r="D389" s="518"/>
    </row>
    <row r="390" spans="1:4">
      <c r="A390" s="291" t="s">
        <v>929</v>
      </c>
      <c r="B390" s="517" t="s">
        <v>6454</v>
      </c>
      <c r="C390" s="291" t="s">
        <v>951</v>
      </c>
      <c r="D390" s="518"/>
    </row>
    <row r="391" spans="1:4">
      <c r="A391" s="291" t="s">
        <v>931</v>
      </c>
      <c r="B391" s="489" t="s">
        <v>1341</v>
      </c>
      <c r="C391" s="291" t="s">
        <v>954</v>
      </c>
      <c r="D391" s="518"/>
    </row>
    <row r="392" spans="1:4">
      <c r="A392" s="291" t="s">
        <v>271</v>
      </c>
      <c r="B392" s="489" t="s">
        <v>1407</v>
      </c>
      <c r="C392" s="291" t="s">
        <v>221</v>
      </c>
      <c r="D392" s="518"/>
    </row>
    <row r="393" spans="1:4">
      <c r="A393" s="291" t="s">
        <v>762</v>
      </c>
      <c r="B393" s="489" t="s">
        <v>1339</v>
      </c>
      <c r="C393" s="291" t="s">
        <v>952</v>
      </c>
      <c r="D393" s="518"/>
    </row>
    <row r="394" spans="1:4" ht="25.5">
      <c r="A394" s="291" t="s">
        <v>5938</v>
      </c>
      <c r="B394" s="293" t="s">
        <v>2223</v>
      </c>
      <c r="C394" s="291" t="s">
        <v>2224</v>
      </c>
      <c r="D394" s="518"/>
    </row>
    <row r="395" spans="1:4" ht="38.25">
      <c r="A395" s="291" t="s">
        <v>2044</v>
      </c>
      <c r="B395" s="517" t="s">
        <v>6455</v>
      </c>
      <c r="C395" s="291" t="s">
        <v>5784</v>
      </c>
      <c r="D395" s="518"/>
    </row>
    <row r="396" spans="1:4" ht="25.5">
      <c r="A396" s="291" t="s">
        <v>930</v>
      </c>
      <c r="B396" s="489" t="s">
        <v>150</v>
      </c>
      <c r="C396" s="291" t="s">
        <v>1085</v>
      </c>
      <c r="D396" s="518"/>
    </row>
    <row r="397" spans="1:4">
      <c r="A397" s="291" t="s">
        <v>269</v>
      </c>
      <c r="B397" s="489" t="s">
        <v>151</v>
      </c>
      <c r="C397" s="291" t="s">
        <v>219</v>
      </c>
      <c r="D397" s="518"/>
    </row>
    <row r="398" spans="1:4">
      <c r="A398" s="291" t="s">
        <v>270</v>
      </c>
      <c r="B398" s="489" t="s">
        <v>1406</v>
      </c>
      <c r="C398" s="291" t="s">
        <v>220</v>
      </c>
      <c r="D398" s="518"/>
    </row>
    <row r="399" spans="1:4">
      <c r="A399" s="291" t="s">
        <v>271</v>
      </c>
      <c r="B399" s="489" t="s">
        <v>1407</v>
      </c>
      <c r="C399" s="291" t="s">
        <v>953</v>
      </c>
      <c r="D399" s="518"/>
    </row>
    <row r="400" spans="1:4" ht="25.5">
      <c r="A400" s="291" t="s">
        <v>2225</v>
      </c>
      <c r="B400" s="293" t="s">
        <v>2226</v>
      </c>
      <c r="C400" s="291" t="s">
        <v>2227</v>
      </c>
      <c r="D400" s="518"/>
    </row>
    <row r="401" spans="1:4" ht="25.5">
      <c r="A401" s="291" t="s">
        <v>2204</v>
      </c>
      <c r="B401" s="293" t="s">
        <v>2205</v>
      </c>
      <c r="C401" s="291" t="s">
        <v>2206</v>
      </c>
      <c r="D401" s="518"/>
    </row>
    <row r="402" spans="1:4">
      <c r="A402" s="291" t="s">
        <v>931</v>
      </c>
      <c r="B402" s="489" t="s">
        <v>1341</v>
      </c>
      <c r="C402" s="291" t="s">
        <v>954</v>
      </c>
      <c r="D402" s="518"/>
    </row>
    <row r="403" spans="1:4" ht="38.25">
      <c r="A403" s="291" t="s">
        <v>2081</v>
      </c>
      <c r="B403" s="293" t="s">
        <v>2082</v>
      </c>
      <c r="C403" s="291" t="s">
        <v>2083</v>
      </c>
      <c r="D403" s="518"/>
    </row>
    <row r="404" spans="1:4">
      <c r="A404" s="291" t="s">
        <v>933</v>
      </c>
      <c r="B404" s="489" t="s">
        <v>1342</v>
      </c>
      <c r="C404" s="291" t="s">
        <v>1244</v>
      </c>
      <c r="D404" s="518"/>
    </row>
    <row r="405" spans="1:4">
      <c r="A405" s="291" t="s">
        <v>765</v>
      </c>
      <c r="B405" s="489" t="s">
        <v>1343</v>
      </c>
      <c r="C405" s="291" t="s">
        <v>766</v>
      </c>
      <c r="D405" s="518"/>
    </row>
    <row r="406" spans="1:4" ht="38.25">
      <c r="A406" s="291" t="s">
        <v>934</v>
      </c>
      <c r="B406" s="489" t="s">
        <v>438</v>
      </c>
      <c r="C406" s="291" t="s">
        <v>1245</v>
      </c>
      <c r="D406" s="518" t="s">
        <v>2010</v>
      </c>
    </row>
    <row r="407" spans="1:4">
      <c r="A407" s="291" t="s">
        <v>935</v>
      </c>
      <c r="B407" s="293" t="s">
        <v>2344</v>
      </c>
      <c r="C407" s="291" t="s">
        <v>1246</v>
      </c>
      <c r="D407" s="518"/>
    </row>
    <row r="408" spans="1:4">
      <c r="A408" s="291" t="s">
        <v>598</v>
      </c>
      <c r="B408" s="489" t="s">
        <v>1398</v>
      </c>
      <c r="C408" s="291" t="s">
        <v>1247</v>
      </c>
      <c r="D408" s="518"/>
    </row>
    <row r="409" spans="1:4">
      <c r="A409" s="291" t="s">
        <v>1190</v>
      </c>
      <c r="B409" s="489" t="s">
        <v>1344</v>
      </c>
      <c r="C409" s="291" t="s">
        <v>944</v>
      </c>
      <c r="D409" s="518"/>
    </row>
    <row r="410" spans="1:4">
      <c r="A410" s="291" t="s">
        <v>1107</v>
      </c>
      <c r="B410" s="489" t="s">
        <v>1333</v>
      </c>
      <c r="C410" s="291" t="s">
        <v>945</v>
      </c>
      <c r="D410" s="518"/>
    </row>
    <row r="411" spans="1:4">
      <c r="A411" s="291" t="s">
        <v>932</v>
      </c>
      <c r="B411" s="489" t="s">
        <v>1586</v>
      </c>
      <c r="C411" s="291" t="s">
        <v>1248</v>
      </c>
      <c r="D411" s="518"/>
    </row>
    <row r="412" spans="1:4">
      <c r="A412" s="291" t="s">
        <v>798</v>
      </c>
      <c r="B412" s="489" t="s">
        <v>1345</v>
      </c>
      <c r="C412" s="291" t="s">
        <v>1420</v>
      </c>
      <c r="D412" s="518"/>
    </row>
    <row r="413" spans="1:4">
      <c r="A413" s="291" t="s">
        <v>799</v>
      </c>
      <c r="B413" s="489" t="s">
        <v>1346</v>
      </c>
      <c r="C413" s="291" t="s">
        <v>1421</v>
      </c>
      <c r="D413" s="518"/>
    </row>
    <row r="414" spans="1:4">
      <c r="A414" s="291" t="s">
        <v>799</v>
      </c>
      <c r="B414" s="293" t="s">
        <v>6362</v>
      </c>
      <c r="C414" s="291" t="s">
        <v>1421</v>
      </c>
      <c r="D414" s="518"/>
    </row>
    <row r="415" spans="1:4" ht="26.25" thickBot="1">
      <c r="A415" s="697" t="s">
        <v>6727</v>
      </c>
      <c r="B415" s="697" t="s">
        <v>6869</v>
      </c>
      <c r="C415" s="697" t="s">
        <v>6870</v>
      </c>
      <c r="D415" s="518"/>
    </row>
    <row r="416" spans="1:4" ht="13.5" thickBot="1">
      <c r="A416" s="638" t="s">
        <v>356</v>
      </c>
      <c r="B416" s="638" t="s">
        <v>356</v>
      </c>
      <c r="C416" s="639"/>
      <c r="D416" s="518"/>
    </row>
    <row r="417" spans="1:4">
      <c r="A417" s="291" t="s">
        <v>936</v>
      </c>
      <c r="B417" s="489" t="s">
        <v>381</v>
      </c>
      <c r="C417" s="291" t="s">
        <v>42</v>
      </c>
      <c r="D417" s="518"/>
    </row>
    <row r="418" spans="1:4" ht="25.5">
      <c r="A418" s="291" t="str">
        <f>"za rok obrotowy od " &amp;dzbo &amp;" do " &amp;dzb</f>
        <v>za rok obrotowy od 19.10.2023 do 31.12.2024</v>
      </c>
      <c r="B418" s="489" t="str">
        <f>"für das Geschäftsjahr vom " &amp;dzbo &amp;" bis zum " &amp;dzb</f>
        <v>für das Geschäftsjahr vom 19.10.2023 bis zum 31.12.2024</v>
      </c>
      <c r="C418" s="291" t="str">
        <f>"for the financial year from " &amp;dzbo &amp;" to " &amp;dzb</f>
        <v>for the financial year from 19.10.2023 to 31.12.2024</v>
      </c>
      <c r="D418" s="518"/>
    </row>
    <row r="419" spans="1:4">
      <c r="A419" s="291" t="s">
        <v>420</v>
      </c>
      <c r="B419" s="489" t="s">
        <v>1347</v>
      </c>
      <c r="C419" s="291" t="s">
        <v>43</v>
      </c>
      <c r="D419" s="518"/>
    </row>
    <row r="420" spans="1:4" ht="25.5">
      <c r="A420" s="291" t="s">
        <v>2194</v>
      </c>
      <c r="B420" s="293" t="s">
        <v>2195</v>
      </c>
      <c r="C420" s="291" t="s">
        <v>2196</v>
      </c>
      <c r="D420" s="518"/>
    </row>
    <row r="421" spans="1:4">
      <c r="A421" s="291" t="s">
        <v>939</v>
      </c>
      <c r="B421" s="489" t="s">
        <v>1348</v>
      </c>
      <c r="C421" s="291" t="s">
        <v>44</v>
      </c>
    </row>
    <row r="422" spans="1:4">
      <c r="A422" s="291" t="s">
        <v>6880</v>
      </c>
      <c r="B422" s="293" t="s">
        <v>6881</v>
      </c>
      <c r="C422" s="291" t="s">
        <v>6882</v>
      </c>
      <c r="D422" s="519"/>
    </row>
    <row r="423" spans="1:4" ht="25.5">
      <c r="A423" s="291" t="s">
        <v>400</v>
      </c>
      <c r="B423" s="293" t="s">
        <v>2238</v>
      </c>
      <c r="C423" s="291" t="s">
        <v>45</v>
      </c>
      <c r="D423" s="518"/>
    </row>
    <row r="424" spans="1:4" ht="25.5">
      <c r="A424" s="291" t="s">
        <v>603</v>
      </c>
      <c r="B424" s="489" t="s">
        <v>1349</v>
      </c>
      <c r="C424" s="291" t="s">
        <v>1278</v>
      </c>
      <c r="D424" s="518"/>
    </row>
    <row r="425" spans="1:4">
      <c r="A425" s="529" t="s">
        <v>6883</v>
      </c>
      <c r="B425" s="650" t="s">
        <v>6891</v>
      </c>
      <c r="C425" s="291" t="s">
        <v>6884</v>
      </c>
      <c r="D425" s="520"/>
    </row>
    <row r="426" spans="1:4">
      <c r="A426" s="291" t="s">
        <v>275</v>
      </c>
      <c r="B426" s="489" t="s">
        <v>1350</v>
      </c>
      <c r="C426" s="291" t="s">
        <v>46</v>
      </c>
      <c r="D426" s="518"/>
    </row>
    <row r="427" spans="1:4">
      <c r="A427" s="291" t="s">
        <v>417</v>
      </c>
      <c r="B427" s="489" t="s">
        <v>1351</v>
      </c>
      <c r="C427" s="291" t="s">
        <v>47</v>
      </c>
      <c r="D427" s="518"/>
    </row>
    <row r="428" spans="1:4" ht="25.5">
      <c r="A428" s="291" t="s">
        <v>276</v>
      </c>
      <c r="B428" s="489" t="s">
        <v>439</v>
      </c>
      <c r="C428" s="291" t="s">
        <v>48</v>
      </c>
      <c r="D428" s="518"/>
    </row>
    <row r="429" spans="1:4">
      <c r="A429" s="291" t="s">
        <v>415</v>
      </c>
      <c r="B429" s="489" t="s">
        <v>1352</v>
      </c>
      <c r="C429" s="291" t="s">
        <v>49</v>
      </c>
      <c r="D429" s="518"/>
    </row>
    <row r="430" spans="1:4">
      <c r="A430" s="291" t="s">
        <v>2191</v>
      </c>
      <c r="B430" s="293" t="s">
        <v>2192</v>
      </c>
      <c r="C430" s="291" t="s">
        <v>2193</v>
      </c>
      <c r="D430" s="518"/>
    </row>
    <row r="431" spans="1:4">
      <c r="A431" s="291" t="s">
        <v>99</v>
      </c>
      <c r="B431" s="293" t="s">
        <v>2047</v>
      </c>
      <c r="C431" s="291" t="s">
        <v>5789</v>
      </c>
      <c r="D431" s="518"/>
    </row>
    <row r="432" spans="1:4">
      <c r="A432" s="291" t="s">
        <v>416</v>
      </c>
      <c r="B432" s="293" t="s">
        <v>1353</v>
      </c>
      <c r="C432" s="291" t="s">
        <v>50</v>
      </c>
      <c r="D432" s="518"/>
    </row>
    <row r="433" spans="1:5" ht="25.5">
      <c r="A433" s="291" t="s">
        <v>6117</v>
      </c>
      <c r="B433" s="293" t="s">
        <v>2046</v>
      </c>
      <c r="C433" s="291" t="s">
        <v>2045</v>
      </c>
      <c r="D433" s="518"/>
    </row>
    <row r="434" spans="1:5">
      <c r="A434" s="291" t="s">
        <v>2049</v>
      </c>
      <c r="B434" s="293" t="s">
        <v>2239</v>
      </c>
      <c r="C434" s="291" t="s">
        <v>2048</v>
      </c>
      <c r="D434" s="518"/>
    </row>
    <row r="435" spans="1:5" ht="25.5">
      <c r="A435" s="291" t="s">
        <v>1438</v>
      </c>
      <c r="B435" s="489" t="s">
        <v>1354</v>
      </c>
      <c r="C435" s="291" t="s">
        <v>51</v>
      </c>
      <c r="D435" s="518"/>
    </row>
    <row r="436" spans="1:5">
      <c r="A436" s="529" t="s">
        <v>6885</v>
      </c>
      <c r="B436" s="293" t="s">
        <v>6886</v>
      </c>
      <c r="C436" s="291" t="s">
        <v>6887</v>
      </c>
      <c r="D436" s="518"/>
    </row>
    <row r="437" spans="1:5">
      <c r="A437" s="291" t="s">
        <v>1252</v>
      </c>
      <c r="B437" s="489" t="s">
        <v>1355</v>
      </c>
      <c r="C437" s="291" t="s">
        <v>1902</v>
      </c>
      <c r="D437" s="518"/>
      <c r="E437" s="95"/>
    </row>
    <row r="438" spans="1:5">
      <c r="A438" s="291" t="s">
        <v>414</v>
      </c>
      <c r="B438" s="489" t="s">
        <v>1356</v>
      </c>
      <c r="C438" s="291" t="s">
        <v>52</v>
      </c>
      <c r="D438" s="518"/>
    </row>
    <row r="439" spans="1:5" ht="25.5">
      <c r="A439" s="291" t="s">
        <v>2072</v>
      </c>
      <c r="B439" s="293" t="s">
        <v>2074</v>
      </c>
      <c r="C439" s="291" t="s">
        <v>2073</v>
      </c>
      <c r="D439" s="518"/>
    </row>
    <row r="440" spans="1:5">
      <c r="A440" s="291" t="s">
        <v>1121</v>
      </c>
      <c r="B440" s="489" t="s">
        <v>1357</v>
      </c>
      <c r="C440" s="291" t="s">
        <v>5794</v>
      </c>
      <c r="D440" s="518"/>
    </row>
    <row r="441" spans="1:5" ht="25.5">
      <c r="A441" s="291" t="s">
        <v>521</v>
      </c>
      <c r="B441" s="293" t="s">
        <v>2075</v>
      </c>
      <c r="C441" s="291" t="s">
        <v>1179</v>
      </c>
      <c r="D441" s="518"/>
    </row>
    <row r="442" spans="1:5">
      <c r="A442" s="291" t="s">
        <v>1253</v>
      </c>
      <c r="B442" s="293" t="s">
        <v>1613</v>
      </c>
      <c r="C442" s="291" t="s">
        <v>52</v>
      </c>
      <c r="D442" s="518"/>
    </row>
    <row r="443" spans="1:5">
      <c r="A443" s="291" t="s">
        <v>504</v>
      </c>
      <c r="B443" s="489" t="s">
        <v>1358</v>
      </c>
      <c r="C443" s="291" t="s">
        <v>53</v>
      </c>
      <c r="D443" s="518"/>
    </row>
    <row r="444" spans="1:5" ht="25.5">
      <c r="A444" s="291" t="s">
        <v>2084</v>
      </c>
      <c r="B444" s="293" t="s">
        <v>2085</v>
      </c>
      <c r="C444" s="291" t="s">
        <v>1903</v>
      </c>
      <c r="D444" s="518"/>
    </row>
    <row r="445" spans="1:5" ht="25.5">
      <c r="A445" s="291" t="s">
        <v>521</v>
      </c>
      <c r="B445" s="489" t="s">
        <v>440</v>
      </c>
      <c r="C445" s="291" t="s">
        <v>1179</v>
      </c>
      <c r="D445" s="518"/>
    </row>
    <row r="446" spans="1:5">
      <c r="A446" s="291" t="s">
        <v>1255</v>
      </c>
      <c r="B446" s="293" t="s">
        <v>1614</v>
      </c>
      <c r="C446" s="291" t="s">
        <v>53</v>
      </c>
      <c r="D446" s="518"/>
    </row>
    <row r="447" spans="1:5">
      <c r="A447" s="291" t="s">
        <v>1439</v>
      </c>
      <c r="B447" s="489" t="s">
        <v>1359</v>
      </c>
      <c r="C447" s="291" t="s">
        <v>1904</v>
      </c>
      <c r="D447" s="518"/>
    </row>
    <row r="448" spans="1:5">
      <c r="A448" s="291" t="s">
        <v>957</v>
      </c>
      <c r="B448" s="489" t="s">
        <v>1360</v>
      </c>
      <c r="C448" s="291" t="s">
        <v>1422</v>
      </c>
      <c r="D448" s="518"/>
    </row>
    <row r="449" spans="1:4" ht="25.5">
      <c r="A449" s="291" t="s">
        <v>2050</v>
      </c>
      <c r="B449" s="293" t="s">
        <v>2051</v>
      </c>
      <c r="C449" s="291" t="s">
        <v>2052</v>
      </c>
      <c r="D449" s="518"/>
    </row>
    <row r="450" spans="1:4">
      <c r="A450" s="291" t="s">
        <v>2056</v>
      </c>
      <c r="B450" s="293" t="s">
        <v>2057</v>
      </c>
      <c r="C450" s="291" t="s">
        <v>2058</v>
      </c>
      <c r="D450" s="518"/>
    </row>
    <row r="451" spans="1:4" ht="25.5">
      <c r="A451" s="291" t="s">
        <v>2059</v>
      </c>
      <c r="B451" s="517" t="s">
        <v>6456</v>
      </c>
      <c r="C451" s="291" t="s">
        <v>5788</v>
      </c>
      <c r="D451" s="518"/>
    </row>
    <row r="452" spans="1:4">
      <c r="A452" s="291" t="s">
        <v>2060</v>
      </c>
      <c r="B452" s="293" t="s">
        <v>2062</v>
      </c>
      <c r="C452" s="291" t="s">
        <v>2061</v>
      </c>
      <c r="D452" s="518"/>
    </row>
    <row r="453" spans="1:4">
      <c r="A453" s="291" t="s">
        <v>2053</v>
      </c>
      <c r="B453" s="293" t="s">
        <v>2054</v>
      </c>
      <c r="C453" s="291" t="s">
        <v>2055</v>
      </c>
      <c r="D453" s="518"/>
    </row>
    <row r="454" spans="1:4" ht="25.5">
      <c r="A454" s="291" t="s">
        <v>2063</v>
      </c>
      <c r="B454" s="293" t="s">
        <v>2065</v>
      </c>
      <c r="C454" s="291" t="s">
        <v>2064</v>
      </c>
      <c r="D454" s="518"/>
    </row>
    <row r="455" spans="1:4">
      <c r="A455" s="291" t="s">
        <v>534</v>
      </c>
      <c r="B455" s="293" t="s">
        <v>1578</v>
      </c>
      <c r="C455" s="291" t="s">
        <v>314</v>
      </c>
      <c r="D455" s="518"/>
    </row>
    <row r="456" spans="1:4">
      <c r="A456" s="291" t="s">
        <v>2066</v>
      </c>
      <c r="B456" s="293" t="s">
        <v>2068</v>
      </c>
      <c r="C456" s="291" t="s">
        <v>2067</v>
      </c>
      <c r="D456" s="518"/>
    </row>
    <row r="457" spans="1:4">
      <c r="A457" s="291" t="s">
        <v>599</v>
      </c>
      <c r="B457" s="489" t="s">
        <v>1338</v>
      </c>
      <c r="C457" s="291" t="s">
        <v>54</v>
      </c>
      <c r="D457" s="518"/>
    </row>
    <row r="458" spans="1:4">
      <c r="A458" s="291" t="s">
        <v>1134</v>
      </c>
      <c r="B458" s="489" t="s">
        <v>375</v>
      </c>
      <c r="C458" s="291" t="s">
        <v>1423</v>
      </c>
      <c r="D458" s="518"/>
    </row>
    <row r="459" spans="1:4">
      <c r="A459" s="291" t="s">
        <v>2053</v>
      </c>
      <c r="B459" s="293" t="s">
        <v>2054</v>
      </c>
      <c r="C459" s="291" t="s">
        <v>2055</v>
      </c>
      <c r="D459" s="518"/>
    </row>
    <row r="460" spans="1:4">
      <c r="A460" s="291" t="s">
        <v>600</v>
      </c>
      <c r="B460" s="489" t="s">
        <v>1587</v>
      </c>
      <c r="C460" s="291" t="s">
        <v>1279</v>
      </c>
      <c r="D460" s="518"/>
    </row>
    <row r="461" spans="1:4" ht="25.5">
      <c r="A461" s="291" t="s">
        <v>2069</v>
      </c>
      <c r="B461" s="293" t="s">
        <v>2071</v>
      </c>
      <c r="C461" s="291" t="s">
        <v>2070</v>
      </c>
      <c r="D461" s="518"/>
    </row>
    <row r="462" spans="1:4">
      <c r="A462" s="291" t="s">
        <v>2066</v>
      </c>
      <c r="B462" s="293" t="s">
        <v>2068</v>
      </c>
      <c r="C462" s="291" t="s">
        <v>2067</v>
      </c>
      <c r="D462" s="518"/>
    </row>
    <row r="463" spans="1:4">
      <c r="A463" s="291" t="s">
        <v>599</v>
      </c>
      <c r="B463" s="489" t="s">
        <v>1338</v>
      </c>
      <c r="C463" s="291" t="s">
        <v>760</v>
      </c>
      <c r="D463" s="518"/>
    </row>
    <row r="464" spans="1:4">
      <c r="A464" s="291" t="s">
        <v>1203</v>
      </c>
      <c r="B464" s="293" t="s">
        <v>379</v>
      </c>
      <c r="C464" s="291" t="s">
        <v>1912</v>
      </c>
      <c r="D464" s="518"/>
    </row>
    <row r="465" spans="1:4">
      <c r="A465" s="291" t="s">
        <v>602</v>
      </c>
      <c r="B465" s="489" t="s">
        <v>376</v>
      </c>
      <c r="C465" s="291" t="s">
        <v>55</v>
      </c>
      <c r="D465" s="518"/>
    </row>
    <row r="466" spans="1:4">
      <c r="A466" s="291" t="s">
        <v>1135</v>
      </c>
      <c r="B466" s="489" t="s">
        <v>377</v>
      </c>
      <c r="C466" s="291" t="s">
        <v>56</v>
      </c>
      <c r="D466" s="518"/>
    </row>
    <row r="467" spans="1:4">
      <c r="A467" s="291" t="s">
        <v>1136</v>
      </c>
      <c r="B467" s="489" t="s">
        <v>378</v>
      </c>
      <c r="C467" s="291" t="s">
        <v>1137</v>
      </c>
      <c r="D467" s="518"/>
    </row>
    <row r="468" spans="1:4">
      <c r="A468" s="291" t="s">
        <v>1203</v>
      </c>
      <c r="B468" s="489" t="s">
        <v>379</v>
      </c>
      <c r="C468" s="291" t="s">
        <v>57</v>
      </c>
      <c r="D468" s="518"/>
    </row>
    <row r="469" spans="1:4">
      <c r="A469" s="291" t="s">
        <v>401</v>
      </c>
      <c r="B469" s="293" t="s">
        <v>380</v>
      </c>
      <c r="C469" s="291" t="s">
        <v>58</v>
      </c>
      <c r="D469" s="518"/>
    </row>
    <row r="470" spans="1:4" ht="25.5">
      <c r="A470" s="291" t="s">
        <v>522</v>
      </c>
      <c r="B470" s="293" t="s">
        <v>2240</v>
      </c>
      <c r="C470" s="291" t="s">
        <v>59</v>
      </c>
      <c r="D470" s="518"/>
    </row>
    <row r="471" spans="1:4">
      <c r="A471" s="291" t="s">
        <v>847</v>
      </c>
      <c r="B471" s="489" t="s">
        <v>1329</v>
      </c>
      <c r="C471" s="291" t="s">
        <v>769</v>
      </c>
      <c r="D471" s="518"/>
    </row>
    <row r="472" spans="1:4" ht="13.5" thickBot="1">
      <c r="A472" s="638" t="s">
        <v>355</v>
      </c>
      <c r="B472" s="640"/>
      <c r="C472" s="639"/>
      <c r="D472" s="518"/>
    </row>
    <row r="473" spans="1:4">
      <c r="A473" s="291" t="s">
        <v>936</v>
      </c>
      <c r="B473" s="489" t="s">
        <v>381</v>
      </c>
      <c r="C473" s="291" t="s">
        <v>42</v>
      </c>
      <c r="D473" s="518"/>
    </row>
    <row r="474" spans="1:4" ht="25.5">
      <c r="A474" s="291" t="str">
        <f>"za rok obrotowy od " &amp;dzbo &amp;" do " &amp;dzb</f>
        <v>za rok obrotowy od 19.10.2023 do 31.12.2024</v>
      </c>
      <c r="B474" s="489" t="str">
        <f>"für das Geschäftsjahr vom " &amp;dzbo &amp;" bis zum " &amp;dzb</f>
        <v>für das Geschäftsjahr vom 19.10.2023 bis zum 31.12.2024</v>
      </c>
      <c r="C474" s="291" t="str">
        <f>"for the financial year from " &amp;dzbo &amp;" to " &amp;dzb</f>
        <v>for the financial year from 19.10.2023 to 31.12.2024</v>
      </c>
      <c r="D474" s="518"/>
    </row>
    <row r="475" spans="1:4">
      <c r="A475" s="291" t="s">
        <v>938</v>
      </c>
      <c r="B475" s="489" t="s">
        <v>382</v>
      </c>
      <c r="C475" s="291" t="s">
        <v>60</v>
      </c>
      <c r="D475" s="518"/>
    </row>
    <row r="476" spans="1:4">
      <c r="A476" s="291" t="s">
        <v>348</v>
      </c>
      <c r="B476" s="489" t="s">
        <v>551</v>
      </c>
      <c r="C476" s="291" t="s">
        <v>1258</v>
      </c>
      <c r="D476" s="518"/>
    </row>
    <row r="477" spans="1:4" ht="25.5">
      <c r="A477" s="529" t="s">
        <v>6888</v>
      </c>
      <c r="B477" s="293" t="s">
        <v>2197</v>
      </c>
      <c r="C477" s="291" t="s">
        <v>6889</v>
      </c>
      <c r="D477" s="518"/>
    </row>
    <row r="478" spans="1:4">
      <c r="A478" s="291" t="s">
        <v>939</v>
      </c>
      <c r="B478" s="489" t="s">
        <v>1348</v>
      </c>
      <c r="C478" s="291" t="s">
        <v>1280</v>
      </c>
      <c r="D478" s="518"/>
    </row>
    <row r="479" spans="1:4">
      <c r="A479" s="529" t="s">
        <v>6880</v>
      </c>
      <c r="B479" s="293" t="s">
        <v>6881</v>
      </c>
      <c r="C479" s="291" t="s">
        <v>6890</v>
      </c>
      <c r="D479" s="518"/>
    </row>
    <row r="480" spans="1:4">
      <c r="A480" s="529" t="s">
        <v>6883</v>
      </c>
      <c r="B480" s="293" t="s">
        <v>6891</v>
      </c>
      <c r="C480" s="291" t="s">
        <v>6892</v>
      </c>
      <c r="D480" s="518"/>
    </row>
    <row r="481" spans="1:4" ht="25.5">
      <c r="A481" s="529" t="s">
        <v>6893</v>
      </c>
      <c r="B481" s="293" t="s">
        <v>6894</v>
      </c>
      <c r="C481" s="291" t="s">
        <v>6895</v>
      </c>
      <c r="D481" s="518"/>
    </row>
    <row r="482" spans="1:4">
      <c r="A482" s="291" t="s">
        <v>940</v>
      </c>
      <c r="B482" s="489" t="s">
        <v>1587</v>
      </c>
      <c r="C482" s="291" t="s">
        <v>61</v>
      </c>
      <c r="D482" s="518"/>
    </row>
    <row r="483" spans="1:4" ht="25.5">
      <c r="A483" s="291" t="s">
        <v>941</v>
      </c>
      <c r="B483" s="489" t="s">
        <v>383</v>
      </c>
      <c r="C483" s="291" t="s">
        <v>62</v>
      </c>
      <c r="D483" s="518"/>
    </row>
    <row r="484" spans="1:4">
      <c r="A484" s="529" t="s">
        <v>6885</v>
      </c>
      <c r="B484" s="293" t="s">
        <v>6886</v>
      </c>
      <c r="C484" s="291" t="s">
        <v>6887</v>
      </c>
      <c r="D484" s="518"/>
    </row>
    <row r="485" spans="1:4">
      <c r="A485" s="291" t="s">
        <v>1250</v>
      </c>
      <c r="B485" s="489" t="s">
        <v>384</v>
      </c>
      <c r="C485" s="291" t="s">
        <v>1913</v>
      </c>
      <c r="D485" s="518"/>
    </row>
    <row r="486" spans="1:4">
      <c r="A486" s="291" t="s">
        <v>1251</v>
      </c>
      <c r="B486" s="489" t="s">
        <v>385</v>
      </c>
      <c r="C486" s="291" t="s">
        <v>63</v>
      </c>
      <c r="D486" s="518"/>
    </row>
    <row r="487" spans="1:4">
      <c r="A487" s="291" t="s">
        <v>421</v>
      </c>
      <c r="B487" s="489" t="s">
        <v>386</v>
      </c>
      <c r="C487" s="291" t="s">
        <v>64</v>
      </c>
      <c r="D487" s="518"/>
    </row>
    <row r="488" spans="1:4" ht="13.5" thickBot="1">
      <c r="A488" s="638" t="s">
        <v>354</v>
      </c>
      <c r="B488" s="640"/>
      <c r="C488" s="639"/>
      <c r="D488" s="518"/>
    </row>
    <row r="489" spans="1:4">
      <c r="A489" s="291" t="s">
        <v>111</v>
      </c>
      <c r="B489" s="489" t="s">
        <v>387</v>
      </c>
      <c r="C489" s="291" t="s">
        <v>910</v>
      </c>
      <c r="D489" s="518"/>
    </row>
    <row r="490" spans="1:4">
      <c r="A490" s="291" t="s">
        <v>112</v>
      </c>
      <c r="B490" s="489" t="s">
        <v>388</v>
      </c>
      <c r="C490" s="291" t="s">
        <v>911</v>
      </c>
      <c r="D490" s="518"/>
    </row>
    <row r="491" spans="1:4" ht="25.5">
      <c r="A491" s="291" t="s">
        <v>1272</v>
      </c>
      <c r="B491" s="293" t="s">
        <v>2345</v>
      </c>
      <c r="C491" s="291" t="s">
        <v>912</v>
      </c>
      <c r="D491" s="518"/>
    </row>
    <row r="492" spans="1:4">
      <c r="A492" s="291" t="s">
        <v>847</v>
      </c>
      <c r="B492" s="489" t="s">
        <v>1329</v>
      </c>
      <c r="C492" s="291" t="s">
        <v>428</v>
      </c>
      <c r="D492" s="518"/>
    </row>
    <row r="493" spans="1:4">
      <c r="A493" s="291" t="s">
        <v>113</v>
      </c>
      <c r="B493" s="489" t="s">
        <v>389</v>
      </c>
      <c r="C493" s="291" t="s">
        <v>5819</v>
      </c>
      <c r="D493" s="518"/>
    </row>
    <row r="494" spans="1:4">
      <c r="A494" s="291" t="s">
        <v>417</v>
      </c>
      <c r="B494" s="489" t="s">
        <v>1351</v>
      </c>
      <c r="C494" s="291" t="s">
        <v>5790</v>
      </c>
      <c r="D494" s="518"/>
    </row>
    <row r="495" spans="1:4">
      <c r="A495" s="291" t="s">
        <v>114</v>
      </c>
      <c r="B495" s="489" t="s">
        <v>390</v>
      </c>
      <c r="C495" s="291" t="s">
        <v>429</v>
      </c>
      <c r="D495" s="518"/>
    </row>
    <row r="496" spans="1:4">
      <c r="A496" s="291" t="s">
        <v>1168</v>
      </c>
      <c r="B496" s="489" t="s">
        <v>1593</v>
      </c>
      <c r="C496" s="291" t="s">
        <v>5791</v>
      </c>
      <c r="D496" s="518"/>
    </row>
    <row r="497" spans="1:4">
      <c r="A497" s="291" t="s">
        <v>115</v>
      </c>
      <c r="B497" s="489" t="s">
        <v>391</v>
      </c>
      <c r="C497" s="291" t="s">
        <v>1914</v>
      </c>
      <c r="D497" s="518"/>
    </row>
    <row r="498" spans="1:4" ht="25.5">
      <c r="A498" s="291" t="s">
        <v>116</v>
      </c>
      <c r="B498" s="293" t="s">
        <v>2241</v>
      </c>
      <c r="C498" s="291" t="s">
        <v>430</v>
      </c>
      <c r="D498" s="518"/>
    </row>
    <row r="499" spans="1:4">
      <c r="A499" s="291" t="s">
        <v>458</v>
      </c>
      <c r="B499" s="293" t="s">
        <v>2242</v>
      </c>
      <c r="C499" s="291" t="s">
        <v>431</v>
      </c>
      <c r="D499" s="518"/>
    </row>
    <row r="500" spans="1:4">
      <c r="A500" s="291" t="s">
        <v>117</v>
      </c>
      <c r="B500" s="293" t="s">
        <v>2243</v>
      </c>
      <c r="C500" s="291" t="s">
        <v>432</v>
      </c>
      <c r="D500" s="518"/>
    </row>
    <row r="501" spans="1:4" ht="25.5">
      <c r="A501" s="291" t="s">
        <v>118</v>
      </c>
      <c r="B501" s="293" t="s">
        <v>2244</v>
      </c>
      <c r="C501" s="291" t="s">
        <v>433</v>
      </c>
      <c r="D501" s="518"/>
    </row>
    <row r="502" spans="1:4" ht="25.5">
      <c r="A502" s="291" t="s">
        <v>459</v>
      </c>
      <c r="B502" s="293" t="s">
        <v>2245</v>
      </c>
      <c r="C502" s="291" t="s">
        <v>800</v>
      </c>
      <c r="D502" s="518"/>
    </row>
    <row r="503" spans="1:4">
      <c r="A503" s="291" t="s">
        <v>119</v>
      </c>
      <c r="B503" s="293" t="s">
        <v>12</v>
      </c>
      <c r="C503" s="291" t="s">
        <v>801</v>
      </c>
      <c r="D503" s="518"/>
    </row>
    <row r="504" spans="1:4" ht="25.5">
      <c r="A504" s="291" t="s">
        <v>121</v>
      </c>
      <c r="B504" s="293" t="s">
        <v>2246</v>
      </c>
      <c r="C504" s="291" t="s">
        <v>802</v>
      </c>
      <c r="D504" s="518"/>
    </row>
    <row r="505" spans="1:4" ht="25.5">
      <c r="A505" s="291" t="s">
        <v>1490</v>
      </c>
      <c r="B505" s="521" t="s">
        <v>2346</v>
      </c>
      <c r="C505" s="291" t="s">
        <v>803</v>
      </c>
      <c r="D505" s="518"/>
    </row>
    <row r="506" spans="1:4">
      <c r="A506" s="291" t="s">
        <v>120</v>
      </c>
      <c r="B506" s="521" t="s">
        <v>2247</v>
      </c>
      <c r="C506" s="291" t="s">
        <v>804</v>
      </c>
      <c r="D506" s="518"/>
    </row>
    <row r="507" spans="1:4" ht="38.25">
      <c r="A507" s="291" t="s">
        <v>122</v>
      </c>
      <c r="B507" s="521" t="s">
        <v>1790</v>
      </c>
      <c r="C507" s="291" t="s">
        <v>805</v>
      </c>
      <c r="D507" s="518"/>
    </row>
    <row r="508" spans="1:4" ht="38.25">
      <c r="A508" s="291" t="s">
        <v>661</v>
      </c>
      <c r="B508" s="522" t="s">
        <v>392</v>
      </c>
      <c r="C508" s="291" t="s">
        <v>806</v>
      </c>
    </row>
    <row r="509" spans="1:4">
      <c r="A509" s="291" t="s">
        <v>1183</v>
      </c>
      <c r="B509" s="522" t="s">
        <v>1588</v>
      </c>
      <c r="C509" s="291" t="s">
        <v>807</v>
      </c>
      <c r="D509" s="518"/>
    </row>
    <row r="510" spans="1:4">
      <c r="A510" s="291" t="s">
        <v>534</v>
      </c>
      <c r="B510" s="521" t="s">
        <v>1578</v>
      </c>
      <c r="C510" s="291" t="s">
        <v>808</v>
      </c>
      <c r="D510" s="518"/>
    </row>
    <row r="511" spans="1:4">
      <c r="A511" s="291" t="s">
        <v>261</v>
      </c>
      <c r="B511" s="521" t="s">
        <v>1395</v>
      </c>
      <c r="C511" s="291" t="s">
        <v>809</v>
      </c>
      <c r="D511" s="518"/>
    </row>
    <row r="512" spans="1:4">
      <c r="A512" s="291" t="s">
        <v>1169</v>
      </c>
      <c r="B512" s="489" t="s">
        <v>613</v>
      </c>
      <c r="C512" s="291" t="s">
        <v>810</v>
      </c>
      <c r="D512" s="518"/>
    </row>
    <row r="513" spans="1:4">
      <c r="A513" s="291" t="s">
        <v>1184</v>
      </c>
      <c r="B513" s="522" t="s">
        <v>393</v>
      </c>
      <c r="C513" s="291" t="s">
        <v>811</v>
      </c>
      <c r="D513" s="518"/>
    </row>
    <row r="514" spans="1:4">
      <c r="A514" s="291" t="s">
        <v>1170</v>
      </c>
      <c r="B514" s="521" t="s">
        <v>2248</v>
      </c>
      <c r="C514" s="291" t="s">
        <v>812</v>
      </c>
      <c r="D514" s="518"/>
    </row>
    <row r="515" spans="1:4">
      <c r="A515" s="291" t="s">
        <v>1185</v>
      </c>
      <c r="B515" s="522" t="s">
        <v>660</v>
      </c>
      <c r="C515" s="291" t="s">
        <v>813</v>
      </c>
      <c r="D515" s="518"/>
    </row>
    <row r="516" spans="1:4" ht="25.5">
      <c r="A516" s="291" t="s">
        <v>1186</v>
      </c>
      <c r="B516" s="293" t="s">
        <v>2249</v>
      </c>
      <c r="C516" s="291" t="s">
        <v>814</v>
      </c>
      <c r="D516" s="518"/>
    </row>
    <row r="517" spans="1:4" ht="25.5">
      <c r="A517" s="291" t="s">
        <v>1187</v>
      </c>
      <c r="B517" s="293" t="s">
        <v>2347</v>
      </c>
      <c r="C517" s="291" t="s">
        <v>1213</v>
      </c>
      <c r="D517" s="518"/>
    </row>
    <row r="518" spans="1:4">
      <c r="A518" s="291" t="s">
        <v>1188</v>
      </c>
      <c r="B518" s="293" t="s">
        <v>2250</v>
      </c>
      <c r="C518" s="291" t="s">
        <v>815</v>
      </c>
      <c r="D518" s="518"/>
    </row>
    <row r="519" spans="1:4" ht="38.25">
      <c r="A519" s="291" t="s">
        <v>1189</v>
      </c>
      <c r="B519" s="521" t="s">
        <v>2252</v>
      </c>
      <c r="C519" s="291" t="s">
        <v>816</v>
      </c>
      <c r="D519" s="518"/>
    </row>
    <row r="520" spans="1:4" ht="25.5">
      <c r="A520" s="291" t="s">
        <v>537</v>
      </c>
      <c r="B520" s="521" t="s">
        <v>1665</v>
      </c>
      <c r="C520" s="291" t="s">
        <v>817</v>
      </c>
      <c r="D520" s="518"/>
    </row>
    <row r="521" spans="1:4">
      <c r="A521" s="291" t="s">
        <v>538</v>
      </c>
      <c r="B521" s="522" t="s">
        <v>1589</v>
      </c>
      <c r="C521" s="291" t="s">
        <v>818</v>
      </c>
      <c r="D521" s="518"/>
    </row>
    <row r="522" spans="1:4">
      <c r="A522" s="291" t="s">
        <v>539</v>
      </c>
      <c r="B522" s="293" t="s">
        <v>2251</v>
      </c>
      <c r="C522" s="291" t="s">
        <v>819</v>
      </c>
      <c r="D522" s="518"/>
    </row>
    <row r="523" spans="1:4">
      <c r="A523" s="291" t="s">
        <v>540</v>
      </c>
      <c r="B523" s="521" t="s">
        <v>2253</v>
      </c>
      <c r="C523" s="291" t="s">
        <v>820</v>
      </c>
      <c r="D523" s="518"/>
    </row>
    <row r="524" spans="1:4" ht="25.5">
      <c r="A524" s="291" t="s">
        <v>541</v>
      </c>
      <c r="B524" s="293" t="s">
        <v>2348</v>
      </c>
      <c r="C524" s="291" t="s">
        <v>821</v>
      </c>
      <c r="D524" s="518"/>
    </row>
    <row r="525" spans="1:4" ht="25.5">
      <c r="A525" s="291" t="s">
        <v>1171</v>
      </c>
      <c r="B525" s="521" t="s">
        <v>2254</v>
      </c>
      <c r="C525" s="291" t="s">
        <v>822</v>
      </c>
      <c r="D525" s="518"/>
    </row>
    <row r="526" spans="1:4" ht="25.5">
      <c r="A526" s="291" t="s">
        <v>645</v>
      </c>
      <c r="B526" s="521" t="s">
        <v>2255</v>
      </c>
      <c r="C526" s="291" t="s">
        <v>823</v>
      </c>
      <c r="D526" s="518"/>
    </row>
    <row r="527" spans="1:4" ht="51">
      <c r="A527" s="291" t="s">
        <v>1172</v>
      </c>
      <c r="B527" s="293" t="s">
        <v>2256</v>
      </c>
      <c r="C527" s="291" t="s">
        <v>824</v>
      </c>
      <c r="D527" s="518"/>
    </row>
    <row r="528" spans="1:4">
      <c r="A528" s="291" t="s">
        <v>1173</v>
      </c>
      <c r="B528" s="522" t="s">
        <v>1337</v>
      </c>
      <c r="C528" s="291" t="s">
        <v>1919</v>
      </c>
      <c r="D528" s="518"/>
    </row>
    <row r="529" spans="1:4">
      <c r="A529" s="291" t="s">
        <v>1174</v>
      </c>
      <c r="B529" s="521" t="s">
        <v>2258</v>
      </c>
      <c r="C529" s="291" t="s">
        <v>825</v>
      </c>
      <c r="D529" s="518"/>
    </row>
    <row r="530" spans="1:4" ht="25.5">
      <c r="A530" s="291" t="s">
        <v>1175</v>
      </c>
      <c r="B530" s="521" t="s">
        <v>2259</v>
      </c>
      <c r="C530" s="291" t="s">
        <v>826</v>
      </c>
      <c r="D530" s="518"/>
    </row>
    <row r="531" spans="1:4">
      <c r="A531" s="291" t="s">
        <v>542</v>
      </c>
      <c r="B531" s="521" t="s">
        <v>2260</v>
      </c>
      <c r="C531" s="291" t="s">
        <v>827</v>
      </c>
      <c r="D531" s="518"/>
    </row>
    <row r="532" spans="1:4" ht="25.5">
      <c r="A532" s="291" t="s">
        <v>543</v>
      </c>
      <c r="B532" s="522" t="s">
        <v>614</v>
      </c>
      <c r="C532" s="291" t="s">
        <v>38</v>
      </c>
      <c r="D532" s="518"/>
    </row>
    <row r="533" spans="1:4" ht="25.5">
      <c r="A533" s="291" t="s">
        <v>1527</v>
      </c>
      <c r="B533" s="521" t="s">
        <v>2261</v>
      </c>
      <c r="C533" s="291" t="s">
        <v>39</v>
      </c>
      <c r="D533" s="518"/>
    </row>
    <row r="534" spans="1:4">
      <c r="A534" s="291" t="s">
        <v>544</v>
      </c>
      <c r="B534" s="522" t="s">
        <v>629</v>
      </c>
      <c r="C534" s="291" t="s">
        <v>6213</v>
      </c>
      <c r="D534" s="518"/>
    </row>
    <row r="535" spans="1:4">
      <c r="A535" s="291" t="s">
        <v>545</v>
      </c>
      <c r="B535" s="293" t="s">
        <v>2262</v>
      </c>
      <c r="C535" s="291" t="s">
        <v>40</v>
      </c>
      <c r="D535" s="518"/>
    </row>
    <row r="536" spans="1:4">
      <c r="A536" s="291" t="s">
        <v>546</v>
      </c>
      <c r="B536" s="489" t="s">
        <v>1594</v>
      </c>
      <c r="C536" s="291" t="s">
        <v>41</v>
      </c>
      <c r="D536" s="518"/>
    </row>
    <row r="537" spans="1:4" ht="25.5">
      <c r="A537" s="291" t="s">
        <v>1528</v>
      </c>
      <c r="B537" s="521" t="s">
        <v>2263</v>
      </c>
      <c r="C537" s="291" t="s">
        <v>1283</v>
      </c>
      <c r="D537" s="518"/>
    </row>
    <row r="538" spans="1:4">
      <c r="A538" s="291" t="s">
        <v>547</v>
      </c>
      <c r="B538" s="489" t="s">
        <v>660</v>
      </c>
      <c r="C538" s="291" t="s">
        <v>371</v>
      </c>
      <c r="D538" s="518"/>
    </row>
    <row r="539" spans="1:4" ht="25.5">
      <c r="A539" s="291" t="s">
        <v>69</v>
      </c>
      <c r="B539" s="521" t="s">
        <v>2264</v>
      </c>
      <c r="C539" s="291" t="s">
        <v>965</v>
      </c>
      <c r="D539" s="518"/>
    </row>
    <row r="540" spans="1:4" ht="25.5">
      <c r="A540" s="291" t="s">
        <v>70</v>
      </c>
      <c r="B540" s="521" t="s">
        <v>2265</v>
      </c>
      <c r="C540" s="291" t="s">
        <v>1284</v>
      </c>
      <c r="D540" s="518"/>
    </row>
    <row r="541" spans="1:4">
      <c r="A541" s="291" t="s">
        <v>71</v>
      </c>
      <c r="B541" s="293" t="s">
        <v>2266</v>
      </c>
      <c r="C541" s="291" t="s">
        <v>973</v>
      </c>
      <c r="D541" s="518"/>
    </row>
    <row r="542" spans="1:4" ht="25.5">
      <c r="A542" s="291" t="s">
        <v>1086</v>
      </c>
      <c r="B542" s="293" t="s">
        <v>2267</v>
      </c>
      <c r="C542" s="291" t="s">
        <v>974</v>
      </c>
      <c r="D542" s="518"/>
    </row>
    <row r="543" spans="1:4" ht="25.5">
      <c r="A543" s="291" t="s">
        <v>981</v>
      </c>
      <c r="B543" s="293" t="s">
        <v>2268</v>
      </c>
      <c r="C543" s="291" t="s">
        <v>1920</v>
      </c>
      <c r="D543" s="518"/>
    </row>
    <row r="544" spans="1:4" ht="25.5">
      <c r="A544" s="291" t="s">
        <v>772</v>
      </c>
      <c r="B544" s="521" t="s">
        <v>2269</v>
      </c>
      <c r="C544" s="291" t="s">
        <v>1442</v>
      </c>
      <c r="D544" s="518"/>
    </row>
    <row r="545" spans="1:4" ht="25.5">
      <c r="A545" s="291" t="s">
        <v>1087</v>
      </c>
      <c r="B545" s="521" t="s">
        <v>2270</v>
      </c>
      <c r="C545" s="291" t="s">
        <v>1443</v>
      </c>
      <c r="D545" s="518"/>
    </row>
    <row r="546" spans="1:4">
      <c r="A546" s="291" t="s">
        <v>771</v>
      </c>
      <c r="B546" s="489" t="s">
        <v>631</v>
      </c>
      <c r="C546" s="291" t="s">
        <v>1444</v>
      </c>
      <c r="D546" s="518"/>
    </row>
    <row r="547" spans="1:4" ht="13.5" thickBot="1">
      <c r="A547" s="638" t="s">
        <v>353</v>
      </c>
      <c r="B547" s="640"/>
      <c r="C547" s="639"/>
      <c r="D547" s="518"/>
    </row>
    <row r="548" spans="1:4">
      <c r="A548" s="291" t="s">
        <v>796</v>
      </c>
      <c r="B548" s="489" t="s">
        <v>632</v>
      </c>
      <c r="C548" s="291" t="s">
        <v>349</v>
      </c>
      <c r="D548" s="518"/>
    </row>
    <row r="549" spans="1:4">
      <c r="A549" s="291" t="s">
        <v>1462</v>
      </c>
      <c r="B549" s="489" t="s">
        <v>633</v>
      </c>
      <c r="C549" s="291" t="s">
        <v>1424</v>
      </c>
      <c r="D549" s="518"/>
    </row>
    <row r="550" spans="1:4" ht="25.5">
      <c r="A550" s="291" t="s">
        <v>1463</v>
      </c>
      <c r="B550" s="293" t="s">
        <v>2271</v>
      </c>
      <c r="C550" s="291" t="s">
        <v>102</v>
      </c>
      <c r="D550" s="518"/>
    </row>
    <row r="551" spans="1:4">
      <c r="A551" s="291" t="s">
        <v>350</v>
      </c>
      <c r="B551" s="489" t="s">
        <v>634</v>
      </c>
      <c r="C551" s="291" t="s">
        <v>1425</v>
      </c>
      <c r="D551" s="518"/>
    </row>
    <row r="552" spans="1:4">
      <c r="A552" s="291" t="s">
        <v>351</v>
      </c>
      <c r="B552" s="293" t="s">
        <v>2272</v>
      </c>
      <c r="C552" s="291" t="s">
        <v>1426</v>
      </c>
      <c r="D552" s="518"/>
    </row>
    <row r="553" spans="1:4" ht="25.5">
      <c r="A553" s="291" t="s">
        <v>1464</v>
      </c>
      <c r="B553" s="489" t="s">
        <v>635</v>
      </c>
      <c r="C553" s="291" t="s">
        <v>1427</v>
      </c>
      <c r="D553" s="518"/>
    </row>
    <row r="554" spans="1:4">
      <c r="A554" s="291" t="s">
        <v>1465</v>
      </c>
      <c r="B554" s="489" t="s">
        <v>1590</v>
      </c>
      <c r="C554" s="291" t="s">
        <v>1428</v>
      </c>
      <c r="D554" s="518"/>
    </row>
    <row r="555" spans="1:4" ht="25.5">
      <c r="A555" s="291" t="s">
        <v>352</v>
      </c>
      <c r="B555" s="293" t="s">
        <v>2273</v>
      </c>
      <c r="C555" s="291" t="s">
        <v>1429</v>
      </c>
      <c r="D555" s="518"/>
    </row>
    <row r="556" spans="1:4" ht="13.5" thickBot="1">
      <c r="A556" s="638" t="s">
        <v>357</v>
      </c>
      <c r="B556" s="640"/>
      <c r="C556" s="639"/>
      <c r="D556" s="518"/>
    </row>
    <row r="557" spans="1:4" ht="25.5">
      <c r="A557" s="291" t="s">
        <v>422</v>
      </c>
      <c r="B557" s="489" t="s">
        <v>636</v>
      </c>
      <c r="C557" s="291" t="s">
        <v>65</v>
      </c>
      <c r="D557" s="518"/>
    </row>
    <row r="558" spans="1:4" ht="25.5">
      <c r="A558" s="291" t="s">
        <v>971</v>
      </c>
      <c r="B558" s="293" t="s">
        <v>2274</v>
      </c>
      <c r="C558" s="291" t="s">
        <v>1281</v>
      </c>
      <c r="D558" s="518"/>
    </row>
    <row r="559" spans="1:4" ht="25.5">
      <c r="A559" s="291" t="s">
        <v>6247</v>
      </c>
      <c r="B559" s="293" t="s">
        <v>6248</v>
      </c>
      <c r="C559" s="291" t="s">
        <v>6249</v>
      </c>
      <c r="D559" s="518"/>
    </row>
    <row r="560" spans="1:4">
      <c r="A560" s="291" t="s">
        <v>2089</v>
      </c>
      <c r="B560" s="293" t="s">
        <v>2090</v>
      </c>
      <c r="C560" s="291" t="s">
        <v>2091</v>
      </c>
      <c r="D560" s="518"/>
    </row>
    <row r="561" spans="1:4" ht="25.5">
      <c r="A561" s="291" t="s">
        <v>1440</v>
      </c>
      <c r="B561" s="293" t="s">
        <v>2275</v>
      </c>
      <c r="C561" s="291" t="s">
        <v>5820</v>
      </c>
      <c r="D561" s="518"/>
    </row>
    <row r="562" spans="1:4" ht="25.5">
      <c r="A562" s="291" t="s">
        <v>1441</v>
      </c>
      <c r="B562" s="293" t="s">
        <v>2276</v>
      </c>
      <c r="C562" s="291" t="s">
        <v>66</v>
      </c>
      <c r="D562" s="518"/>
    </row>
    <row r="563" spans="1:4">
      <c r="A563" s="291" t="s">
        <v>777</v>
      </c>
      <c r="B563" s="489" t="s">
        <v>654</v>
      </c>
      <c r="C563" s="291" t="s">
        <v>67</v>
      </c>
      <c r="D563" s="518"/>
    </row>
    <row r="564" spans="1:4">
      <c r="A564" s="291" t="s">
        <v>444</v>
      </c>
      <c r="B564" s="293" t="s">
        <v>2349</v>
      </c>
      <c r="C564" s="291" t="s">
        <v>5798</v>
      </c>
      <c r="D564" s="518"/>
    </row>
    <row r="565" spans="1:4" ht="25.5">
      <c r="A565" s="291" t="s">
        <v>778</v>
      </c>
      <c r="B565" s="293" t="s">
        <v>2277</v>
      </c>
      <c r="C565" s="291" t="s">
        <v>1430</v>
      </c>
      <c r="D565" s="518"/>
    </row>
    <row r="566" spans="1:4">
      <c r="A566" s="291" t="s">
        <v>779</v>
      </c>
      <c r="B566" s="293" t="s">
        <v>2350</v>
      </c>
      <c r="C566" s="291" t="s">
        <v>5799</v>
      </c>
    </row>
    <row r="567" spans="1:4">
      <c r="A567" s="291" t="s">
        <v>787</v>
      </c>
      <c r="B567" s="293" t="s">
        <v>1791</v>
      </c>
      <c r="C567" s="291" t="s">
        <v>1431</v>
      </c>
    </row>
    <row r="568" spans="1:4">
      <c r="A568" s="291" t="s">
        <v>1138</v>
      </c>
      <c r="B568" s="293" t="s">
        <v>2278</v>
      </c>
      <c r="C568" s="291" t="s">
        <v>716</v>
      </c>
      <c r="D568" s="95"/>
    </row>
    <row r="569" spans="1:4" ht="25.5">
      <c r="A569" s="291" t="s">
        <v>788</v>
      </c>
      <c r="B569" s="293" t="s">
        <v>2279</v>
      </c>
      <c r="C569" s="291" t="s">
        <v>1180</v>
      </c>
      <c r="D569" s="95"/>
    </row>
    <row r="570" spans="1:4" ht="25.5">
      <c r="A570" s="291" t="s">
        <v>780</v>
      </c>
      <c r="B570" s="489" t="s">
        <v>1595</v>
      </c>
      <c r="C570" s="291" t="s">
        <v>1181</v>
      </c>
      <c r="D570" s="95"/>
    </row>
    <row r="571" spans="1:4" ht="25.5">
      <c r="A571" s="291" t="s">
        <v>789</v>
      </c>
      <c r="B571" s="293" t="s">
        <v>2280</v>
      </c>
      <c r="C571" s="291" t="s">
        <v>1182</v>
      </c>
      <c r="D571" s="95"/>
    </row>
    <row r="572" spans="1:4" ht="25.5">
      <c r="A572" s="291" t="s">
        <v>790</v>
      </c>
      <c r="B572" s="293" t="s">
        <v>2281</v>
      </c>
      <c r="C572" s="291" t="s">
        <v>643</v>
      </c>
      <c r="D572" s="95"/>
    </row>
    <row r="573" spans="1:4">
      <c r="A573" s="291" t="s">
        <v>791</v>
      </c>
      <c r="B573" s="489" t="s">
        <v>655</v>
      </c>
      <c r="C573" s="291" t="s">
        <v>903</v>
      </c>
      <c r="D573" s="95"/>
    </row>
    <row r="574" spans="1:4">
      <c r="A574" s="291" t="s">
        <v>792</v>
      </c>
      <c r="B574" s="489" t="s">
        <v>656</v>
      </c>
      <c r="C574" s="291" t="s">
        <v>84</v>
      </c>
      <c r="D574" s="95"/>
    </row>
    <row r="575" spans="1:4">
      <c r="A575" s="291" t="s">
        <v>793</v>
      </c>
      <c r="B575" s="293" t="s">
        <v>2282</v>
      </c>
      <c r="C575" s="291" t="s">
        <v>85</v>
      </c>
      <c r="D575" s="95"/>
    </row>
    <row r="576" spans="1:4">
      <c r="A576" s="291" t="s">
        <v>1271</v>
      </c>
      <c r="B576" s="293" t="s">
        <v>2283</v>
      </c>
      <c r="C576" s="291" t="s">
        <v>1432</v>
      </c>
      <c r="D576" s="95"/>
    </row>
    <row r="577" spans="1:4">
      <c r="A577" s="291" t="s">
        <v>794</v>
      </c>
      <c r="B577" s="489" t="s">
        <v>19</v>
      </c>
      <c r="C577" s="291" t="s">
        <v>86</v>
      </c>
      <c r="D577" s="95"/>
    </row>
    <row r="578" spans="1:4">
      <c r="A578" s="291" t="s">
        <v>795</v>
      </c>
      <c r="B578" s="293" t="s">
        <v>2351</v>
      </c>
      <c r="C578" s="291" t="s">
        <v>87</v>
      </c>
      <c r="D578" s="95"/>
    </row>
    <row r="579" spans="1:4">
      <c r="A579" s="291" t="s">
        <v>2353</v>
      </c>
      <c r="B579" s="293" t="s">
        <v>1792</v>
      </c>
      <c r="C579" s="291" t="s">
        <v>240</v>
      </c>
      <c r="D579" s="95"/>
    </row>
    <row r="580" spans="1:4" ht="25.5">
      <c r="A580" s="291" t="s">
        <v>2354</v>
      </c>
      <c r="B580" s="293" t="s">
        <v>2352</v>
      </c>
      <c r="C580" s="291" t="s">
        <v>443</v>
      </c>
      <c r="D580" s="95"/>
    </row>
    <row r="581" spans="1:4">
      <c r="A581" s="291" t="s">
        <v>425</v>
      </c>
      <c r="B581" s="489" t="s">
        <v>20</v>
      </c>
      <c r="C581" s="291" t="s">
        <v>1433</v>
      </c>
      <c r="D581" s="95"/>
    </row>
    <row r="582" spans="1:4">
      <c r="A582" s="291" t="s">
        <v>1111</v>
      </c>
      <c r="B582" s="293" t="s">
        <v>1793</v>
      </c>
      <c r="C582" s="291" t="s">
        <v>241</v>
      </c>
    </row>
    <row r="583" spans="1:4" ht="25.5">
      <c r="A583" s="291" t="s">
        <v>1139</v>
      </c>
      <c r="B583" s="293" t="s">
        <v>2284</v>
      </c>
      <c r="C583" s="291" t="s">
        <v>242</v>
      </c>
    </row>
    <row r="584" spans="1:4" ht="38.25">
      <c r="A584" s="291" t="s">
        <v>2093</v>
      </c>
      <c r="B584" s="293" t="s">
        <v>2285</v>
      </c>
      <c r="C584" s="291" t="s">
        <v>2094</v>
      </c>
    </row>
    <row r="585" spans="1:4">
      <c r="A585" s="291" t="s">
        <v>1483</v>
      </c>
      <c r="B585" s="489" t="s">
        <v>515</v>
      </c>
      <c r="C585" s="291" t="s">
        <v>243</v>
      </c>
      <c r="D585" s="95"/>
    </row>
    <row r="586" spans="1:4">
      <c r="A586" s="291" t="s">
        <v>1484</v>
      </c>
      <c r="B586" s="293" t="s">
        <v>2286</v>
      </c>
      <c r="C586" s="291" t="s">
        <v>244</v>
      </c>
    </row>
    <row r="587" spans="1:4" ht="25.5">
      <c r="A587" s="291" t="s">
        <v>1485</v>
      </c>
      <c r="B587" s="293" t="s">
        <v>2287</v>
      </c>
      <c r="C587" s="291" t="s">
        <v>708</v>
      </c>
      <c r="D587" s="95"/>
    </row>
    <row r="588" spans="1:4" ht="25.5">
      <c r="A588" s="291" t="s">
        <v>1140</v>
      </c>
      <c r="B588" s="293" t="s">
        <v>2288</v>
      </c>
      <c r="C588" s="291" t="s">
        <v>709</v>
      </c>
    </row>
    <row r="589" spans="1:4" ht="25.5">
      <c r="A589" s="291" t="s">
        <v>1165</v>
      </c>
      <c r="B589" s="489" t="s">
        <v>1591</v>
      </c>
      <c r="C589" s="291" t="s">
        <v>710</v>
      </c>
      <c r="D589" s="95"/>
    </row>
    <row r="590" spans="1:4" ht="25.5">
      <c r="A590" s="291" t="s">
        <v>1486</v>
      </c>
      <c r="B590" s="293" t="s">
        <v>2289</v>
      </c>
      <c r="C590" s="291" t="s">
        <v>711</v>
      </c>
      <c r="D590" s="95"/>
    </row>
    <row r="591" spans="1:4" ht="25.5">
      <c r="A591" s="291" t="s">
        <v>1487</v>
      </c>
      <c r="B591" s="293" t="s">
        <v>2290</v>
      </c>
      <c r="C591" s="291" t="s">
        <v>773</v>
      </c>
      <c r="D591" s="95"/>
    </row>
    <row r="592" spans="1:4" ht="25.5">
      <c r="A592" s="291" t="s">
        <v>1488</v>
      </c>
      <c r="B592" s="293" t="s">
        <v>2291</v>
      </c>
      <c r="C592" s="291" t="s">
        <v>1933</v>
      </c>
      <c r="D592" s="95"/>
    </row>
    <row r="593" spans="1:4">
      <c r="A593" s="291" t="s">
        <v>2089</v>
      </c>
      <c r="B593" s="293" t="s">
        <v>2090</v>
      </c>
      <c r="C593" s="291" t="s">
        <v>2091</v>
      </c>
      <c r="D593" s="95"/>
    </row>
    <row r="594" spans="1:4" ht="25.5">
      <c r="A594" s="291" t="s">
        <v>1166</v>
      </c>
      <c r="B594" s="293" t="s">
        <v>2292</v>
      </c>
      <c r="C594" s="291" t="s">
        <v>1934</v>
      </c>
      <c r="D594" s="95"/>
    </row>
    <row r="595" spans="1:4">
      <c r="A595" s="291" t="s">
        <v>1489</v>
      </c>
      <c r="B595" s="293" t="s">
        <v>2018</v>
      </c>
      <c r="C595" s="291" t="s">
        <v>774</v>
      </c>
      <c r="D595" s="95"/>
    </row>
    <row r="596" spans="1:4">
      <c r="A596" s="523" t="s">
        <v>2142</v>
      </c>
      <c r="B596" s="523" t="s">
        <v>6418</v>
      </c>
      <c r="C596" s="523" t="s">
        <v>5800</v>
      </c>
      <c r="D596" s="95"/>
    </row>
    <row r="597" spans="1:4" ht="25.5">
      <c r="A597" s="291" t="s">
        <v>982</v>
      </c>
      <c r="B597" s="293" t="s">
        <v>2293</v>
      </c>
      <c r="C597" s="291" t="s">
        <v>1935</v>
      </c>
      <c r="D597" s="95"/>
    </row>
    <row r="598" spans="1:4" ht="25.5">
      <c r="A598" s="291" t="s">
        <v>983</v>
      </c>
      <c r="B598" s="293" t="s">
        <v>2294</v>
      </c>
      <c r="C598" s="291" t="s">
        <v>1936</v>
      </c>
      <c r="D598" s="95"/>
    </row>
    <row r="599" spans="1:4" ht="25.5">
      <c r="A599" s="291" t="s">
        <v>2086</v>
      </c>
      <c r="B599" s="293" t="s">
        <v>2087</v>
      </c>
      <c r="C599" s="291" t="s">
        <v>2088</v>
      </c>
      <c r="D599" s="95"/>
    </row>
    <row r="600" spans="1:4">
      <c r="A600" s="291" t="s">
        <v>2089</v>
      </c>
      <c r="B600" s="293" t="s">
        <v>2090</v>
      </c>
      <c r="C600" s="291" t="s">
        <v>2091</v>
      </c>
      <c r="D600" s="95"/>
    </row>
    <row r="601" spans="1:4" ht="25.5">
      <c r="A601" s="291" t="s">
        <v>984</v>
      </c>
      <c r="B601" s="293" t="s">
        <v>2295</v>
      </c>
      <c r="C601" s="291" t="s">
        <v>1937</v>
      </c>
      <c r="D601" s="95"/>
    </row>
    <row r="602" spans="1:4">
      <c r="A602" s="291" t="s">
        <v>985</v>
      </c>
      <c r="B602" s="293" t="s">
        <v>1794</v>
      </c>
      <c r="C602" s="291" t="s">
        <v>196</v>
      </c>
      <c r="D602" s="95"/>
    </row>
    <row r="603" spans="1:4">
      <c r="A603" s="291" t="s">
        <v>2971</v>
      </c>
      <c r="B603" s="293" t="s">
        <v>6420</v>
      </c>
      <c r="C603" s="291" t="s">
        <v>5801</v>
      </c>
      <c r="D603" s="95"/>
    </row>
    <row r="604" spans="1:4" ht="25.5">
      <c r="A604" s="291" t="s">
        <v>1069</v>
      </c>
      <c r="B604" s="293" t="s">
        <v>2296</v>
      </c>
      <c r="C604" s="291" t="s">
        <v>1938</v>
      </c>
      <c r="D604" s="95"/>
    </row>
    <row r="605" spans="1:4" ht="25.5">
      <c r="A605" s="291" t="s">
        <v>1070</v>
      </c>
      <c r="B605" s="293" t="s">
        <v>2355</v>
      </c>
      <c r="C605" s="291" t="s">
        <v>906</v>
      </c>
      <c r="D605" s="95"/>
    </row>
    <row r="606" spans="1:4">
      <c r="A606" s="291" t="s">
        <v>1071</v>
      </c>
      <c r="B606" s="489" t="s">
        <v>1329</v>
      </c>
      <c r="C606" s="291" t="s">
        <v>769</v>
      </c>
      <c r="D606" s="95"/>
    </row>
    <row r="607" spans="1:4">
      <c r="A607" s="291" t="s">
        <v>1072</v>
      </c>
      <c r="B607" s="489" t="s">
        <v>662</v>
      </c>
      <c r="C607" s="291" t="s">
        <v>907</v>
      </c>
      <c r="D607" s="95"/>
    </row>
    <row r="608" spans="1:4">
      <c r="A608" s="291" t="s">
        <v>1073</v>
      </c>
      <c r="B608" s="489" t="s">
        <v>663</v>
      </c>
      <c r="C608" s="291" t="s">
        <v>908</v>
      </c>
      <c r="D608" s="95"/>
    </row>
    <row r="609" spans="1:5">
      <c r="A609" s="291" t="s">
        <v>1074</v>
      </c>
      <c r="B609" s="293" t="s">
        <v>2297</v>
      </c>
      <c r="C609" s="291" t="s">
        <v>909</v>
      </c>
      <c r="D609" s="95"/>
    </row>
    <row r="610" spans="1:5">
      <c r="A610" s="291" t="s">
        <v>1075</v>
      </c>
      <c r="B610" s="293" t="s">
        <v>2298</v>
      </c>
      <c r="C610" s="291" t="s">
        <v>1282</v>
      </c>
      <c r="D610" s="95"/>
    </row>
    <row r="611" spans="1:5" ht="38.25">
      <c r="A611" s="291" t="s">
        <v>1167</v>
      </c>
      <c r="B611" s="293" t="s">
        <v>2299</v>
      </c>
      <c r="C611" s="291" t="s">
        <v>5802</v>
      </c>
      <c r="D611" s="95"/>
    </row>
    <row r="612" spans="1:5">
      <c r="D612" s="95"/>
    </row>
    <row r="613" spans="1:5">
      <c r="A613" s="291" t="s">
        <v>359</v>
      </c>
      <c r="B613" s="293" t="s">
        <v>1627</v>
      </c>
      <c r="C613" s="291" t="s">
        <v>462</v>
      </c>
      <c r="D613" s="95"/>
    </row>
    <row r="614" spans="1:5" ht="13.5" thickBot="1">
      <c r="A614" s="638" t="s">
        <v>358</v>
      </c>
      <c r="B614" s="640"/>
      <c r="C614" s="639"/>
      <c r="D614" s="95"/>
    </row>
    <row r="615" spans="1:5" ht="25.5">
      <c r="A615" s="291" t="s">
        <v>658</v>
      </c>
      <c r="B615" s="489" t="s">
        <v>664</v>
      </c>
      <c r="C615" s="291" t="s">
        <v>463</v>
      </c>
      <c r="D615" s="95"/>
    </row>
    <row r="616" spans="1:5">
      <c r="A616" s="291" t="str">
        <f>"Rok obrotowy "&amp;ro</f>
        <v>Rok obrotowy 2024</v>
      </c>
      <c r="B616" s="291" t="str">
        <f>"Geschäftsjahr "&amp;ro</f>
        <v>Geschäftsjahr 2024</v>
      </c>
      <c r="C616" s="498" t="str">
        <f>"Financial year "&amp;ro</f>
        <v>Financial year 2024</v>
      </c>
      <c r="D616" s="95"/>
    </row>
    <row r="617" spans="1:5">
      <c r="A617" s="291" t="str">
        <f>"Rok obrotowy "&amp;IF(LEN(ro)&gt;4,_xlfn.TEXTBEFORE(ro,"/")-1&amp;"/"&amp;_xlfn.TEXTAFTER(ro,"/")-1,ro-1)</f>
        <v>Rok obrotowy 2023</v>
      </c>
      <c r="B617" s="291" t="str">
        <f>"Geschäftsjahr "&amp;IF(LEN(ro)&gt;4,_xlfn.TEXTBEFORE(ro,"/")-1&amp;"/"&amp;_xlfn.TEXTAFTER(ro,"/")-1,ro-1)</f>
        <v>Geschäftsjahr 2023</v>
      </c>
      <c r="C617" s="498" t="str">
        <f>"Financial year "&amp;IF(LEN(ro)&gt;4,_xlfn.TEXTBEFORE(ro,"/")-1&amp;"/"&amp;_xlfn.TEXTAFTER(ro,"/")-1,ro-1)</f>
        <v>Financial year 2023</v>
      </c>
      <c r="D617" s="524"/>
    </row>
    <row r="618" spans="1:5">
      <c r="A618" s="291" t="s">
        <v>659</v>
      </c>
      <c r="B618" s="293" t="s">
        <v>1626</v>
      </c>
      <c r="C618" s="291" t="s">
        <v>464</v>
      </c>
      <c r="D618" s="95"/>
    </row>
    <row r="619" spans="1:5" ht="25.5">
      <c r="A619" s="291" t="s">
        <v>1129</v>
      </c>
      <c r="B619" s="293" t="s">
        <v>2231</v>
      </c>
      <c r="C619" s="498" t="s">
        <v>4573</v>
      </c>
      <c r="D619" s="95"/>
    </row>
    <row r="620" spans="1:5">
      <c r="A620" s="291" t="s">
        <v>517</v>
      </c>
      <c r="B620" s="293" t="s">
        <v>2235</v>
      </c>
      <c r="C620" s="291" t="s">
        <v>775</v>
      </c>
      <c r="D620" s="95"/>
    </row>
    <row r="621" spans="1:5" ht="25.5">
      <c r="A621" s="291" t="s">
        <v>776</v>
      </c>
      <c r="B621" s="489" t="s">
        <v>563</v>
      </c>
      <c r="C621" s="291" t="s">
        <v>1498</v>
      </c>
      <c r="D621" s="95"/>
    </row>
    <row r="622" spans="1:5" ht="25.5">
      <c r="A622" s="291" t="s">
        <v>1109</v>
      </c>
      <c r="B622" s="489" t="s">
        <v>1382</v>
      </c>
      <c r="C622" s="291" t="s">
        <v>1275</v>
      </c>
      <c r="D622" s="95"/>
    </row>
    <row r="623" spans="1:5">
      <c r="A623" s="291" t="s">
        <v>835</v>
      </c>
      <c r="B623" s="293" t="s">
        <v>665</v>
      </c>
      <c r="C623" s="291" t="s">
        <v>465</v>
      </c>
      <c r="D623" s="95"/>
    </row>
    <row r="624" spans="1:5">
      <c r="A624" s="291" t="s">
        <v>1466</v>
      </c>
      <c r="B624" s="489" t="s">
        <v>666</v>
      </c>
      <c r="C624" s="291" t="s">
        <v>466</v>
      </c>
      <c r="D624" s="95"/>
      <c r="E624" s="520"/>
    </row>
    <row r="625" spans="1:5">
      <c r="A625" s="291" t="s">
        <v>446</v>
      </c>
      <c r="B625" s="489" t="s">
        <v>667</v>
      </c>
      <c r="C625" s="291" t="s">
        <v>1219</v>
      </c>
      <c r="D625" s="95"/>
      <c r="E625" s="520"/>
    </row>
    <row r="626" spans="1:5" ht="25.5">
      <c r="A626" s="291" t="str">
        <f>"Stan na 
"&amp;dzbo</f>
        <v>Stan na 
19.10.2023</v>
      </c>
      <c r="B626" s="291" t="str">
        <f>"Stand zum 
"&amp;dzbo</f>
        <v>Stand zum 
19.10.2023</v>
      </c>
      <c r="C626" s="291" t="str">
        <f>"Balance as of 
"&amp;dzbo</f>
        <v>Balance as of 
19.10.2023</v>
      </c>
      <c r="D626" s="95"/>
      <c r="E626" s="520"/>
    </row>
    <row r="627" spans="1:5" ht="25.5">
      <c r="A627" s="291" t="str">
        <f>"Stan na 
"&amp;pdzo</f>
        <v>Stan na 
19.10.2022</v>
      </c>
      <c r="B627" s="291" t="str">
        <f>"Stand zum 
"&amp;pdzo</f>
        <v>Stand zum 
19.10.2022</v>
      </c>
      <c r="C627" s="291" t="str">
        <f>"Balance as of 
"&amp;pdzo</f>
        <v>Balance as of 
19.10.2022</v>
      </c>
      <c r="D627" s="95"/>
      <c r="E627" s="520"/>
    </row>
    <row r="628" spans="1:5">
      <c r="A628" s="291" t="s">
        <v>5559</v>
      </c>
      <c r="B628" s="293" t="s">
        <v>5685</v>
      </c>
      <c r="C628" s="508" t="s">
        <v>5610</v>
      </c>
      <c r="D628" s="95"/>
      <c r="E628" s="520"/>
    </row>
    <row r="629" spans="1:5">
      <c r="A629" s="291" t="s">
        <v>2209</v>
      </c>
      <c r="B629" s="293" t="s">
        <v>2211</v>
      </c>
      <c r="C629" s="291" t="s">
        <v>2412</v>
      </c>
      <c r="D629" s="95"/>
      <c r="E629" s="520"/>
    </row>
    <row r="630" spans="1:5">
      <c r="A630" s="291" t="s">
        <v>2210</v>
      </c>
      <c r="B630" s="293" t="s">
        <v>2212</v>
      </c>
      <c r="C630" s="291" t="s">
        <v>2413</v>
      </c>
      <c r="D630" s="95"/>
      <c r="E630" s="520"/>
    </row>
    <row r="631" spans="1:5">
      <c r="B631" s="293"/>
      <c r="D631" s="95"/>
      <c r="E631" s="520"/>
    </row>
    <row r="632" spans="1:5" ht="25.5">
      <c r="A632" s="291" t="s">
        <v>2207</v>
      </c>
      <c r="B632" s="293" t="s">
        <v>2356</v>
      </c>
      <c r="C632" s="291" t="s">
        <v>2208</v>
      </c>
      <c r="D632" s="95"/>
      <c r="E632" s="520"/>
    </row>
    <row r="633" spans="1:5">
      <c r="A633" s="291" t="s">
        <v>5560</v>
      </c>
      <c r="B633" s="293" t="s">
        <v>5686</v>
      </c>
      <c r="C633" s="508" t="s">
        <v>5611</v>
      </c>
      <c r="D633" s="95"/>
      <c r="E633" s="520"/>
    </row>
    <row r="634" spans="1:5" ht="25.5">
      <c r="A634" s="291" t="s">
        <v>5561</v>
      </c>
      <c r="B634" s="293" t="s">
        <v>5687</v>
      </c>
      <c r="C634" s="508" t="s">
        <v>6437</v>
      </c>
      <c r="D634" s="95"/>
      <c r="E634" s="520"/>
    </row>
    <row r="635" spans="1:5">
      <c r="A635" s="291" t="s">
        <v>2209</v>
      </c>
      <c r="B635" s="293" t="s">
        <v>2211</v>
      </c>
      <c r="C635" s="291" t="s">
        <v>2412</v>
      </c>
      <c r="D635" s="95"/>
      <c r="E635" s="520"/>
    </row>
    <row r="636" spans="1:5">
      <c r="A636" s="291" t="s">
        <v>5560</v>
      </c>
      <c r="B636" s="293" t="s">
        <v>5686</v>
      </c>
      <c r="C636" s="291" t="s">
        <v>5612</v>
      </c>
      <c r="D636" s="95"/>
    </row>
    <row r="637" spans="1:5">
      <c r="A637" s="291" t="s">
        <v>448</v>
      </c>
      <c r="B637" s="489" t="s">
        <v>669</v>
      </c>
      <c r="C637" s="291" t="s">
        <v>1939</v>
      </c>
      <c r="D637" s="95"/>
    </row>
    <row r="638" spans="1:5" ht="25.5">
      <c r="A638" s="291" t="str">
        <f>"Stan na 
"&amp;pdz</f>
        <v>Stan na 
31.12.2023</v>
      </c>
      <c r="B638" s="291" t="str">
        <f>"Stand zum 
"&amp;pdz</f>
        <v>Stand zum 
31.12.2023</v>
      </c>
      <c r="C638" s="291" t="str">
        <f>"Balance as of 
"&amp;pdz</f>
        <v>Balance as of 
31.12.2023</v>
      </c>
      <c r="D638" s="95"/>
    </row>
    <row r="639" spans="1:5" ht="25.5">
      <c r="A639" s="291" t="str">
        <f>"Stan na 
"&amp;dzb</f>
        <v>Stan na 
31.12.2024</v>
      </c>
      <c r="B639" s="291" t="str">
        <f>"Stand zum 
"&amp;dzb</f>
        <v>Stand zum 
31.12.2024</v>
      </c>
      <c r="C639" s="291" t="str">
        <f>"Balance as of 
"&amp;dzb</f>
        <v>Balance as of 
31.12.2024</v>
      </c>
      <c r="D639" s="95"/>
    </row>
    <row r="640" spans="1:5">
      <c r="A640" s="291" t="s">
        <v>456</v>
      </c>
      <c r="B640" s="293" t="s">
        <v>2357</v>
      </c>
      <c r="C640" s="291" t="s">
        <v>418</v>
      </c>
      <c r="D640" s="95"/>
    </row>
    <row r="641" spans="1:4" ht="31.5" customHeight="1">
      <c r="A641" s="291" t="s">
        <v>456</v>
      </c>
      <c r="B641" s="293" t="s">
        <v>2357</v>
      </c>
      <c r="C641" s="291" t="s">
        <v>1471</v>
      </c>
      <c r="D641" s="95"/>
    </row>
    <row r="642" spans="1:4">
      <c r="A642" s="291" t="s">
        <v>457</v>
      </c>
      <c r="B642" s="489" t="s">
        <v>671</v>
      </c>
      <c r="C642" s="291" t="s">
        <v>469</v>
      </c>
      <c r="D642" s="95"/>
    </row>
    <row r="643" spans="1:4" ht="25.5">
      <c r="A643" s="291" t="str">
        <f>"Pozycja nie wystąpiła zarówno w roku obrotowym "&amp;ro&amp;", jak i w roku poprzednim."</f>
        <v>Pozycja nie wystąpiła zarówno w roku obrotowym 2024, jak i w roku poprzednim.</v>
      </c>
      <c r="B643" s="291" t="str">
        <f>"Diese Position wurde weder "&amp;ro&amp;" noch im Vorjahr ausgewiesen."</f>
        <v>Diese Position wurde weder 2024 noch im Vorjahr ausgewiesen.</v>
      </c>
      <c r="C643" s="291" t="str">
        <f>"There was no such item either in the FY "&amp;ro&amp;" or in the preceding year."</f>
        <v>There was no such item either in the FY 2024 or in the preceding year.</v>
      </c>
      <c r="D643" s="95"/>
    </row>
    <row r="644" spans="1:4" ht="25.5">
      <c r="A644" s="291" t="str">
        <f>"Pozycja nie wystąpiła w bieżącym roku obrotowym."</f>
        <v>Pozycja nie wystąpiła w bieżącym roku obrotowym.</v>
      </c>
      <c r="B644" s="291" t="str">
        <f>"Diese Position wurde im Geschäftsjahr "&amp;ro&amp;" nicht ausgewiesen."</f>
        <v>Diese Position wurde im Geschäftsjahr 2024 nicht ausgewiesen.</v>
      </c>
      <c r="C644" s="291" t="str">
        <f>"There was no such item in the FY "&amp;ro&amp;"."</f>
        <v>There was no such item in the FY 2024.</v>
      </c>
      <c r="D644" s="95"/>
    </row>
    <row r="645" spans="1:4" ht="13.5" thickBot="1">
      <c r="A645" s="638" t="s">
        <v>360</v>
      </c>
      <c r="B645" s="640"/>
      <c r="C645" s="639"/>
      <c r="D645" s="95"/>
    </row>
    <row r="646" spans="1:4" ht="25.5">
      <c r="A646" s="291" t="s">
        <v>836</v>
      </c>
      <c r="B646" s="293" t="s">
        <v>1787</v>
      </c>
      <c r="C646" s="291" t="s">
        <v>1287</v>
      </c>
      <c r="D646" s="95"/>
    </row>
    <row r="647" spans="1:4" ht="25.5">
      <c r="A647" s="525" t="s">
        <v>4574</v>
      </c>
      <c r="B647" s="293" t="s">
        <v>1384</v>
      </c>
      <c r="C647" s="291" t="s">
        <v>4575</v>
      </c>
      <c r="D647" s="95"/>
    </row>
    <row r="648" spans="1:4" ht="25.5">
      <c r="A648" s="291" t="s">
        <v>2198</v>
      </c>
      <c r="B648" s="293" t="s">
        <v>2232</v>
      </c>
      <c r="C648" s="291" t="s">
        <v>4576</v>
      </c>
      <c r="D648" s="95"/>
    </row>
    <row r="649" spans="1:4">
      <c r="A649" s="291" t="s">
        <v>402</v>
      </c>
      <c r="B649" s="293" t="s">
        <v>565</v>
      </c>
      <c r="C649" s="291" t="s">
        <v>322</v>
      </c>
      <c r="D649" s="95"/>
    </row>
    <row r="650" spans="1:4">
      <c r="A650" s="291" t="s">
        <v>1482</v>
      </c>
      <c r="B650" s="293" t="s">
        <v>566</v>
      </c>
      <c r="C650" s="291" t="s">
        <v>323</v>
      </c>
      <c r="D650" s="95"/>
    </row>
    <row r="651" spans="1:4">
      <c r="A651" s="291" t="s">
        <v>309</v>
      </c>
      <c r="B651" s="293" t="s">
        <v>567</v>
      </c>
      <c r="C651" s="291" t="s">
        <v>324</v>
      </c>
      <c r="D651" s="95"/>
    </row>
    <row r="652" spans="1:4">
      <c r="A652" s="291" t="s">
        <v>527</v>
      </c>
      <c r="B652" s="293" t="s">
        <v>1385</v>
      </c>
      <c r="C652" s="291" t="s">
        <v>1142</v>
      </c>
      <c r="D652" s="95"/>
    </row>
    <row r="653" spans="1:4">
      <c r="A653" s="291" t="s">
        <v>528</v>
      </c>
      <c r="B653" s="293" t="s">
        <v>1386</v>
      </c>
      <c r="C653" s="291" t="s">
        <v>4577</v>
      </c>
      <c r="D653" s="95"/>
    </row>
    <row r="654" spans="1:4" ht="13.5" thickBot="1">
      <c r="A654" s="638" t="s">
        <v>361</v>
      </c>
      <c r="B654" s="640"/>
      <c r="C654" s="639"/>
      <c r="D654" s="95"/>
    </row>
    <row r="655" spans="1:4" ht="25.5">
      <c r="A655" s="291" t="s">
        <v>837</v>
      </c>
      <c r="B655" s="293" t="s">
        <v>672</v>
      </c>
      <c r="C655" s="291" t="s">
        <v>325</v>
      </c>
      <c r="D655" s="95"/>
    </row>
    <row r="656" spans="1:4">
      <c r="A656" s="291" t="s">
        <v>531</v>
      </c>
      <c r="B656" s="293" t="s">
        <v>1390</v>
      </c>
      <c r="C656" s="291" t="s">
        <v>4578</v>
      </c>
      <c r="D656" s="95"/>
    </row>
    <row r="657" spans="1:10" ht="25.5">
      <c r="A657" s="291" t="s">
        <v>646</v>
      </c>
      <c r="B657" s="293" t="s">
        <v>673</v>
      </c>
      <c r="C657" s="291" t="s">
        <v>1496</v>
      </c>
      <c r="D657" s="95"/>
    </row>
    <row r="658" spans="1:10">
      <c r="A658" s="291" t="s">
        <v>532</v>
      </c>
      <c r="B658" s="293" t="s">
        <v>1391</v>
      </c>
      <c r="C658" s="291" t="s">
        <v>1147</v>
      </c>
      <c r="D658" s="95"/>
    </row>
    <row r="659" spans="1:10">
      <c r="A659" s="291" t="s">
        <v>262</v>
      </c>
      <c r="B659" s="293" t="s">
        <v>1396</v>
      </c>
      <c r="C659" s="291" t="s">
        <v>207</v>
      </c>
      <c r="D659" s="95"/>
    </row>
    <row r="660" spans="1:10" ht="25.5">
      <c r="A660" s="291" t="s">
        <v>2455</v>
      </c>
      <c r="B660" s="293" t="s">
        <v>2858</v>
      </c>
      <c r="C660" s="291" t="s">
        <v>2949</v>
      </c>
      <c r="D660" s="95"/>
    </row>
    <row r="661" spans="1:10" ht="13.5" thickBot="1">
      <c r="A661" s="638" t="s">
        <v>2137</v>
      </c>
      <c r="B661" s="640"/>
      <c r="C661" s="639"/>
      <c r="D661" s="524"/>
      <c r="E661" s="520"/>
    </row>
    <row r="662" spans="1:10" ht="63.75">
      <c r="A662" s="487" t="s">
        <v>6426</v>
      </c>
      <c r="B662" s="487" t="s">
        <v>6427</v>
      </c>
      <c r="C662" s="487" t="s">
        <v>6428</v>
      </c>
      <c r="D662" s="524"/>
      <c r="E662" s="520"/>
    </row>
    <row r="663" spans="1:10">
      <c r="A663" s="291" t="s">
        <v>2163</v>
      </c>
      <c r="B663" s="526" t="s">
        <v>674</v>
      </c>
      <c r="C663" s="291" t="s">
        <v>449</v>
      </c>
      <c r="D663" s="524"/>
      <c r="E663" s="520"/>
    </row>
    <row r="664" spans="1:10" ht="25.5">
      <c r="A664" s="291" t="s">
        <v>5562</v>
      </c>
      <c r="B664" s="526" t="s">
        <v>5688</v>
      </c>
      <c r="C664" s="291" t="s">
        <v>5613</v>
      </c>
      <c r="D664" s="524"/>
      <c r="E664" s="520"/>
    </row>
    <row r="665" spans="1:10" ht="25.5">
      <c r="A665" s="293" t="s">
        <v>6669</v>
      </c>
      <c r="B665" s="671" t="s">
        <v>5688</v>
      </c>
      <c r="C665" s="669" t="s">
        <v>5613</v>
      </c>
      <c r="D665" s="524"/>
      <c r="E665" s="520"/>
    </row>
    <row r="666" spans="1:10" ht="51" customHeight="1">
      <c r="A666" s="291" t="s">
        <v>5564</v>
      </c>
      <c r="B666" s="526" t="s">
        <v>5689</v>
      </c>
      <c r="C666" s="291" t="s">
        <v>449</v>
      </c>
      <c r="E666" s="527"/>
      <c r="F666" s="527"/>
      <c r="G666" s="527"/>
      <c r="H666" s="527"/>
      <c r="I666" s="527"/>
      <c r="J666" s="527"/>
    </row>
    <row r="667" spans="1:10">
      <c r="A667" s="291" t="s">
        <v>5565</v>
      </c>
      <c r="B667" s="526" t="s">
        <v>5690</v>
      </c>
      <c r="C667" s="291" t="s">
        <v>5614</v>
      </c>
      <c r="D667" s="528"/>
      <c r="E667" s="528"/>
      <c r="F667" s="528"/>
      <c r="G667" s="528"/>
      <c r="H667" s="528"/>
      <c r="I667" s="528"/>
      <c r="J667" s="528"/>
    </row>
    <row r="668" spans="1:10" ht="51">
      <c r="A668" s="291" t="s">
        <v>2164</v>
      </c>
      <c r="B668" s="293" t="s">
        <v>4580</v>
      </c>
      <c r="C668" s="291" t="s">
        <v>4579</v>
      </c>
      <c r="D668" s="528"/>
      <c r="E668" s="528"/>
      <c r="F668" s="528"/>
      <c r="G668" s="528"/>
      <c r="H668" s="528"/>
      <c r="I668" s="528"/>
      <c r="J668" s="528"/>
    </row>
    <row r="669" spans="1:10" ht="51">
      <c r="A669" s="291" t="s">
        <v>5563</v>
      </c>
      <c r="B669" s="293" t="s">
        <v>5691</v>
      </c>
      <c r="C669" s="291" t="s">
        <v>5615</v>
      </c>
      <c r="D669" s="528"/>
      <c r="E669" s="528"/>
      <c r="F669" s="528"/>
      <c r="G669" s="528"/>
      <c r="H669" s="528"/>
      <c r="I669" s="528"/>
      <c r="J669" s="528"/>
    </row>
    <row r="670" spans="1:10" ht="51">
      <c r="A670" s="293" t="s">
        <v>6670</v>
      </c>
      <c r="B670" s="670" t="s">
        <v>5691</v>
      </c>
      <c r="C670" s="669" t="s">
        <v>5615</v>
      </c>
      <c r="D670" s="528"/>
      <c r="E670" s="528"/>
      <c r="F670" s="528"/>
      <c r="G670" s="528"/>
      <c r="H670" s="528"/>
      <c r="I670" s="528"/>
      <c r="J670" s="528"/>
    </row>
    <row r="671" spans="1:10" ht="38.25">
      <c r="A671" s="291" t="s">
        <v>6414</v>
      </c>
      <c r="B671" s="293" t="s">
        <v>6415</v>
      </c>
      <c r="C671" s="291" t="s">
        <v>6416</v>
      </c>
      <c r="D671" s="528"/>
      <c r="E671" s="528"/>
      <c r="F671" s="528"/>
      <c r="G671" s="528"/>
      <c r="H671" s="528"/>
      <c r="I671" s="528"/>
      <c r="J671" s="528"/>
    </row>
    <row r="672" spans="1:10">
      <c r="A672" s="291" t="s">
        <v>5566</v>
      </c>
      <c r="B672" s="293" t="s">
        <v>5692</v>
      </c>
      <c r="C672" s="291" t="s">
        <v>5616</v>
      </c>
      <c r="D672" s="95"/>
    </row>
    <row r="673" spans="1:5" ht="25.5">
      <c r="A673" s="291" t="s">
        <v>5567</v>
      </c>
      <c r="B673" s="293" t="s">
        <v>5568</v>
      </c>
      <c r="C673" s="291" t="s">
        <v>1222</v>
      </c>
      <c r="D673" s="95"/>
    </row>
    <row r="674" spans="1:5" ht="76.5">
      <c r="A674" s="291" t="s">
        <v>4581</v>
      </c>
      <c r="B674" s="293" t="s">
        <v>4582</v>
      </c>
      <c r="C674" s="291" t="s">
        <v>4583</v>
      </c>
      <c r="D674" s="524"/>
      <c r="E674" s="493"/>
    </row>
    <row r="675" spans="1:5" ht="51">
      <c r="A675" s="291" t="s">
        <v>374</v>
      </c>
      <c r="B675" s="293" t="s">
        <v>2300</v>
      </c>
      <c r="C675" s="291" t="s">
        <v>1940</v>
      </c>
      <c r="D675" s="95"/>
    </row>
    <row r="676" spans="1:5" ht="51">
      <c r="A676" s="291" t="s">
        <v>1312</v>
      </c>
      <c r="B676" s="293" t="s">
        <v>2358</v>
      </c>
      <c r="C676" s="291" t="s">
        <v>450</v>
      </c>
      <c r="D676" s="524"/>
      <c r="E676" s="520"/>
    </row>
    <row r="677" spans="1:5" ht="25.5">
      <c r="A677" s="291" t="s">
        <v>4613</v>
      </c>
      <c r="B677" s="293" t="s">
        <v>4614</v>
      </c>
      <c r="C677" s="291" t="s">
        <v>1941</v>
      </c>
      <c r="D677" s="524"/>
      <c r="E677" s="524"/>
    </row>
    <row r="678" spans="1:5">
      <c r="A678" s="291" t="s">
        <v>4615</v>
      </c>
      <c r="B678" s="293" t="s">
        <v>5844</v>
      </c>
      <c r="C678" s="291" t="s">
        <v>326</v>
      </c>
      <c r="D678" s="95"/>
      <c r="E678" s="524"/>
    </row>
    <row r="679" spans="1:5">
      <c r="A679" s="291" t="s">
        <v>4616</v>
      </c>
      <c r="B679" s="293" t="s">
        <v>4618</v>
      </c>
      <c r="C679" s="291" t="s">
        <v>327</v>
      </c>
      <c r="D679" s="95"/>
      <c r="E679" s="524"/>
    </row>
    <row r="680" spans="1:5">
      <c r="A680" s="291" t="s">
        <v>4617</v>
      </c>
      <c r="B680" s="293" t="s">
        <v>4619</v>
      </c>
      <c r="C680" s="291" t="s">
        <v>328</v>
      </c>
      <c r="D680" s="95"/>
      <c r="E680" s="524"/>
    </row>
    <row r="681" spans="1:5">
      <c r="A681" s="291" t="s">
        <v>451</v>
      </c>
      <c r="B681" s="293" t="s">
        <v>4624</v>
      </c>
      <c r="C681" s="291" t="s">
        <v>329</v>
      </c>
      <c r="D681" s="95"/>
      <c r="E681" s="524"/>
    </row>
    <row r="682" spans="1:5" ht="25.5">
      <c r="A682" s="291" t="s">
        <v>4628</v>
      </c>
      <c r="B682" s="293" t="s">
        <v>4620</v>
      </c>
      <c r="C682" s="291" t="s">
        <v>1941</v>
      </c>
      <c r="D682" s="95"/>
      <c r="E682" s="524"/>
    </row>
    <row r="683" spans="1:5">
      <c r="A683" s="291" t="s">
        <v>4627</v>
      </c>
      <c r="B683" s="293" t="s">
        <v>5845</v>
      </c>
      <c r="C683" s="291" t="s">
        <v>326</v>
      </c>
      <c r="D683" s="95"/>
      <c r="E683" s="524"/>
    </row>
    <row r="684" spans="1:5">
      <c r="A684" s="291" t="s">
        <v>4626</v>
      </c>
      <c r="B684" s="293" t="s">
        <v>4621</v>
      </c>
      <c r="C684" s="291" t="s">
        <v>327</v>
      </c>
      <c r="D684" s="95"/>
      <c r="E684" s="524"/>
    </row>
    <row r="685" spans="1:5">
      <c r="A685" s="291" t="s">
        <v>4625</v>
      </c>
      <c r="B685" s="293" t="s">
        <v>4622</v>
      </c>
      <c r="C685" s="291" t="s">
        <v>328</v>
      </c>
      <c r="D685" s="95"/>
      <c r="E685" s="524"/>
    </row>
    <row r="686" spans="1:5">
      <c r="A686" s="291" t="s">
        <v>451</v>
      </c>
      <c r="B686" s="293" t="s">
        <v>4623</v>
      </c>
      <c r="C686" s="291" t="s">
        <v>329</v>
      </c>
      <c r="D686" s="95"/>
    </row>
    <row r="687" spans="1:5" ht="51">
      <c r="A687" s="291" t="str">
        <f>"W ciągu roku obrotowego "&amp;ro&amp;", ani do dnia sporządzenia sprawozdania finansowego, nie wystąpiły zmiany w strukturze własności kapitału podstawowego."</f>
        <v>W ciągu roku obrotowego 2024, ani do dnia sporządzenia sprawozdania finansowego, nie wystąpiły zmiany w strukturze własności kapitału podstawowego.</v>
      </c>
      <c r="B687" s="291" t="str">
        <f>"Im Laufe des Geschäftsjahres "&amp;ro&amp;" änderte sich die Eigentumsstruktur des gezeichneten Kapitals nicht."</f>
        <v>Im Laufe des Geschäftsjahres 2024 änderte sich die Eigentumsstruktur des gezeichneten Kapitals nicht.</v>
      </c>
      <c r="C687" s="291" t="str">
        <f>"The share capital ownership structure did not change in the financial year "&amp;ro&amp;"."</f>
        <v>The share capital ownership structure did not change in the financial year 2024.</v>
      </c>
      <c r="D687" s="95"/>
    </row>
    <row r="688" spans="1:5" ht="51">
      <c r="A688" s="291" t="s">
        <v>6671</v>
      </c>
      <c r="B688" s="291" t="s">
        <v>6731</v>
      </c>
      <c r="C688" s="291" t="s">
        <v>6758</v>
      </c>
      <c r="D688" s="95"/>
    </row>
    <row r="689" spans="1:4" ht="63.75">
      <c r="A689" s="291" t="s">
        <v>2103</v>
      </c>
      <c r="B689" s="293" t="s">
        <v>2359</v>
      </c>
      <c r="C689" s="291" t="s">
        <v>2104</v>
      </c>
      <c r="D689" s="95"/>
    </row>
    <row r="690" spans="1:4" ht="25.5">
      <c r="A690" s="291" t="s">
        <v>4629</v>
      </c>
      <c r="B690" s="293" t="s">
        <v>4630</v>
      </c>
      <c r="C690" s="291" t="s">
        <v>4631</v>
      </c>
      <c r="D690" s="95"/>
    </row>
    <row r="691" spans="1:4">
      <c r="A691" s="291" t="s">
        <v>1214</v>
      </c>
      <c r="B691" s="293" t="s">
        <v>1327</v>
      </c>
      <c r="C691" s="291" t="s">
        <v>237</v>
      </c>
      <c r="D691" s="95"/>
    </row>
    <row r="692" spans="1:4">
      <c r="A692" s="291" t="s">
        <v>1215</v>
      </c>
      <c r="B692" s="293" t="s">
        <v>675</v>
      </c>
      <c r="C692" s="291" t="s">
        <v>238</v>
      </c>
      <c r="D692" s="95"/>
    </row>
    <row r="693" spans="1:4">
      <c r="A693" s="291" t="s">
        <v>1216</v>
      </c>
      <c r="B693" s="293" t="s">
        <v>5846</v>
      </c>
      <c r="C693" s="291" t="s">
        <v>239</v>
      </c>
      <c r="D693" s="95"/>
    </row>
    <row r="694" spans="1:4">
      <c r="A694" s="291" t="s">
        <v>1217</v>
      </c>
      <c r="B694" s="293" t="s">
        <v>1585</v>
      </c>
      <c r="C694" s="291" t="s">
        <v>767</v>
      </c>
      <c r="D694" s="95"/>
    </row>
    <row r="695" spans="1:4">
      <c r="A695" s="291" t="s">
        <v>846</v>
      </c>
      <c r="B695" s="293" t="s">
        <v>1328</v>
      </c>
      <c r="C695" s="291" t="s">
        <v>1218</v>
      </c>
      <c r="D695" s="95"/>
    </row>
    <row r="696" spans="1:4">
      <c r="A696" s="291" t="s">
        <v>847</v>
      </c>
      <c r="B696" s="293" t="s">
        <v>1329</v>
      </c>
      <c r="C696" s="291" t="s">
        <v>428</v>
      </c>
      <c r="D696" s="95"/>
    </row>
    <row r="697" spans="1:4">
      <c r="A697" s="291" t="s">
        <v>446</v>
      </c>
      <c r="B697" s="293" t="s">
        <v>667</v>
      </c>
      <c r="C697" s="291" t="s">
        <v>1219</v>
      </c>
      <c r="D697" s="95"/>
    </row>
    <row r="698" spans="1:4">
      <c r="A698" s="291" t="s">
        <v>2213</v>
      </c>
      <c r="B698" s="293" t="s">
        <v>2090</v>
      </c>
      <c r="C698" s="291" t="s">
        <v>2214</v>
      </c>
      <c r="D698" s="95"/>
    </row>
    <row r="699" spans="1:4" ht="25.5">
      <c r="A699" s="291" t="s">
        <v>1220</v>
      </c>
      <c r="B699" s="293" t="s">
        <v>5859</v>
      </c>
      <c r="C699" s="291" t="s">
        <v>1221</v>
      </c>
      <c r="D699" s="95"/>
    </row>
    <row r="700" spans="1:4">
      <c r="A700" s="291" t="str">
        <f>"Stan na "&amp;dzbo&amp;" po korektach"</f>
        <v>Stan na 19.10.2023 po korektach</v>
      </c>
      <c r="B700" s="291" t="str">
        <f>"Stand zum "&amp;dzbo&amp;" nach Korrekturen"</f>
        <v>Stand zum 19.10.2023 nach Korrekturen</v>
      </c>
      <c r="C700" s="291" t="str">
        <f>"Balance as of "&amp;dzbo&amp;" after corrections"</f>
        <v>Balance as of 19.10.2023 after corrections</v>
      </c>
      <c r="D700" s="95"/>
    </row>
    <row r="701" spans="1:4">
      <c r="A701" s="291" t="str">
        <f>"Stan na "&amp;pdzo&amp;" po korektach"</f>
        <v>Stan na 19.10.2022 po korektach</v>
      </c>
      <c r="B701" s="291" t="str">
        <f>"Stand zum "&amp;pdzo&amp;" nach Korrekturen"</f>
        <v>Stand zum 19.10.2022 nach Korrekturen</v>
      </c>
      <c r="C701" s="291" t="str">
        <f>"Balance as of "&amp;pdzo&amp;" after corrections"</f>
        <v>Balance as of 19.10.2022 after corrections</v>
      </c>
      <c r="D701" s="95"/>
    </row>
    <row r="702" spans="1:4">
      <c r="A702" s="291" t="s">
        <v>445</v>
      </c>
      <c r="B702" s="293" t="s">
        <v>676</v>
      </c>
      <c r="C702" s="291" t="s">
        <v>467</v>
      </c>
      <c r="D702" s="95"/>
    </row>
    <row r="703" spans="1:4">
      <c r="A703" s="291" t="s">
        <v>447</v>
      </c>
      <c r="B703" s="293" t="s">
        <v>677</v>
      </c>
      <c r="C703" s="291" t="s">
        <v>468</v>
      </c>
      <c r="D703" s="95"/>
    </row>
    <row r="704" spans="1:4">
      <c r="A704" s="291" t="s">
        <v>448</v>
      </c>
      <c r="B704" s="293" t="s">
        <v>669</v>
      </c>
      <c r="C704" s="291" t="s">
        <v>1222</v>
      </c>
      <c r="D704" s="95"/>
    </row>
    <row r="705" spans="1:4" ht="25.5">
      <c r="A705" s="291" t="s">
        <v>452</v>
      </c>
      <c r="B705" s="293" t="s">
        <v>2301</v>
      </c>
      <c r="C705" s="291" t="s">
        <v>453</v>
      </c>
      <c r="D705" s="493"/>
    </row>
    <row r="706" spans="1:4" ht="13.5" thickBot="1">
      <c r="A706" s="638" t="s">
        <v>1100</v>
      </c>
      <c r="B706" s="640"/>
      <c r="C706" s="639"/>
      <c r="D706" s="95"/>
    </row>
    <row r="707" spans="1:4">
      <c r="A707" s="291" t="s">
        <v>919</v>
      </c>
      <c r="B707" s="293" t="s">
        <v>1331</v>
      </c>
      <c r="C707" s="291" t="s">
        <v>943</v>
      </c>
      <c r="D707" s="95"/>
    </row>
    <row r="708" spans="1:4">
      <c r="A708" s="291" t="s">
        <v>831</v>
      </c>
      <c r="B708" s="293" t="s">
        <v>680</v>
      </c>
      <c r="C708" s="291" t="s">
        <v>1290</v>
      </c>
      <c r="D708" s="95"/>
    </row>
    <row r="709" spans="1:4">
      <c r="A709" s="291" t="s">
        <v>446</v>
      </c>
      <c r="B709" s="293" t="s">
        <v>667</v>
      </c>
      <c r="C709" s="291" t="s">
        <v>1219</v>
      </c>
      <c r="D709" s="95"/>
    </row>
    <row r="710" spans="1:4">
      <c r="A710" s="291" t="s">
        <v>445</v>
      </c>
      <c r="B710" s="293" t="s">
        <v>676</v>
      </c>
      <c r="C710" s="291" t="s">
        <v>467</v>
      </c>
      <c r="D710" s="95"/>
    </row>
    <row r="711" spans="1:4" ht="25.5">
      <c r="A711" s="291" t="s">
        <v>1223</v>
      </c>
      <c r="B711" s="293" t="s">
        <v>6473</v>
      </c>
      <c r="C711" s="291" t="s">
        <v>1224</v>
      </c>
      <c r="D711" s="95"/>
    </row>
    <row r="712" spans="1:4">
      <c r="A712" s="291" t="s">
        <v>1225</v>
      </c>
      <c r="B712" s="293" t="s">
        <v>679</v>
      </c>
      <c r="C712" s="291" t="s">
        <v>1226</v>
      </c>
      <c r="D712" s="95"/>
    </row>
    <row r="713" spans="1:4">
      <c r="A713" s="291" t="s">
        <v>448</v>
      </c>
      <c r="B713" s="293" t="s">
        <v>669</v>
      </c>
      <c r="C713" s="291" t="s">
        <v>1222</v>
      </c>
      <c r="D713" s="95"/>
    </row>
    <row r="714" spans="1:4">
      <c r="A714" s="291" t="s">
        <v>835</v>
      </c>
      <c r="B714" s="293" t="s">
        <v>665</v>
      </c>
      <c r="C714" s="291" t="s">
        <v>465</v>
      </c>
      <c r="D714" s="95"/>
    </row>
    <row r="715" spans="1:4">
      <c r="A715" s="291" t="str">
        <f>"Stan na "&amp;dzbo</f>
        <v>Stan na 19.10.2023</v>
      </c>
      <c r="B715" s="291" t="str">
        <f>"Stand zum "&amp;dzbo</f>
        <v>Stand zum 19.10.2023</v>
      </c>
      <c r="C715" s="291" t="str">
        <f>"Balance as of "&amp;dzbo</f>
        <v>Balance as of 19.10.2023</v>
      </c>
      <c r="D715" s="95"/>
    </row>
    <row r="716" spans="1:4">
      <c r="A716" s="291" t="str">
        <f>"Stan na "&amp;dzb</f>
        <v>Stan na 31.12.2024</v>
      </c>
      <c r="B716" s="291" t="str">
        <f>"Stand zum "&amp;dzb</f>
        <v>Stand zum 31.12.2024</v>
      </c>
      <c r="C716" s="291" t="str">
        <f>"Balance as of "&amp;dzb</f>
        <v>Balance as of 31.12.2024</v>
      </c>
      <c r="D716" s="95"/>
    </row>
    <row r="717" spans="1:4">
      <c r="A717" s="291" t="str">
        <f>"Stan na "&amp;pdzo</f>
        <v>Stan na 19.10.2022</v>
      </c>
      <c r="B717" s="291" t="str">
        <f>"Stand zum "&amp;pdzo</f>
        <v>Stand zum 19.10.2022</v>
      </c>
      <c r="C717" s="291" t="str">
        <f>"Balance as of "&amp;pdzo</f>
        <v>Balance as of 19.10.2022</v>
      </c>
      <c r="D717" s="95"/>
    </row>
    <row r="718" spans="1:4">
      <c r="A718" s="291" t="str">
        <f>"Stan na "&amp;pdz</f>
        <v>Stan na 31.12.2023</v>
      </c>
      <c r="B718" s="291" t="str">
        <f>"Stand zum "&amp;pdz</f>
        <v>Stand zum 31.12.2023</v>
      </c>
      <c r="C718" s="291" t="str">
        <f>"Balance as of "&amp;pdz</f>
        <v>Balance as of 31.12.2023</v>
      </c>
      <c r="D718" s="95"/>
    </row>
    <row r="719" spans="1:4">
      <c r="A719" s="291" t="s">
        <v>4479</v>
      </c>
      <c r="B719" s="170" t="s">
        <v>1332</v>
      </c>
      <c r="C719" s="515" t="s">
        <v>6485</v>
      </c>
      <c r="D719" s="95"/>
    </row>
    <row r="720" spans="1:4" ht="25.5">
      <c r="A720" s="291" t="s">
        <v>2159</v>
      </c>
      <c r="B720" s="291" t="s">
        <v>2237</v>
      </c>
      <c r="C720" s="291" t="s">
        <v>5803</v>
      </c>
      <c r="D720" s="95"/>
    </row>
    <row r="721" spans="1:4">
      <c r="A721" s="291" t="s">
        <v>2161</v>
      </c>
      <c r="B721" s="291" t="s">
        <v>4477</v>
      </c>
      <c r="C721" s="291" t="s">
        <v>4474</v>
      </c>
      <c r="D721" s="95"/>
    </row>
    <row r="722" spans="1:4" ht="25.5">
      <c r="A722" s="291" t="s">
        <v>2162</v>
      </c>
      <c r="B722" s="291" t="s">
        <v>4476</v>
      </c>
      <c r="C722" s="291" t="s">
        <v>4473</v>
      </c>
      <c r="D722" s="95"/>
    </row>
    <row r="723" spans="1:4" ht="25.5">
      <c r="A723" s="291" t="s">
        <v>2160</v>
      </c>
      <c r="B723" s="291" t="s">
        <v>4480</v>
      </c>
      <c r="C723" s="291" t="s">
        <v>4481</v>
      </c>
      <c r="D723" s="95"/>
    </row>
    <row r="724" spans="1:4" ht="25.5">
      <c r="A724" s="291" t="s">
        <v>4472</v>
      </c>
      <c r="B724" s="291" t="s">
        <v>4482</v>
      </c>
      <c r="C724" s="291" t="s">
        <v>4483</v>
      </c>
      <c r="D724" s="95"/>
    </row>
    <row r="725" spans="1:4">
      <c r="A725" s="291" t="s">
        <v>4485</v>
      </c>
      <c r="B725" s="291" t="s">
        <v>4478</v>
      </c>
      <c r="C725" s="291" t="s">
        <v>4475</v>
      </c>
      <c r="D725" s="95"/>
    </row>
    <row r="726" spans="1:4">
      <c r="A726" s="291" t="s">
        <v>761</v>
      </c>
      <c r="B726" s="291" t="s">
        <v>4484</v>
      </c>
      <c r="C726" s="291" t="s">
        <v>946</v>
      </c>
      <c r="D726" s="95"/>
    </row>
    <row r="727" spans="1:4">
      <c r="D727" s="95"/>
    </row>
    <row r="728" spans="1:4">
      <c r="D728" s="95"/>
    </row>
    <row r="729" spans="1:4">
      <c r="D729" s="95"/>
    </row>
    <row r="730" spans="1:4" ht="13.5" thickBot="1">
      <c r="A730" s="638" t="s">
        <v>362</v>
      </c>
      <c r="B730" s="640"/>
      <c r="C730" s="639"/>
      <c r="D730" s="95"/>
    </row>
    <row r="731" spans="1:4" ht="38.25">
      <c r="A731" s="291" t="s">
        <v>2145</v>
      </c>
      <c r="B731" s="293" t="s">
        <v>2438</v>
      </c>
      <c r="C731" s="291" t="s">
        <v>2414</v>
      </c>
      <c r="D731" s="95"/>
    </row>
    <row r="732" spans="1:4">
      <c r="B732" s="293"/>
      <c r="D732" s="95"/>
    </row>
    <row r="733" spans="1:4">
      <c r="A733" s="291" t="s">
        <v>2146</v>
      </c>
      <c r="B733" s="293" t="s">
        <v>2147</v>
      </c>
      <c r="C733" s="291" t="s">
        <v>2415</v>
      </c>
      <c r="D733" s="95"/>
    </row>
    <row r="734" spans="1:4">
      <c r="A734" s="291" t="s">
        <v>2148</v>
      </c>
      <c r="B734" s="293" t="s">
        <v>4585</v>
      </c>
      <c r="C734" s="291" t="s">
        <v>5661</v>
      </c>
      <c r="D734" s="95" t="s">
        <v>2152</v>
      </c>
    </row>
    <row r="735" spans="1:4">
      <c r="A735" s="291" t="s">
        <v>2149</v>
      </c>
      <c r="B735" s="293" t="s">
        <v>4586</v>
      </c>
      <c r="C735" s="291" t="s">
        <v>5662</v>
      </c>
      <c r="D735" s="95"/>
    </row>
    <row r="736" spans="1:4">
      <c r="A736" s="291" t="s">
        <v>2150</v>
      </c>
      <c r="B736" s="293" t="s">
        <v>2151</v>
      </c>
      <c r="C736" s="291" t="s">
        <v>2416</v>
      </c>
      <c r="D736" s="95"/>
    </row>
    <row r="737" spans="1:4" ht="25.5">
      <c r="A737" s="291" t="str">
        <f>"Należności z tytułu dostaw i usług – krótkoterminowe – stan na " &amp;dzb</f>
        <v>Należności z tytułu dostaw i usług – krótkoterminowe – stan na 31.12.2024</v>
      </c>
      <c r="B737" s="293" t="str">
        <f>"Forderungen aus Lieferungen und Leistungen – kurzfristig – Stand zum " &amp;dzb</f>
        <v>Forderungen aus Lieferungen und Leistungen – kurzfristig – Stand zum 31.12.2024</v>
      </c>
      <c r="C737" s="291" t="str">
        <f>"Trade receivables – current – as of " &amp;dzb</f>
        <v>Trade receivables – current – as of 31.12.2024</v>
      </c>
      <c r="D737" s="95"/>
    </row>
    <row r="738" spans="1:4">
      <c r="A738" s="291" t="s">
        <v>833</v>
      </c>
      <c r="B738" s="293" t="s">
        <v>615</v>
      </c>
      <c r="C738" s="291" t="s">
        <v>330</v>
      </c>
      <c r="D738" s="95"/>
    </row>
    <row r="739" spans="1:4">
      <c r="A739" s="291" t="s">
        <v>833</v>
      </c>
      <c r="B739" s="293" t="s">
        <v>616</v>
      </c>
      <c r="C739" s="293" t="s">
        <v>330</v>
      </c>
      <c r="D739" s="95"/>
    </row>
    <row r="740" spans="1:4">
      <c r="A740" s="291" t="s">
        <v>834</v>
      </c>
      <c r="B740" s="293" t="s">
        <v>617</v>
      </c>
      <c r="C740" s="291" t="s">
        <v>331</v>
      </c>
      <c r="D740" s="95"/>
    </row>
    <row r="741" spans="1:4">
      <c r="A741" s="291" t="s">
        <v>834</v>
      </c>
      <c r="B741" s="293" t="s">
        <v>618</v>
      </c>
      <c r="C741" s="293" t="s">
        <v>331</v>
      </c>
      <c r="D741" s="95"/>
    </row>
    <row r="742" spans="1:4">
      <c r="A742" s="291" t="s">
        <v>1982</v>
      </c>
      <c r="B742" s="293" t="s">
        <v>1985</v>
      </c>
      <c r="C742" s="291" t="s">
        <v>332</v>
      </c>
      <c r="D742" s="95"/>
    </row>
    <row r="743" spans="1:4">
      <c r="A743" s="291" t="s">
        <v>1983</v>
      </c>
      <c r="B743" s="293" t="s">
        <v>1986</v>
      </c>
      <c r="C743" s="291" t="s">
        <v>1942</v>
      </c>
      <c r="D743" s="95"/>
    </row>
    <row r="744" spans="1:4">
      <c r="A744" s="291" t="s">
        <v>1984</v>
      </c>
      <c r="B744" s="293" t="s">
        <v>1987</v>
      </c>
      <c r="C744" s="291" t="s">
        <v>1988</v>
      </c>
      <c r="D744" s="95"/>
    </row>
    <row r="745" spans="1:4">
      <c r="A745" s="291" t="s">
        <v>363</v>
      </c>
      <c r="B745" s="293" t="s">
        <v>681</v>
      </c>
      <c r="C745" s="291" t="s">
        <v>333</v>
      </c>
      <c r="D745" s="95"/>
    </row>
    <row r="746" spans="1:4">
      <c r="A746" s="291" t="s">
        <v>397</v>
      </c>
      <c r="B746" s="293" t="s">
        <v>1016</v>
      </c>
      <c r="C746" s="291" t="s">
        <v>334</v>
      </c>
      <c r="D746" s="95"/>
    </row>
    <row r="747" spans="1:4" ht="25.5">
      <c r="A747" s="291" t="s">
        <v>364</v>
      </c>
      <c r="B747" s="293" t="s">
        <v>682</v>
      </c>
      <c r="C747" s="291" t="s">
        <v>335</v>
      </c>
      <c r="D747" s="95"/>
    </row>
    <row r="748" spans="1:4" ht="38.25">
      <c r="A748" s="291" t="s">
        <v>365</v>
      </c>
      <c r="B748" s="293" t="s">
        <v>686</v>
      </c>
      <c r="C748" s="291" t="s">
        <v>336</v>
      </c>
      <c r="D748" s="95"/>
    </row>
    <row r="749" spans="1:4" ht="51">
      <c r="A749" s="291" t="s">
        <v>365</v>
      </c>
      <c r="B749" s="293" t="s">
        <v>424</v>
      </c>
      <c r="C749" s="293" t="s">
        <v>1989</v>
      </c>
      <c r="D749" s="292"/>
    </row>
    <row r="750" spans="1:4">
      <c r="A750" s="291" t="s">
        <v>1233</v>
      </c>
      <c r="B750" s="293" t="s">
        <v>619</v>
      </c>
      <c r="C750" s="291" t="s">
        <v>1235</v>
      </c>
      <c r="D750" s="95"/>
    </row>
    <row r="751" spans="1:4" ht="25.5">
      <c r="A751" s="291" t="s">
        <v>2141</v>
      </c>
      <c r="B751" s="516" t="s">
        <v>6457</v>
      </c>
      <c r="C751" s="293" t="s">
        <v>5785</v>
      </c>
      <c r="D751" s="95"/>
    </row>
    <row r="752" spans="1:4">
      <c r="A752" s="291" t="s">
        <v>1234</v>
      </c>
      <c r="B752" s="293" t="s">
        <v>620</v>
      </c>
      <c r="C752" s="291" t="s">
        <v>1990</v>
      </c>
      <c r="D752" s="95"/>
    </row>
    <row r="753" spans="1:4">
      <c r="A753" s="291" t="s">
        <v>835</v>
      </c>
      <c r="B753" s="293" t="s">
        <v>665</v>
      </c>
      <c r="C753" s="291" t="s">
        <v>465</v>
      </c>
      <c r="D753" s="95"/>
    </row>
    <row r="754" spans="1:4">
      <c r="A754" s="291" t="s">
        <v>832</v>
      </c>
      <c r="B754" s="293" t="s">
        <v>683</v>
      </c>
      <c r="C754" s="291" t="s">
        <v>1288</v>
      </c>
      <c r="D754" s="524"/>
    </row>
    <row r="755" spans="1:4">
      <c r="A755" s="291" t="s">
        <v>396</v>
      </c>
      <c r="B755" s="293" t="s">
        <v>684</v>
      </c>
      <c r="C755" s="291" t="s">
        <v>1289</v>
      </c>
      <c r="D755" s="524"/>
    </row>
    <row r="756" spans="1:4" ht="38.25">
      <c r="A756" s="291" t="s">
        <v>6058</v>
      </c>
      <c r="B756" s="293" t="s">
        <v>6059</v>
      </c>
      <c r="C756" s="291" t="s">
        <v>6060</v>
      </c>
      <c r="D756" s="524"/>
    </row>
    <row r="757" spans="1:4" ht="25.5">
      <c r="A757" s="291" t="s">
        <v>6061</v>
      </c>
      <c r="B757" s="293" t="s">
        <v>6063</v>
      </c>
      <c r="C757" s="291" t="s">
        <v>4527</v>
      </c>
      <c r="D757" s="524"/>
    </row>
    <row r="758" spans="1:4" ht="25.5">
      <c r="A758" s="291" t="s">
        <v>6062</v>
      </c>
      <c r="B758" s="293" t="s">
        <v>6064</v>
      </c>
      <c r="C758" s="291" t="s">
        <v>4526</v>
      </c>
      <c r="D758" s="524"/>
    </row>
    <row r="759" spans="1:4" ht="25.5">
      <c r="A759" s="291" t="s">
        <v>398</v>
      </c>
      <c r="B759" s="293" t="s">
        <v>1017</v>
      </c>
      <c r="C759" s="291" t="s">
        <v>454</v>
      </c>
      <c r="D759" s="524"/>
    </row>
    <row r="760" spans="1:4" ht="38.25">
      <c r="A760" s="291" t="str">
        <f>"Zmiany stanu odpisów aktualizujących należności w ciągu roku obrotowego "&amp;ro</f>
        <v>Zmiany stanu odpisów aktualizujących należności w ciągu roku obrotowego 2024</v>
      </c>
      <c r="B760" s="291" t="str">
        <f>"Änderungen bei den Wertberichtigungen auf Forderungen im Laufe des Geschäftsjahres "&amp;ro</f>
        <v>Änderungen bei den Wertberichtigungen auf Forderungen im Laufe des Geschäftsjahres 2024</v>
      </c>
      <c r="C760" s="291" t="str">
        <f>"Movements in value adjustment write-downs of receivables during the FY "&amp;ro</f>
        <v>Movements in value adjustment write-downs of receivables during the FY 2024</v>
      </c>
      <c r="D760" s="95"/>
    </row>
    <row r="761" spans="1:4" ht="38.25">
      <c r="A761" s="291" t="str">
        <f>"Zmiany stanu odpisów aktualizujących należności w ciągu roku obrotowego "&amp;IF(LEN(ro)&gt;4,_xlfn.TEXTBEFORE(ro,"/")-1&amp;"/"&amp;_xlfn.TEXTAFTER(ro,"/")-1,ro-1)</f>
        <v>Zmiany stanu odpisów aktualizujących należności w ciągu roku obrotowego 2023</v>
      </c>
      <c r="B761" s="291" t="str">
        <f>"Änderungen bei den Wertberichtigungen auf Forderungen im Laufe des Geschäftsjahres "&amp;IF(LEN(ro)&gt;4,_xlfn.TEXTBEFORE(ro,"/")-1&amp;"/"&amp;_xlfn.TEXTAFTER(ro,"/")-1,ro-1)</f>
        <v>Änderungen bei den Wertberichtigungen auf Forderungen im Laufe des Geschäftsjahres 2023</v>
      </c>
      <c r="C761" s="508" t="str">
        <f>"Movements in value adjustment write-downs of receivables during the FY "&amp;IF(LEN(ro)&gt;4,_xlfn.TEXTBEFORE(ro,"/")-1&amp;"/"&amp;_xlfn.TEXTAFTER(ro,"/")-1,ro-1)</f>
        <v>Movements in value adjustment write-downs of receivables during the FY 2023</v>
      </c>
      <c r="D761" s="95"/>
    </row>
    <row r="762" spans="1:4">
      <c r="A762" s="291" t="s">
        <v>399</v>
      </c>
      <c r="B762" s="293" t="s">
        <v>685</v>
      </c>
      <c r="C762" s="291" t="s">
        <v>1204</v>
      </c>
      <c r="D762" s="95"/>
    </row>
    <row r="763" spans="1:4">
      <c r="A763" s="291" t="s">
        <v>446</v>
      </c>
      <c r="B763" s="293" t="s">
        <v>667</v>
      </c>
      <c r="C763" s="291" t="s">
        <v>1219</v>
      </c>
      <c r="D763" s="95"/>
    </row>
    <row r="764" spans="1:4">
      <c r="A764" s="291" t="s">
        <v>445</v>
      </c>
      <c r="B764" s="293" t="s">
        <v>676</v>
      </c>
      <c r="C764" s="291" t="s">
        <v>467</v>
      </c>
      <c r="D764" s="95"/>
    </row>
    <row r="765" spans="1:4">
      <c r="A765" s="291" t="s">
        <v>1223</v>
      </c>
      <c r="B765" s="293" t="s">
        <v>678</v>
      </c>
      <c r="C765" s="291" t="s">
        <v>1224</v>
      </c>
      <c r="D765" s="95"/>
    </row>
    <row r="766" spans="1:4">
      <c r="A766" s="291" t="s">
        <v>1225</v>
      </c>
      <c r="B766" s="293" t="s">
        <v>679</v>
      </c>
      <c r="C766" s="291" t="s">
        <v>1226</v>
      </c>
      <c r="D766" s="95"/>
    </row>
    <row r="767" spans="1:4">
      <c r="A767" s="291" t="s">
        <v>448</v>
      </c>
      <c r="B767" s="293" t="s">
        <v>669</v>
      </c>
      <c r="C767" s="291" t="s">
        <v>1222</v>
      </c>
      <c r="D767" s="95"/>
    </row>
    <row r="768" spans="1:4">
      <c r="A768" s="291" t="s">
        <v>835</v>
      </c>
      <c r="B768" s="293" t="s">
        <v>665</v>
      </c>
      <c r="C768" s="291" t="s">
        <v>465</v>
      </c>
      <c r="D768" s="95"/>
    </row>
    <row r="769" spans="1:5">
      <c r="A769" s="291" t="s">
        <v>4486</v>
      </c>
      <c r="B769" s="293" t="s">
        <v>5842</v>
      </c>
      <c r="C769" s="291" t="s">
        <v>4528</v>
      </c>
      <c r="D769" s="95"/>
    </row>
    <row r="770" spans="1:5">
      <c r="A770" s="291" t="s">
        <v>4487</v>
      </c>
      <c r="B770" s="293" t="s">
        <v>5843</v>
      </c>
      <c r="C770" s="291" t="s">
        <v>4529</v>
      </c>
      <c r="D770" s="95"/>
    </row>
    <row r="771" spans="1:5" ht="13.5" thickBot="1">
      <c r="A771" s="638" t="s">
        <v>1097</v>
      </c>
      <c r="B771" s="640"/>
      <c r="C771" s="639"/>
      <c r="D771" s="95"/>
    </row>
    <row r="772" spans="1:5" ht="25.5">
      <c r="A772" s="291" t="s">
        <v>763</v>
      </c>
      <c r="B772" s="293" t="s">
        <v>687</v>
      </c>
      <c r="C772" s="291" t="s">
        <v>337</v>
      </c>
      <c r="D772" s="95"/>
    </row>
    <row r="773" spans="1:5" ht="38.25">
      <c r="A773" s="291" t="str">
        <f>"Zobowiązania z tytułu dostaw i usług – krótkoterminowe – stan na " &amp;dzb</f>
        <v>Zobowiązania z tytułu dostaw i usług – krótkoterminowe – stan na 31.12.2024</v>
      </c>
      <c r="B773" s="293" t="str">
        <f>"Verbindlichkeiten aus Lieferungen und Leistungen – kurzfristig – Stand zum " &amp;dzb</f>
        <v>Verbindlichkeiten aus Lieferungen und Leistungen – kurzfristig – Stand zum 31.12.2024</v>
      </c>
      <c r="C773" s="291" t="str">
        <f>"Trade liabilities – current – as of " &amp;dzb</f>
        <v>Trade liabilities – current – as of 31.12.2024</v>
      </c>
      <c r="D773" s="95"/>
    </row>
    <row r="774" spans="1:5">
      <c r="A774" s="291" t="s">
        <v>1098</v>
      </c>
      <c r="B774" s="293" t="s">
        <v>688</v>
      </c>
      <c r="C774" s="291" t="s">
        <v>338</v>
      </c>
      <c r="D774" s="95"/>
    </row>
    <row r="775" spans="1:5">
      <c r="A775" s="291" t="s">
        <v>924</v>
      </c>
      <c r="B775" s="293" t="s">
        <v>1335</v>
      </c>
      <c r="C775" s="498" t="s">
        <v>947</v>
      </c>
      <c r="D775" s="524"/>
    </row>
    <row r="776" spans="1:5" ht="25.5">
      <c r="A776" s="291" t="s">
        <v>1099</v>
      </c>
      <c r="B776" s="293" t="s">
        <v>1666</v>
      </c>
      <c r="C776" s="291" t="s">
        <v>339</v>
      </c>
      <c r="D776" s="524"/>
    </row>
    <row r="777" spans="1:5">
      <c r="A777" s="291" t="s">
        <v>925</v>
      </c>
      <c r="B777" s="293" t="s">
        <v>1340</v>
      </c>
      <c r="C777" s="291" t="s">
        <v>948</v>
      </c>
      <c r="D777" s="524"/>
      <c r="E777" s="524"/>
    </row>
    <row r="778" spans="1:5">
      <c r="A778" s="291" t="s">
        <v>926</v>
      </c>
      <c r="B778" s="293" t="s">
        <v>1336</v>
      </c>
      <c r="C778" s="291" t="s">
        <v>949</v>
      </c>
      <c r="D778" s="524"/>
      <c r="E778" s="524"/>
    </row>
    <row r="779" spans="1:5">
      <c r="A779" s="291" t="s">
        <v>1173</v>
      </c>
      <c r="B779" s="293" t="s">
        <v>1337</v>
      </c>
      <c r="C779" s="529" t="s">
        <v>6212</v>
      </c>
      <c r="D779" s="524"/>
      <c r="E779" s="520"/>
    </row>
    <row r="780" spans="1:5" ht="38.25">
      <c r="A780" s="291" t="s">
        <v>6471</v>
      </c>
      <c r="B780" s="293" t="s">
        <v>6474</v>
      </c>
      <c r="C780" s="291" t="s">
        <v>1205</v>
      </c>
      <c r="D780" s="524"/>
      <c r="E780" s="520"/>
    </row>
    <row r="781" spans="1:5" ht="25.5">
      <c r="A781" s="291" t="s">
        <v>6472</v>
      </c>
      <c r="B781" s="517" t="s">
        <v>6475</v>
      </c>
      <c r="C781" s="291" t="s">
        <v>41</v>
      </c>
      <c r="D781" s="524"/>
      <c r="E781" s="520"/>
    </row>
    <row r="782" spans="1:5" ht="25.5">
      <c r="A782" s="291" t="s">
        <v>2228</v>
      </c>
      <c r="B782" s="293" t="s">
        <v>1341</v>
      </c>
      <c r="C782" s="291" t="s">
        <v>6476</v>
      </c>
      <c r="D782" s="95"/>
    </row>
    <row r="783" spans="1:5">
      <c r="A783" s="291" t="s">
        <v>599</v>
      </c>
      <c r="B783" s="293" t="s">
        <v>1338</v>
      </c>
      <c r="C783" s="291" t="s">
        <v>760</v>
      </c>
      <c r="D783" s="95"/>
    </row>
    <row r="784" spans="1:5">
      <c r="A784" s="291" t="s">
        <v>2174</v>
      </c>
      <c r="B784" s="293" t="s">
        <v>2175</v>
      </c>
      <c r="C784" s="291" t="s">
        <v>465</v>
      </c>
      <c r="D784" s="95"/>
    </row>
    <row r="785" spans="1:4">
      <c r="A785" s="291" t="s">
        <v>1227</v>
      </c>
      <c r="B785" s="293" t="s">
        <v>689</v>
      </c>
      <c r="C785" s="291" t="s">
        <v>1228</v>
      </c>
      <c r="D785" s="95"/>
    </row>
    <row r="786" spans="1:4" ht="25.5">
      <c r="A786" s="291" t="s">
        <v>6629</v>
      </c>
      <c r="B786" s="293" t="str">
        <f>"bis zu 1 Jahr
(Rückzahlung im folgenden Geschäftsjahr)"</f>
        <v>bis zu 1 Jahr
(Rückzahlung im folgenden Geschäftsjahr)</v>
      </c>
      <c r="C786" s="291" t="s">
        <v>6630</v>
      </c>
      <c r="D786" s="95"/>
    </row>
    <row r="787" spans="1:4" ht="30.6" customHeight="1">
      <c r="A787" s="291" t="str">
        <f>"powyżej 1 roku do 3 lat"
&amp;IF(LEN(ro)&gt;4,"","(do spłaty w latach "&amp;rok+2&amp;" - "&amp;rok+3&amp;")")</f>
        <v>powyżej 1 roku do 3 lat(do spłaty w latach 2026 - 2027)</v>
      </c>
      <c r="B787" s="293" t="str">
        <f>"von 1 Jahr bis zu 3 Jahren"
&amp;IF(LEN(ro)&gt;4,"","(Rückzahlung zwischen "&amp;rok+2&amp;" - "&amp;rok+3&amp;")")</f>
        <v>von 1 Jahr bis zu 3 Jahren(Rückzahlung zwischen 2026 - 2027)</v>
      </c>
      <c r="C787" s="291" t="str">
        <f>"over 1 to 3 years"
&amp;IF(LEN(ro)&gt;4,"","(to be repaid in "&amp;rok+2&amp;" - "&amp;rok+3&amp;")")</f>
        <v>over 1 to 3 years(to be repaid in 2026 - 2027)</v>
      </c>
      <c r="D787" s="95"/>
    </row>
    <row r="788" spans="1:4" ht="30.6" customHeight="1">
      <c r="A788" s="291" t="str">
        <f>"powyżej 1 roku do 3 lat"
&amp;IF(LEN(ro)&gt;4,"","(do spłaty w latach "&amp;rok+1&amp;" - "&amp;rok+2&amp;")")</f>
        <v>powyżej 1 roku do 3 lat(do spłaty w latach 2025 - 2026)</v>
      </c>
      <c r="B788" s="293" t="str">
        <f>"von 1 Jahr bis zu 3 Jahren"
&amp;IF(LEN(ro)&gt;4,"","(Rückzahlung zwischen "&amp;rok+1&amp;" - "&amp;rok+2&amp;")")</f>
        <v>von 1 Jahr bis zu 3 Jahren(Rückzahlung zwischen 2025 - 2026)</v>
      </c>
      <c r="C788" s="291" t="str">
        <f>"over 1 to 3 years"
&amp;IF(LEN(ro)&gt;4,"","(to be repaid in "&amp;rok+1&amp;" - "&amp;rok+2&amp;")")</f>
        <v>over 1 to 3 years(to be repaid in 2025 - 2026)</v>
      </c>
      <c r="D788" s="95"/>
    </row>
    <row r="789" spans="1:4" ht="30" customHeight="1">
      <c r="A789" s="291" t="str">
        <f>"od 3 do 5 lat"
&amp;IF(LEN(ro)&gt;4,"","(do spłaty w latach "&amp;rok+4&amp;" - "&amp;rok+5&amp;")")</f>
        <v>od 3 do 5 lat(do spłaty w latach 2028 - 2029)</v>
      </c>
      <c r="B789" s="293" t="str">
        <f>"von 3 bis zu 5 Jahren"
&amp;IF(LEN(ro)&gt;4,"","(Rückzahlung zwischen "&amp;rok+4&amp;" - "&amp;rok+5&amp;")")</f>
        <v>von 3 bis zu 5 Jahren(Rückzahlung zwischen 2028 - 2029)</v>
      </c>
      <c r="C789" s="291" t="str">
        <f>"from 3 to 5 years"
&amp;IF(LEN(ro)&gt;4,"","(to be repaid in "&amp;rok+4&amp;" - "&amp;rok+5&amp;")")</f>
        <v>from 3 to 5 years(to be repaid in 2028 - 2029)</v>
      </c>
      <c r="D789" s="95"/>
    </row>
    <row r="790" spans="1:4" ht="30" customHeight="1">
      <c r="A790" s="291" t="str">
        <f>"od 3 do 5 lat"
&amp;IF(LEN(ro)&gt;4,"","(do spłaty w latach "&amp;rok+3&amp;" - "&amp;rok+4&amp;")")</f>
        <v>od 3 do 5 lat(do spłaty w latach 2027 - 2028)</v>
      </c>
      <c r="B790" s="293" t="str">
        <f>"von 3 bis zu 5 Jahren"
&amp;IF(LEN(ro)&gt;4,"","(Rückzahlung zwischen "&amp;rok+3&amp;" - "&amp;rok+4&amp;")")</f>
        <v>von 3 bis zu 5 Jahren(Rückzahlung zwischen 2027 - 2028)</v>
      </c>
      <c r="C790" s="291" t="str">
        <f>"from 3 to 5 years"
&amp;IF(LEN(ro)&gt;4,"","(to be repaid in "&amp;rok+3&amp;" - "&amp;rok+4&amp;")")</f>
        <v>from 3 to 5 years(to be repaid in 2027 - 2028)</v>
      </c>
      <c r="D790" s="95"/>
    </row>
    <row r="791" spans="1:4">
      <c r="A791" s="291" t="str">
        <f>"powyżej 5 lat"
&amp;IF(LEN(ro)&gt;4,"","(do spłaty po "&amp;rok+5&amp;" roku)")</f>
        <v>powyżej 5 lat(do spłaty po 2029 roku)</v>
      </c>
      <c r="B791" s="293" t="str">
        <f>"über 5 Jahre"
&amp;IF(LEN(ro)&gt;4,"","(Rückzahlung nach "&amp;rok+5&amp;")")</f>
        <v>über 5 Jahre(Rückzahlung nach 2029)</v>
      </c>
      <c r="C791" s="291" t="str">
        <f>"over 5 years"
&amp;IF(LEN(ro)&gt;4,"","(to be repaid after FY "&amp;rok+5&amp;")")</f>
        <v>over 5 years(to be repaid after FY 2029)</v>
      </c>
      <c r="D791" s="95"/>
    </row>
    <row r="792" spans="1:4">
      <c r="A792" s="291" t="str">
        <f>"powyżej 5 lat"
&amp;IF(LEN(ro)&gt;4,"","(do spłaty po "&amp;rok+4&amp;" roku)")</f>
        <v>powyżej 5 lat(do spłaty po 2028 roku)</v>
      </c>
      <c r="B792" s="293" t="str">
        <f>"über 5 Jahre"
&amp;IF(LEN(ro)&gt;4,"","(Rückzahlung nach "&amp;rok+4&amp;")")</f>
        <v>über 5 Jahre(Rückzahlung nach 2028)</v>
      </c>
      <c r="C792" s="291" t="str">
        <f>"over 5 years"
&amp;IF(LEN(ro)&gt;4,"","(to be repaid after FY "&amp;rok+4&amp;")")</f>
        <v>over 5 years(to be repaid after FY 2028)</v>
      </c>
      <c r="D792" s="95"/>
    </row>
    <row r="793" spans="1:4">
      <c r="B793" s="293"/>
      <c r="D793" s="95"/>
    </row>
    <row r="794" spans="1:4" ht="13.5" thickBot="1">
      <c r="A794" s="291" t="s">
        <v>1568</v>
      </c>
      <c r="B794" s="293" t="s">
        <v>695</v>
      </c>
      <c r="C794" s="291" t="s">
        <v>576</v>
      </c>
      <c r="D794" s="95"/>
    </row>
    <row r="795" spans="1:4" ht="13.5" thickBot="1">
      <c r="A795" s="638" t="s">
        <v>1100</v>
      </c>
      <c r="B795" s="640"/>
      <c r="C795" s="639"/>
      <c r="D795" s="95"/>
    </row>
    <row r="796" spans="1:4" ht="25.5">
      <c r="A796" s="487" t="s">
        <v>5572</v>
      </c>
      <c r="B796" s="487" t="s">
        <v>5693</v>
      </c>
      <c r="C796" s="487" t="s">
        <v>5617</v>
      </c>
      <c r="D796" s="95"/>
    </row>
    <row r="797" spans="1:4">
      <c r="A797" s="291" t="s">
        <v>597</v>
      </c>
      <c r="B797" s="293" t="s">
        <v>690</v>
      </c>
      <c r="C797" s="291" t="s">
        <v>577</v>
      </c>
      <c r="D797" s="95"/>
    </row>
    <row r="798" spans="1:4" ht="25.5">
      <c r="A798" s="291" t="s">
        <v>1236</v>
      </c>
      <c r="B798" s="293" t="s">
        <v>2302</v>
      </c>
      <c r="C798" s="291" t="s">
        <v>1237</v>
      </c>
      <c r="D798" s="95"/>
    </row>
    <row r="799" spans="1:4">
      <c r="A799" s="291" t="s">
        <v>446</v>
      </c>
      <c r="B799" s="293" t="s">
        <v>667</v>
      </c>
      <c r="C799" s="498" t="s">
        <v>1219</v>
      </c>
      <c r="D799" s="95"/>
    </row>
    <row r="800" spans="1:4">
      <c r="A800" s="291" t="s">
        <v>445</v>
      </c>
      <c r="B800" s="293" t="s">
        <v>668</v>
      </c>
      <c r="C800" s="291" t="s">
        <v>467</v>
      </c>
      <c r="D800" s="95"/>
    </row>
    <row r="801" spans="1:5" ht="25.5">
      <c r="A801" s="291" t="s">
        <v>1238</v>
      </c>
      <c r="B801" s="293" t="s">
        <v>691</v>
      </c>
      <c r="C801" s="291" t="s">
        <v>1991</v>
      </c>
      <c r="D801" s="95"/>
    </row>
    <row r="802" spans="1:5">
      <c r="A802" s="291" t="s">
        <v>448</v>
      </c>
      <c r="B802" s="293" t="s">
        <v>669</v>
      </c>
      <c r="C802" s="291" t="s">
        <v>1222</v>
      </c>
      <c r="D802" s="95"/>
    </row>
    <row r="803" spans="1:5">
      <c r="A803" s="291" t="s">
        <v>4530</v>
      </c>
      <c r="B803" s="291" t="s">
        <v>4546</v>
      </c>
      <c r="C803" s="291" t="s">
        <v>4538</v>
      </c>
      <c r="D803" s="95"/>
    </row>
    <row r="804" spans="1:5">
      <c r="A804" s="291" t="s">
        <v>4531</v>
      </c>
      <c r="B804" s="291" t="s">
        <v>4547</v>
      </c>
      <c r="C804" s="291" t="s">
        <v>4539</v>
      </c>
      <c r="D804" s="95"/>
    </row>
    <row r="805" spans="1:5">
      <c r="A805" s="291" t="s">
        <v>4532</v>
      </c>
      <c r="B805" s="291" t="s">
        <v>4548</v>
      </c>
      <c r="C805" s="291" t="s">
        <v>4540</v>
      </c>
      <c r="D805" s="95"/>
    </row>
    <row r="806" spans="1:5">
      <c r="A806" s="291" t="s">
        <v>4533</v>
      </c>
      <c r="B806" s="291" t="s">
        <v>4549</v>
      </c>
      <c r="C806" s="291" t="s">
        <v>4541</v>
      </c>
      <c r="D806" s="95"/>
    </row>
    <row r="807" spans="1:5" ht="25.5">
      <c r="A807" s="291" t="s">
        <v>4534</v>
      </c>
      <c r="B807" s="291" t="s">
        <v>4550</v>
      </c>
      <c r="C807" s="291" t="s">
        <v>4542</v>
      </c>
      <c r="D807" s="95"/>
    </row>
    <row r="808" spans="1:5" ht="38.25">
      <c r="A808" s="291" t="s">
        <v>4535</v>
      </c>
      <c r="B808" s="291" t="s">
        <v>4551</v>
      </c>
      <c r="C808" s="291" t="s">
        <v>4543</v>
      </c>
      <c r="D808" s="95"/>
    </row>
    <row r="809" spans="1:5" ht="51">
      <c r="A809" s="291" t="s">
        <v>4536</v>
      </c>
      <c r="B809" s="291" t="s">
        <v>4552</v>
      </c>
      <c r="C809" s="291" t="s">
        <v>4544</v>
      </c>
      <c r="D809" s="95"/>
    </row>
    <row r="810" spans="1:5" ht="51">
      <c r="A810" s="291" t="s">
        <v>4537</v>
      </c>
      <c r="B810" s="291" t="s">
        <v>4553</v>
      </c>
      <c r="C810" s="291" t="s">
        <v>4545</v>
      </c>
      <c r="D810" s="95"/>
    </row>
    <row r="811" spans="1:5">
      <c r="A811" s="291" t="s">
        <v>419</v>
      </c>
      <c r="B811" s="291" t="s">
        <v>1338</v>
      </c>
      <c r="C811" s="291" t="s">
        <v>760</v>
      </c>
      <c r="D811" s="95"/>
    </row>
    <row r="812" spans="1:5" ht="51">
      <c r="A812" s="291" t="s">
        <v>2144</v>
      </c>
      <c r="B812" s="293" t="s">
        <v>2439</v>
      </c>
      <c r="C812" s="291" t="s">
        <v>2417</v>
      </c>
      <c r="D812" s="95" t="s">
        <v>4557</v>
      </c>
      <c r="E812" s="95"/>
    </row>
    <row r="813" spans="1:5">
      <c r="A813" s="291" t="s">
        <v>835</v>
      </c>
      <c r="B813" s="293" t="s">
        <v>665</v>
      </c>
      <c r="C813" s="291" t="s">
        <v>465</v>
      </c>
      <c r="D813" s="95"/>
    </row>
    <row r="814" spans="1:5">
      <c r="A814" s="291" t="s">
        <v>455</v>
      </c>
      <c r="B814" s="293" t="s">
        <v>4560</v>
      </c>
      <c r="C814" s="291" t="s">
        <v>4557</v>
      </c>
      <c r="D814" s="95"/>
    </row>
    <row r="815" spans="1:5" ht="25.5">
      <c r="A815" s="291" t="s">
        <v>1239</v>
      </c>
      <c r="B815" s="293" t="s">
        <v>4561</v>
      </c>
      <c r="C815" s="291" t="s">
        <v>4558</v>
      </c>
      <c r="D815" s="95"/>
    </row>
    <row r="816" spans="1:5">
      <c r="A816" s="525" t="s">
        <v>4554</v>
      </c>
      <c r="B816" s="525" t="s">
        <v>4556</v>
      </c>
      <c r="C816" s="530" t="s">
        <v>4555</v>
      </c>
      <c r="D816" s="95"/>
    </row>
    <row r="817" spans="1:4">
      <c r="A817" s="291" t="s">
        <v>4566</v>
      </c>
      <c r="B817" s="293" t="s">
        <v>1615</v>
      </c>
      <c r="C817" s="291" t="s">
        <v>1245</v>
      </c>
      <c r="D817" s="95"/>
    </row>
    <row r="818" spans="1:4" ht="25.5">
      <c r="A818" s="291" t="s">
        <v>4567</v>
      </c>
      <c r="B818" s="293" t="s">
        <v>2303</v>
      </c>
      <c r="C818" s="291" t="s">
        <v>1240</v>
      </c>
      <c r="D818" s="95"/>
    </row>
    <row r="819" spans="1:4">
      <c r="A819" s="525" t="s">
        <v>935</v>
      </c>
      <c r="B819" s="525" t="s">
        <v>2344</v>
      </c>
      <c r="C819" s="530" t="s">
        <v>1246</v>
      </c>
      <c r="D819" s="95"/>
    </row>
    <row r="820" spans="1:4" ht="25.5">
      <c r="A820" s="525" t="s">
        <v>4563</v>
      </c>
      <c r="B820" s="525" t="s">
        <v>4570</v>
      </c>
      <c r="C820" s="530" t="s">
        <v>4568</v>
      </c>
      <c r="D820" s="95"/>
    </row>
    <row r="821" spans="1:4" ht="38.25">
      <c r="A821" s="525" t="s">
        <v>4564</v>
      </c>
      <c r="B821" s="525" t="s">
        <v>4571</v>
      </c>
      <c r="C821" s="530" t="s">
        <v>4569</v>
      </c>
      <c r="D821" s="95"/>
    </row>
    <row r="822" spans="1:4">
      <c r="A822" s="525" t="s">
        <v>4565</v>
      </c>
      <c r="B822" s="525" t="s">
        <v>4572</v>
      </c>
      <c r="C822" s="530" t="s">
        <v>54</v>
      </c>
      <c r="D822" s="95"/>
    </row>
    <row r="823" spans="1:4">
      <c r="B823" s="293"/>
      <c r="D823" s="95"/>
    </row>
    <row r="824" spans="1:4">
      <c r="B824" s="293"/>
      <c r="D824" s="95"/>
    </row>
    <row r="825" spans="1:4" ht="13.5" thickBot="1">
      <c r="A825" s="638" t="s">
        <v>5482</v>
      </c>
      <c r="B825" s="640"/>
      <c r="C825" s="639"/>
      <c r="D825" s="95"/>
    </row>
    <row r="826" spans="1:4" ht="51">
      <c r="A826" s="291" t="s">
        <v>2176</v>
      </c>
      <c r="B826" s="293" t="s">
        <v>2360</v>
      </c>
      <c r="C826" s="291" t="s">
        <v>4584</v>
      </c>
      <c r="D826" s="95"/>
    </row>
    <row r="827" spans="1:4" ht="38.25">
      <c r="A827" s="291" t="s">
        <v>5569</v>
      </c>
      <c r="B827" s="293" t="s">
        <v>5694</v>
      </c>
      <c r="C827" s="291" t="s">
        <v>5618</v>
      </c>
      <c r="D827" s="95"/>
    </row>
    <row r="828" spans="1:4" ht="38.25">
      <c r="A828" s="293" t="s">
        <v>6672</v>
      </c>
      <c r="B828" s="670" t="s">
        <v>5694</v>
      </c>
      <c r="C828" s="669" t="s">
        <v>5618</v>
      </c>
      <c r="D828" s="95"/>
    </row>
    <row r="829" spans="1:4">
      <c r="A829" s="291" t="s">
        <v>5532</v>
      </c>
      <c r="B829" s="293" t="s">
        <v>5695</v>
      </c>
      <c r="C829" s="291" t="s">
        <v>5619</v>
      </c>
      <c r="D829" s="95"/>
    </row>
    <row r="830" spans="1:4">
      <c r="A830" s="291" t="s">
        <v>5570</v>
      </c>
      <c r="B830" s="293" t="s">
        <v>5696</v>
      </c>
      <c r="C830" s="291" t="s">
        <v>5620</v>
      </c>
      <c r="D830" s="95"/>
    </row>
    <row r="831" spans="1:4">
      <c r="A831" s="291" t="s">
        <v>5571</v>
      </c>
      <c r="B831" s="293" t="s">
        <v>5697</v>
      </c>
      <c r="C831" s="291" t="s">
        <v>5621</v>
      </c>
      <c r="D831" s="95"/>
    </row>
    <row r="832" spans="1:4" ht="102">
      <c r="A832" s="291" t="s">
        <v>2165</v>
      </c>
      <c r="B832" s="293" t="s">
        <v>2361</v>
      </c>
      <c r="C832" s="291" t="s">
        <v>2418</v>
      </c>
      <c r="D832" s="95"/>
    </row>
    <row r="833" spans="1:7" ht="25.5">
      <c r="A833" s="291" t="s">
        <v>5575</v>
      </c>
      <c r="B833" s="293" t="s">
        <v>5866</v>
      </c>
      <c r="C833" s="291" t="s">
        <v>5804</v>
      </c>
      <c r="D833" s="95"/>
      <c r="E833" s="292"/>
      <c r="F833" s="531"/>
      <c r="G833" s="531"/>
    </row>
    <row r="834" spans="1:7" ht="25.5">
      <c r="A834" s="293" t="s">
        <v>6673</v>
      </c>
      <c r="B834" s="670" t="s">
        <v>5866</v>
      </c>
      <c r="C834" s="669" t="s">
        <v>5804</v>
      </c>
      <c r="D834" s="95"/>
      <c r="E834" s="292"/>
      <c r="F834" s="531"/>
      <c r="G834" s="531"/>
    </row>
    <row r="835" spans="1:7" ht="36.75" customHeight="1">
      <c r="A835" s="291" t="s">
        <v>2138</v>
      </c>
      <c r="B835" s="293" t="s">
        <v>5860</v>
      </c>
      <c r="C835" s="291" t="s">
        <v>2419</v>
      </c>
      <c r="D835" s="95"/>
      <c r="E835" s="292"/>
      <c r="F835" s="531"/>
      <c r="G835" s="531"/>
    </row>
    <row r="836" spans="1:7" ht="36.75" customHeight="1">
      <c r="A836" s="631" t="s">
        <v>6786</v>
      </c>
      <c r="B836" s="293" t="s">
        <v>6787</v>
      </c>
      <c r="C836" s="291" t="s">
        <v>6788</v>
      </c>
      <c r="D836" s="95"/>
      <c r="E836" s="292"/>
      <c r="F836" s="531"/>
      <c r="G836" s="531"/>
    </row>
    <row r="837" spans="1:7" ht="36.75" customHeight="1">
      <c r="A837" s="631" t="s">
        <v>6525</v>
      </c>
      <c r="B837" s="293" t="s">
        <v>6575</v>
      </c>
      <c r="C837" s="291" t="s">
        <v>6528</v>
      </c>
      <c r="D837" s="293"/>
      <c r="E837" s="292"/>
      <c r="F837" s="531"/>
      <c r="G837" s="531"/>
    </row>
    <row r="838" spans="1:7" ht="36.75" customHeight="1">
      <c r="A838" s="631" t="s">
        <v>6526</v>
      </c>
      <c r="B838" s="293" t="s">
        <v>6527</v>
      </c>
      <c r="C838" s="291" t="s">
        <v>6528</v>
      </c>
      <c r="D838" s="95"/>
      <c r="E838" s="292"/>
      <c r="F838" s="531"/>
      <c r="G838" s="531"/>
    </row>
    <row r="839" spans="1:7" ht="12.75" customHeight="1">
      <c r="A839" s="631" t="s">
        <v>6524</v>
      </c>
      <c r="B839" s="293" t="s">
        <v>6536</v>
      </c>
      <c r="C839" s="291" t="s">
        <v>6542</v>
      </c>
      <c r="D839" s="95"/>
      <c r="E839" s="292"/>
      <c r="F839" s="531"/>
      <c r="G839" s="531"/>
    </row>
    <row r="840" spans="1:7" ht="36.75" customHeight="1">
      <c r="A840" s="631" t="str">
        <f>"   "&amp;"fundacji prywatnej lub rodzinnej, podmiotu równoważnego takiej 
   fundacji lub przedsiębiorstwa prowadzonego przez taką fundację 
   albo taki podmiot, lub na rzecz ich beneficjentów"</f>
        <v xml:space="preserve">   fundacji prywatnej lub rodzinnej, podmiotu równoważnego takiej 
   fundacji lub przedsiębiorstwa prowadzonego przez taką fundację 
   albo taki podmiot, lub na rzecz ich beneficjentów</v>
      </c>
      <c r="B840" s="293" t="s">
        <v>6576</v>
      </c>
      <c r="C840" s="291" t="s">
        <v>6567</v>
      </c>
      <c r="D840" s="95"/>
      <c r="E840" s="292"/>
      <c r="F840" s="531"/>
      <c r="G840" s="531"/>
    </row>
    <row r="841" spans="1:7" ht="38.25">
      <c r="A841" s="631" t="str">
        <f>"   "&amp;"trustu lub innego podmiotu albo stosunku prawnego o charakterze powierniczym"</f>
        <v xml:space="preserve">   trustu lub innego podmiotu albo stosunku prawnego o charakterze powierniczym</v>
      </c>
      <c r="B841" s="293" t="s">
        <v>6728</v>
      </c>
      <c r="C841" s="291" t="s">
        <v>6568</v>
      </c>
      <c r="D841" s="95"/>
      <c r="E841" s="292"/>
      <c r="F841" s="531"/>
      <c r="G841" s="531"/>
    </row>
    <row r="842" spans="1:7" ht="36.75" customHeight="1">
      <c r="A842" s="631" t="s">
        <v>6529</v>
      </c>
      <c r="B842" s="293" t="s">
        <v>6538</v>
      </c>
      <c r="C842" s="291" t="s">
        <v>6569</v>
      </c>
      <c r="D842" s="95"/>
      <c r="E842" s="292"/>
      <c r="F842" s="531"/>
      <c r="G842" s="531"/>
    </row>
    <row r="843" spans="1:7" ht="36.75" customHeight="1">
      <c r="A843" s="631" t="s">
        <v>6530</v>
      </c>
      <c r="B843" s="293" t="s">
        <v>6537</v>
      </c>
      <c r="C843" s="291" t="s">
        <v>6570</v>
      </c>
      <c r="D843" s="95"/>
      <c r="E843" s="292"/>
      <c r="F843" s="531"/>
      <c r="G843" s="531"/>
    </row>
    <row r="844" spans="1:7" ht="36.75" customHeight="1">
      <c r="A844" s="631" t="s">
        <v>6531</v>
      </c>
      <c r="B844" s="293" t="s">
        <v>6539</v>
      </c>
      <c r="C844" s="291" t="s">
        <v>6543</v>
      </c>
      <c r="D844" s="95"/>
      <c r="E844" s="292"/>
      <c r="F844" s="531"/>
      <c r="G844" s="531"/>
    </row>
    <row r="845" spans="1:7" ht="36.75" customHeight="1">
      <c r="A845" s="631" t="s">
        <v>6532</v>
      </c>
      <c r="B845" s="293" t="s">
        <v>6540</v>
      </c>
      <c r="C845" s="291" t="s">
        <v>6544</v>
      </c>
      <c r="D845" s="95"/>
      <c r="E845" s="292"/>
      <c r="F845" s="531"/>
      <c r="G845" s="531"/>
    </row>
    <row r="846" spans="1:7" ht="25.5">
      <c r="A846" s="631" t="s">
        <v>6533</v>
      </c>
      <c r="B846" s="293" t="s">
        <v>6541</v>
      </c>
      <c r="C846" s="291" t="s">
        <v>6571</v>
      </c>
      <c r="D846" s="95"/>
      <c r="E846" s="292"/>
      <c r="F846" s="531"/>
      <c r="G846" s="531"/>
    </row>
    <row r="847" spans="1:7" ht="25.5">
      <c r="A847" s="631" t="s">
        <v>6534</v>
      </c>
      <c r="B847" s="293" t="s">
        <v>6577</v>
      </c>
      <c r="C847" s="291" t="s">
        <v>6572</v>
      </c>
      <c r="D847" s="95"/>
      <c r="E847" s="292"/>
      <c r="F847" s="531"/>
      <c r="G847" s="531"/>
    </row>
    <row r="848" spans="1:7">
      <c r="A848" s="631" t="s">
        <v>6535</v>
      </c>
      <c r="B848" s="293" t="s">
        <v>2891</v>
      </c>
      <c r="C848" s="291" t="s">
        <v>6545</v>
      </c>
      <c r="D848" s="95"/>
      <c r="E848" s="292"/>
      <c r="F848" s="531"/>
      <c r="G848" s="531"/>
    </row>
    <row r="849" spans="1:7" ht="38.25">
      <c r="A849" s="291" t="s">
        <v>4652</v>
      </c>
      <c r="B849" s="291" t="s">
        <v>2859</v>
      </c>
      <c r="C849" s="291" t="s">
        <v>2950</v>
      </c>
      <c r="D849" s="95"/>
      <c r="E849" s="292"/>
      <c r="F849" s="531"/>
      <c r="G849" s="531"/>
    </row>
    <row r="850" spans="1:7" ht="38.25">
      <c r="A850" s="291" t="s">
        <v>5576</v>
      </c>
      <c r="B850" s="293" t="s">
        <v>6054</v>
      </c>
      <c r="C850" s="291" t="s">
        <v>5805</v>
      </c>
      <c r="D850" s="95"/>
      <c r="E850" s="292"/>
      <c r="F850" s="531"/>
      <c r="G850" s="531"/>
    </row>
    <row r="851" spans="1:7" ht="38.25">
      <c r="A851" s="293" t="s">
        <v>6674</v>
      </c>
      <c r="B851" s="670" t="s">
        <v>6054</v>
      </c>
      <c r="C851" s="669" t="s">
        <v>5805</v>
      </c>
      <c r="D851" s="95"/>
      <c r="E851" s="292"/>
      <c r="F851" s="531"/>
      <c r="G851" s="531"/>
    </row>
    <row r="852" spans="1:7" ht="25.5">
      <c r="A852" s="291" t="s">
        <v>2457</v>
      </c>
      <c r="B852" s="291" t="s">
        <v>2860</v>
      </c>
      <c r="C852" s="291" t="s">
        <v>2951</v>
      </c>
      <c r="D852" s="95"/>
    </row>
    <row r="853" spans="1:7" ht="76.5">
      <c r="A853" s="291" t="s">
        <v>5483</v>
      </c>
      <c r="B853" s="291" t="s">
        <v>5698</v>
      </c>
      <c r="C853" s="508" t="s">
        <v>5622</v>
      </c>
      <c r="D853" s="95"/>
    </row>
    <row r="854" spans="1:7" ht="13.5" thickBot="1">
      <c r="A854" s="638" t="s">
        <v>403</v>
      </c>
      <c r="B854" s="640"/>
      <c r="C854" s="639"/>
      <c r="D854" s="95"/>
    </row>
    <row r="855" spans="1:7" ht="114.75">
      <c r="A855" s="291" t="s">
        <v>2444</v>
      </c>
      <c r="B855" s="293" t="s">
        <v>2445</v>
      </c>
      <c r="C855" s="291" t="s">
        <v>4587</v>
      </c>
      <c r="D855" s="95"/>
    </row>
    <row r="856" spans="1:7" ht="38.25">
      <c r="A856" s="291" t="s">
        <v>6380</v>
      </c>
      <c r="B856" s="293" t="s">
        <v>6381</v>
      </c>
      <c r="C856" s="291" t="s">
        <v>6382</v>
      </c>
      <c r="D856" s="95"/>
    </row>
    <row r="857" spans="1:7" ht="38.25">
      <c r="A857" s="293" t="s">
        <v>6912</v>
      </c>
      <c r="B857" s="670" t="s">
        <v>6381</v>
      </c>
      <c r="C857" s="669" t="s">
        <v>6382</v>
      </c>
      <c r="D857" s="95"/>
    </row>
    <row r="858" spans="1:7" ht="38.25">
      <c r="A858" s="291" t="s">
        <v>6601</v>
      </c>
      <c r="B858" s="291" t="s">
        <v>6732</v>
      </c>
      <c r="C858" s="291" t="s">
        <v>6759</v>
      </c>
      <c r="D858" s="95"/>
    </row>
    <row r="859" spans="1:7" ht="38.25">
      <c r="A859" s="291" t="s">
        <v>6675</v>
      </c>
      <c r="B859" s="291" t="s">
        <v>6732</v>
      </c>
      <c r="C859" s="291" t="s">
        <v>6760</v>
      </c>
      <c r="D859" s="95"/>
    </row>
    <row r="860" spans="1:7">
      <c r="A860" s="291" t="s">
        <v>967</v>
      </c>
      <c r="B860" s="293" t="s">
        <v>692</v>
      </c>
      <c r="C860" s="291" t="s">
        <v>578</v>
      </c>
      <c r="D860" s="95"/>
    </row>
    <row r="861" spans="1:7">
      <c r="A861" s="529" t="s">
        <v>6896</v>
      </c>
      <c r="B861" s="293" t="s">
        <v>6881</v>
      </c>
      <c r="C861" s="291" t="s">
        <v>6897</v>
      </c>
      <c r="D861" s="95"/>
    </row>
    <row r="862" spans="1:7">
      <c r="A862" s="529" t="s">
        <v>6898</v>
      </c>
      <c r="B862" s="291" t="s">
        <v>6891</v>
      </c>
      <c r="C862" s="291" t="s">
        <v>6899</v>
      </c>
    </row>
    <row r="863" spans="1:7">
      <c r="A863" s="291" t="s">
        <v>968</v>
      </c>
      <c r="B863" s="293" t="s">
        <v>693</v>
      </c>
      <c r="C863" s="291" t="s">
        <v>4588</v>
      </c>
    </row>
    <row r="864" spans="1:7">
      <c r="A864" s="291" t="s">
        <v>969</v>
      </c>
      <c r="B864" s="293" t="s">
        <v>694</v>
      </c>
      <c r="C864" s="291" t="s">
        <v>579</v>
      </c>
      <c r="D864" s="95"/>
    </row>
    <row r="865" spans="1:4">
      <c r="A865" s="291" t="s">
        <v>4488</v>
      </c>
      <c r="B865" s="293" t="s">
        <v>4490</v>
      </c>
      <c r="C865" s="291" t="s">
        <v>4489</v>
      </c>
      <c r="D865" s="95"/>
    </row>
    <row r="866" spans="1:4">
      <c r="A866" s="291" t="s">
        <v>1568</v>
      </c>
      <c r="B866" s="293" t="s">
        <v>695</v>
      </c>
      <c r="C866" s="291" t="s">
        <v>576</v>
      </c>
      <c r="D866" s="95"/>
    </row>
    <row r="867" spans="1:4" ht="25.5">
      <c r="A867" s="291" t="s">
        <v>1241</v>
      </c>
      <c r="B867" s="293" t="s">
        <v>2362</v>
      </c>
      <c r="C867" s="291" t="s">
        <v>4592</v>
      </c>
      <c r="D867" s="95"/>
    </row>
    <row r="868" spans="1:4" ht="38.25">
      <c r="A868" s="291" t="s">
        <v>5577</v>
      </c>
      <c r="B868" s="293" t="s">
        <v>5699</v>
      </c>
      <c r="C868" s="291" t="s">
        <v>5623</v>
      </c>
    </row>
    <row r="869" spans="1:4" ht="38.25">
      <c r="A869" s="293" t="s">
        <v>6679</v>
      </c>
      <c r="B869" s="670" t="s">
        <v>5699</v>
      </c>
      <c r="C869" s="669" t="s">
        <v>5623</v>
      </c>
    </row>
    <row r="870" spans="1:4" ht="38.25">
      <c r="A870" s="291" t="s">
        <v>6605</v>
      </c>
      <c r="B870" s="293" t="s">
        <v>6606</v>
      </c>
      <c r="C870" s="291" t="s">
        <v>6607</v>
      </c>
    </row>
    <row r="871" spans="1:4" ht="38.25">
      <c r="A871" s="291" t="s">
        <v>6680</v>
      </c>
      <c r="B871" s="670" t="s">
        <v>6606</v>
      </c>
      <c r="C871" s="669" t="s">
        <v>6607</v>
      </c>
    </row>
    <row r="872" spans="1:4" ht="25.5">
      <c r="A872" s="291" t="s">
        <v>1313</v>
      </c>
      <c r="B872" s="293" t="s">
        <v>2363</v>
      </c>
      <c r="C872" s="291" t="s">
        <v>1242</v>
      </c>
    </row>
    <row r="873" spans="1:4" ht="38.25">
      <c r="A873" s="291" t="s">
        <v>5583</v>
      </c>
      <c r="B873" s="293" t="s">
        <v>5700</v>
      </c>
      <c r="C873" s="291" t="s">
        <v>5624</v>
      </c>
    </row>
    <row r="874" spans="1:4" ht="38.25">
      <c r="A874" s="293" t="s">
        <v>6681</v>
      </c>
      <c r="B874" s="670" t="s">
        <v>5700</v>
      </c>
      <c r="C874" s="669" t="s">
        <v>5624</v>
      </c>
    </row>
    <row r="875" spans="1:4" ht="38.25">
      <c r="A875" s="291" t="s">
        <v>6608</v>
      </c>
      <c r="B875" s="293" t="s">
        <v>6609</v>
      </c>
      <c r="C875" s="291" t="s">
        <v>6610</v>
      </c>
    </row>
    <row r="876" spans="1:4" ht="38.25">
      <c r="A876" s="293" t="s">
        <v>6682</v>
      </c>
      <c r="B876" s="670" t="s">
        <v>6609</v>
      </c>
      <c r="C876" s="669" t="s">
        <v>6610</v>
      </c>
    </row>
    <row r="877" spans="1:4">
      <c r="A877" s="291" t="str">
        <f>"Zapasy brutto na "&amp;dzb</f>
        <v>Zapasy brutto na 31.12.2024</v>
      </c>
      <c r="B877" s="291" t="str">
        <f>"Vorräte brutto zum "&amp;dzb</f>
        <v>Vorräte brutto zum 31.12.2024</v>
      </c>
      <c r="C877" s="291" t="str">
        <f>"Gross inventories as of "&amp;dzb</f>
        <v>Gross inventories as of 31.12.2024</v>
      </c>
    </row>
    <row r="878" spans="1:4">
      <c r="A878" s="291" t="str">
        <f>"Zapasy netto na "&amp;dzb</f>
        <v>Zapasy netto na 31.12.2024</v>
      </c>
      <c r="B878" s="291" t="str">
        <f>"Vorräte netto zum "&amp;dzb</f>
        <v>Vorräte netto zum 31.12.2024</v>
      </c>
      <c r="C878" s="291" t="str">
        <f>"Net inventories as of "&amp;dzb</f>
        <v>Net inventories as of 31.12.2024</v>
      </c>
    </row>
    <row r="879" spans="1:4" ht="25.5">
      <c r="A879" s="291" t="str">
        <f>"Stan odpisów na "&amp;dzbo</f>
        <v>Stan odpisów na 19.10.2023</v>
      </c>
      <c r="B879" s="291" t="str">
        <f>"Stand der Wertberichtigungen zum "&amp;dzbo</f>
        <v>Stand der Wertberichtigungen zum 19.10.2023</v>
      </c>
      <c r="C879" s="291" t="str">
        <f>"Value adjustment write-downs as of "&amp;dzbo</f>
        <v>Value adjustment write-downs as of 19.10.2023</v>
      </c>
    </row>
    <row r="880" spans="1:4" ht="25.5">
      <c r="A880" s="291" t="str">
        <f>"Stan odpisów na "&amp;dzb</f>
        <v>Stan odpisów na 31.12.2024</v>
      </c>
      <c r="B880" s="291" t="str">
        <f>"Stand der Wertberichtigungen zum "&amp;dzb</f>
        <v>Stand der Wertberichtigungen zum 31.12.2024</v>
      </c>
      <c r="C880" s="291" t="str">
        <f>"Value adjustment write-downs as of "&amp;dzb</f>
        <v>Value adjustment write-downs as of 31.12.2024</v>
      </c>
    </row>
    <row r="881" spans="1:5" ht="25.5">
      <c r="A881" s="291" t="str">
        <f>"Stan odpisów na "&amp;pdzo</f>
        <v>Stan odpisów na 19.10.2022</v>
      </c>
      <c r="B881" s="291" t="str">
        <f>"Stand der Wertberichtigungen zum "&amp;pdzo</f>
        <v>Stand der Wertberichtigungen zum 19.10.2022</v>
      </c>
      <c r="C881" s="291" t="str">
        <f>"Value adjustment write-downs as of "&amp;pdzo</f>
        <v>Value adjustment write-downs as of 19.10.2022</v>
      </c>
    </row>
    <row r="882" spans="1:5" ht="25.5">
      <c r="A882" s="291" t="str">
        <f>"Stan odpisów na "&amp;pdz</f>
        <v>Stan odpisów na 31.12.2023</v>
      </c>
      <c r="B882" s="291" t="str">
        <f>"Stand der Wertberichtigungen zum "&amp;pdz</f>
        <v>Stand der Wertberichtigungen zum 31.12.2023</v>
      </c>
      <c r="C882" s="291" t="str">
        <f>"Value adjustment write-downs as of "&amp;pdz</f>
        <v>Value adjustment write-downs as of 31.12.2023</v>
      </c>
    </row>
    <row r="883" spans="1:5">
      <c r="A883" s="291" t="str">
        <f>"Zapasy brutto na "&amp;pdz</f>
        <v>Zapasy brutto na 31.12.2023</v>
      </c>
      <c r="B883" s="291" t="str">
        <f>"Vorräte brutto zum "&amp;pdz</f>
        <v>Vorräte brutto zum 31.12.2023</v>
      </c>
      <c r="C883" s="291" t="str">
        <f>"Gross inventories as of "&amp;pdz</f>
        <v>Gross inventories as of 31.12.2023</v>
      </c>
      <c r="D883" s="95"/>
      <c r="E883" s="95"/>
    </row>
    <row r="884" spans="1:5">
      <c r="A884" s="291" t="str">
        <f>"Zapasy netto na "&amp;pdz</f>
        <v>Zapasy netto na 31.12.2023</v>
      </c>
      <c r="B884" s="291" t="str">
        <f>"Vorräte netto zum "&amp;pdz</f>
        <v>Vorräte netto zum 31.12.2023</v>
      </c>
      <c r="C884" s="291" t="str">
        <f>"Net inventories as of "&amp;pdz</f>
        <v>Net inventories as of 31.12.2023</v>
      </c>
      <c r="D884" s="95"/>
      <c r="E884" s="95"/>
    </row>
    <row r="885" spans="1:5" ht="25.5">
      <c r="A885" s="291" t="str">
        <f>"Zmiany stanu odpisów aktualizujących zapasy w ciągu roku obrotowego "&amp;ro</f>
        <v>Zmiany stanu odpisów aktualizujących zapasy w ciągu roku obrotowego 2024</v>
      </c>
      <c r="B885" s="291" t="str">
        <f>"Änderungen bei den Wertberichtigungen auf Vorräte im Laufe des Geschäftsjahres "&amp;ro</f>
        <v>Änderungen bei den Wertberichtigungen auf Vorräte im Laufe des Geschäftsjahres 2024</v>
      </c>
      <c r="C885" s="291" t="str">
        <f>"Movements in value adjustment write-downs of inventories during the FY "&amp;ro</f>
        <v>Movements in value adjustment write-downs of inventories during the FY 2024</v>
      </c>
      <c r="D885" s="95"/>
    </row>
    <row r="886" spans="1:5" ht="39" customHeight="1">
      <c r="A886" s="291" t="str">
        <f>"Zmiany stanu odpisów aktualizujących zapasy w ciągu roku obrotowego "&amp;IF(LEN(ro)&gt;4,_xlfn.TEXTBEFORE(ro,"/")-1&amp;"/"&amp;_xlfn.TEXTAFTER(ro,"/")-1,ro-1)</f>
        <v>Zmiany stanu odpisów aktualizujących zapasy w ciągu roku obrotowego 2023</v>
      </c>
      <c r="B886" s="291" t="str">
        <f>"Änderungen bei den Wertberichtigungen auf Vorräte im Laufe des Geschäftsjahres "&amp;IF(LEN(ro)&gt;4,_xlfn.TEXTBEFORE(ro,"/")-1&amp;"/"&amp;_xlfn.TEXTAFTER(ro,"/")-1,ro-1)</f>
        <v>Änderungen bei den Wertberichtigungen auf Vorräte im Laufe des Geschäftsjahres 2023</v>
      </c>
      <c r="C886" s="291" t="str">
        <f>"Movements in value adjustment write-downs of inventories during the FY "&amp;IF(LEN(ro)&gt;4,_xlfn.TEXTBEFORE(ro,"/")-1&amp;"/"&amp;_xlfn.TEXTAFTER(ro,"/")-1,ro-1)</f>
        <v>Movements in value adjustment write-downs of inventories during the FY 2023</v>
      </c>
      <c r="D886" s="95"/>
    </row>
    <row r="887" spans="1:5" ht="51">
      <c r="A887" s="291" t="s">
        <v>653</v>
      </c>
      <c r="B887" s="293" t="s">
        <v>305</v>
      </c>
      <c r="C887" s="291" t="s">
        <v>652</v>
      </c>
      <c r="D887" s="95"/>
    </row>
    <row r="888" spans="1:5" ht="38.25">
      <c r="A888" s="291" t="str">
        <f>"W roku obrotowym "&amp;ro&amp;" nie zaniechano części działalności oraz nie planuje się jej zaniechania w roku kolejnym."</f>
        <v>W roku obrotowym 2024 nie zaniechano części działalności oraz nie planuje się jej zaniechania w roku kolejnym.</v>
      </c>
      <c r="B888" s="291" t="str">
        <f>"Im Geschäftsjahr "&amp;ro&amp;" wurde die Tätigkeit weder teilweise eingestellt noch ist deren Einstellung im nächsten Jahr geplant."</f>
        <v>Im Geschäftsjahr 2024 wurde die Tätigkeit weder teilweise eingestellt noch ist deren Einstellung im nächsten Jahr geplant.</v>
      </c>
      <c r="C888" s="291" t="str">
        <f>"No part of the business was discontinued in the financial year "&amp;ro&amp;" and the Company does not plan its discontnuation in the following year."</f>
        <v>No part of the business was discontinued in the financial year 2024 and the Company does not plan its discontnuation in the following year.</v>
      </c>
      <c r="D888" s="95"/>
    </row>
    <row r="889" spans="1:5">
      <c r="A889" s="291" t="s">
        <v>2960</v>
      </c>
      <c r="B889" s="291" t="s">
        <v>2979</v>
      </c>
      <c r="C889" s="293" t="s">
        <v>3024</v>
      </c>
      <c r="D889" s="95"/>
    </row>
    <row r="890" spans="1:5">
      <c r="A890" s="291" t="s">
        <v>2959</v>
      </c>
      <c r="B890" s="291" t="s">
        <v>2980</v>
      </c>
      <c r="C890" s="291" t="s">
        <v>3025</v>
      </c>
      <c r="D890" s="95"/>
    </row>
    <row r="891" spans="1:5">
      <c r="A891" s="291" t="s">
        <v>1505</v>
      </c>
      <c r="B891" s="291" t="s">
        <v>572</v>
      </c>
      <c r="C891" s="291" t="s">
        <v>3026</v>
      </c>
      <c r="D891" s="95"/>
    </row>
    <row r="892" spans="1:5">
      <c r="A892" s="291" t="s">
        <v>411</v>
      </c>
      <c r="B892" s="291" t="s">
        <v>573</v>
      </c>
      <c r="C892" s="291" t="s">
        <v>3027</v>
      </c>
      <c r="D892" s="95"/>
    </row>
    <row r="893" spans="1:5">
      <c r="A893" s="291" t="s">
        <v>2962</v>
      </c>
      <c r="B893" s="291" t="s">
        <v>1359</v>
      </c>
      <c r="C893" s="291" t="s">
        <v>3028</v>
      </c>
      <c r="D893" s="95"/>
    </row>
    <row r="894" spans="1:5" ht="25.5">
      <c r="A894" s="291" t="s">
        <v>2961</v>
      </c>
      <c r="B894" s="291" t="s">
        <v>2981</v>
      </c>
      <c r="C894" s="293" t="s">
        <v>3029</v>
      </c>
      <c r="D894" s="95"/>
    </row>
    <row r="895" spans="1:5" ht="51">
      <c r="A895" s="291" t="s">
        <v>651</v>
      </c>
      <c r="B895" s="489" t="s">
        <v>306</v>
      </c>
      <c r="C895" s="291" t="s">
        <v>1992</v>
      </c>
      <c r="D895" s="95"/>
    </row>
    <row r="896" spans="1:5">
      <c r="A896" s="291" t="s">
        <v>401</v>
      </c>
      <c r="B896" s="293" t="s">
        <v>5945</v>
      </c>
      <c r="C896" s="291" t="s">
        <v>5946</v>
      </c>
      <c r="D896" s="95"/>
    </row>
    <row r="897" spans="1:6">
      <c r="A897" s="291" t="s">
        <v>5947</v>
      </c>
      <c r="B897" s="293" t="s">
        <v>5948</v>
      </c>
      <c r="C897" s="291" t="s">
        <v>5949</v>
      </c>
      <c r="D897" s="532"/>
      <c r="E897" s="532"/>
      <c r="F897" s="533"/>
    </row>
    <row r="898" spans="1:6" ht="25.5">
      <c r="A898" s="291" t="s">
        <v>2461</v>
      </c>
      <c r="B898" s="291" t="s">
        <v>2861</v>
      </c>
      <c r="C898" s="291" t="s">
        <v>2904</v>
      </c>
      <c r="D898" s="95"/>
    </row>
    <row r="899" spans="1:6" ht="25.5">
      <c r="A899" s="291" t="s">
        <v>6383</v>
      </c>
      <c r="B899" s="291" t="s">
        <v>6384</v>
      </c>
      <c r="C899" s="291" t="s">
        <v>6385</v>
      </c>
      <c r="D899" s="95"/>
    </row>
    <row r="900" spans="1:6" ht="25.5">
      <c r="A900" s="291" t="s">
        <v>4491</v>
      </c>
      <c r="B900" s="291" t="s">
        <v>2863</v>
      </c>
      <c r="C900" s="291" t="s">
        <v>2909</v>
      </c>
      <c r="D900" s="95"/>
    </row>
    <row r="901" spans="1:6" ht="38.25">
      <c r="A901" s="291" t="s">
        <v>6805</v>
      </c>
      <c r="B901" s="291" t="s">
        <v>2864</v>
      </c>
      <c r="C901" s="291" t="s">
        <v>2952</v>
      </c>
      <c r="D901" s="95"/>
    </row>
    <row r="902" spans="1:6" ht="38.25">
      <c r="A902" s="291" t="s">
        <v>6386</v>
      </c>
      <c r="B902" s="291" t="s">
        <v>6387</v>
      </c>
      <c r="C902" s="291" t="s">
        <v>6388</v>
      </c>
      <c r="D902" s="95"/>
    </row>
    <row r="903" spans="1:6" ht="38.25">
      <c r="A903" s="291" t="s">
        <v>2466</v>
      </c>
      <c r="B903" s="291" t="s">
        <v>2865</v>
      </c>
      <c r="C903" s="291" t="s">
        <v>2928</v>
      </c>
      <c r="D903" s="95"/>
    </row>
    <row r="904" spans="1:6" ht="51">
      <c r="A904" s="291" t="s">
        <v>2467</v>
      </c>
      <c r="B904" s="291" t="s">
        <v>2866</v>
      </c>
      <c r="C904" s="291" t="s">
        <v>2953</v>
      </c>
      <c r="D904" s="95"/>
    </row>
    <row r="905" spans="1:6">
      <c r="A905" s="291" t="s">
        <v>2468</v>
      </c>
      <c r="B905" s="291" t="s">
        <v>2867</v>
      </c>
      <c r="C905" s="291" t="s">
        <v>2941</v>
      </c>
      <c r="D905" s="95"/>
    </row>
    <row r="906" spans="1:6" ht="25.5">
      <c r="A906" s="291" t="s">
        <v>2469</v>
      </c>
      <c r="B906" s="291" t="s">
        <v>2868</v>
      </c>
      <c r="C906" s="291" t="s">
        <v>2942</v>
      </c>
      <c r="D906" s="95"/>
    </row>
    <row r="907" spans="1:6" ht="25.5">
      <c r="A907" s="291" t="s">
        <v>2470</v>
      </c>
      <c r="B907" s="291" t="s">
        <v>2869</v>
      </c>
      <c r="C907" s="291" t="s">
        <v>2954</v>
      </c>
      <c r="D907" s="95"/>
    </row>
    <row r="908" spans="1:6">
      <c r="A908" s="291" t="s">
        <v>2472</v>
      </c>
      <c r="B908" s="291" t="s">
        <v>2870</v>
      </c>
      <c r="C908" s="291" t="s">
        <v>2944</v>
      </c>
      <c r="D908" s="95"/>
    </row>
    <row r="909" spans="1:6" ht="25.5">
      <c r="A909" s="291" t="s">
        <v>2474</v>
      </c>
      <c r="B909" s="291" t="s">
        <v>6433</v>
      </c>
      <c r="C909" s="291" t="s">
        <v>2955</v>
      </c>
      <c r="D909" s="95"/>
    </row>
    <row r="910" spans="1:6" ht="25.5">
      <c r="A910" s="291" t="s">
        <v>2475</v>
      </c>
      <c r="B910" s="291" t="s">
        <v>6434</v>
      </c>
      <c r="C910" s="291" t="s">
        <v>2956</v>
      </c>
      <c r="D910" s="95"/>
    </row>
    <row r="911" spans="1:6">
      <c r="A911" s="291" t="s">
        <v>2473</v>
      </c>
      <c r="B911" s="291" t="s">
        <v>695</v>
      </c>
      <c r="C911" s="291" t="s">
        <v>576</v>
      </c>
      <c r="D911" s="95"/>
    </row>
    <row r="912" spans="1:6">
      <c r="A912" s="291" t="s">
        <v>989</v>
      </c>
      <c r="B912" s="489" t="s">
        <v>379</v>
      </c>
      <c r="C912" s="291" t="s">
        <v>1993</v>
      </c>
      <c r="D912" s="95"/>
    </row>
    <row r="913" spans="1:7">
      <c r="A913" s="291" t="s">
        <v>1314</v>
      </c>
      <c r="B913" s="489" t="s">
        <v>1018</v>
      </c>
      <c r="C913" s="291" t="s">
        <v>1291</v>
      </c>
      <c r="D913" s="95"/>
    </row>
    <row r="914" spans="1:7" ht="25.5">
      <c r="A914" s="291" t="s">
        <v>990</v>
      </c>
      <c r="B914" s="489" t="s">
        <v>255</v>
      </c>
      <c r="C914" s="291" t="s">
        <v>1994</v>
      </c>
      <c r="D914" s="95"/>
    </row>
    <row r="915" spans="1:7" ht="51">
      <c r="A915" s="291" t="s">
        <v>991</v>
      </c>
      <c r="B915" s="489" t="s">
        <v>256</v>
      </c>
      <c r="C915" s="291" t="s">
        <v>1995</v>
      </c>
      <c r="D915" s="95"/>
    </row>
    <row r="916" spans="1:7">
      <c r="A916" s="291" t="s">
        <v>1509</v>
      </c>
      <c r="B916" s="489" t="s">
        <v>257</v>
      </c>
      <c r="C916" s="291" t="s">
        <v>580</v>
      </c>
      <c r="D916" s="95"/>
    </row>
    <row r="917" spans="1:7">
      <c r="A917" s="291" t="s">
        <v>404</v>
      </c>
      <c r="B917" s="293" t="s">
        <v>1491</v>
      </c>
      <c r="C917" s="291" t="s">
        <v>581</v>
      </c>
      <c r="D917" s="95"/>
    </row>
    <row r="918" spans="1:7">
      <c r="A918" s="291" t="s">
        <v>405</v>
      </c>
      <c r="B918" s="293" t="s">
        <v>1492</v>
      </c>
      <c r="C918" s="291" t="s">
        <v>582</v>
      </c>
      <c r="D918" s="95"/>
    </row>
    <row r="919" spans="1:7" ht="25.5">
      <c r="A919" s="291" t="s">
        <v>1510</v>
      </c>
      <c r="B919" s="293" t="s">
        <v>1493</v>
      </c>
      <c r="C919" s="291" t="s">
        <v>583</v>
      </c>
      <c r="D919" s="95"/>
    </row>
    <row r="920" spans="1:7">
      <c r="A920" s="291" t="s">
        <v>401</v>
      </c>
      <c r="B920" s="293" t="s">
        <v>380</v>
      </c>
      <c r="C920" s="291" t="s">
        <v>584</v>
      </c>
      <c r="D920" s="95"/>
    </row>
    <row r="921" spans="1:7">
      <c r="A921" s="291" t="s">
        <v>848</v>
      </c>
      <c r="B921" s="293" t="s">
        <v>2364</v>
      </c>
      <c r="C921" s="291" t="s">
        <v>585</v>
      </c>
      <c r="D921" s="534"/>
      <c r="E921" s="291" t="s">
        <v>200</v>
      </c>
    </row>
    <row r="922" spans="1:7">
      <c r="A922" s="291" t="s">
        <v>1511</v>
      </c>
      <c r="B922" s="293" t="s">
        <v>1076</v>
      </c>
      <c r="C922" s="291" t="s">
        <v>586</v>
      </c>
      <c r="D922" s="511"/>
      <c r="E922" s="291" t="s">
        <v>201</v>
      </c>
    </row>
    <row r="923" spans="1:7" ht="63.75">
      <c r="A923" s="291" t="s">
        <v>4589</v>
      </c>
      <c r="B923" s="293" t="s">
        <v>4591</v>
      </c>
      <c r="C923" s="293" t="s">
        <v>4590</v>
      </c>
      <c r="D923" s="511"/>
    </row>
    <row r="924" spans="1:7" ht="25.5">
      <c r="A924" s="291" t="s">
        <v>6052</v>
      </c>
      <c r="B924" s="293" t="s">
        <v>6053</v>
      </c>
      <c r="C924" s="293" t="s">
        <v>1273</v>
      </c>
      <c r="D924" s="95"/>
      <c r="E924" s="291" t="s">
        <v>2182</v>
      </c>
      <c r="F924" s="293" t="s">
        <v>2183</v>
      </c>
      <c r="G924" s="291" t="s">
        <v>2184</v>
      </c>
    </row>
    <row r="925" spans="1:7" ht="25.5">
      <c r="A925" s="293" t="s">
        <v>6676</v>
      </c>
      <c r="B925" s="670" t="s">
        <v>6053</v>
      </c>
      <c r="C925" s="670" t="s">
        <v>1273</v>
      </c>
      <c r="D925" s="95"/>
      <c r="F925" s="293"/>
    </row>
    <row r="926" spans="1:7" ht="38.25">
      <c r="A926" s="291" t="s">
        <v>6051</v>
      </c>
      <c r="B926" s="293" t="s">
        <v>6266</v>
      </c>
      <c r="C926" s="293" t="s">
        <v>6129</v>
      </c>
      <c r="D926" s="95"/>
    </row>
    <row r="927" spans="1:7" ht="38.25">
      <c r="A927" s="293" t="s">
        <v>6677</v>
      </c>
      <c r="B927" s="670" t="s">
        <v>6266</v>
      </c>
      <c r="C927" s="670" t="s">
        <v>6129</v>
      </c>
      <c r="D927" s="95"/>
    </row>
    <row r="928" spans="1:7" ht="25.5">
      <c r="A928" s="291" t="s">
        <v>6602</v>
      </c>
      <c r="B928" s="293" t="s">
        <v>6603</v>
      </c>
      <c r="C928" s="293" t="s">
        <v>6604</v>
      </c>
      <c r="D928" s="95"/>
    </row>
    <row r="929" spans="1:4" ht="25.5">
      <c r="A929" s="293" t="s">
        <v>6678</v>
      </c>
      <c r="B929" s="670" t="s">
        <v>6603</v>
      </c>
      <c r="C929" s="670" t="s">
        <v>6604</v>
      </c>
      <c r="D929" s="95"/>
    </row>
    <row r="930" spans="1:4" ht="25.5">
      <c r="A930" s="291" t="s">
        <v>1513</v>
      </c>
      <c r="B930" s="293" t="s">
        <v>1349</v>
      </c>
      <c r="C930" s="293" t="s">
        <v>1996</v>
      </c>
      <c r="D930" s="95"/>
    </row>
    <row r="931" spans="1:4">
      <c r="A931" s="291" t="s">
        <v>1299</v>
      </c>
      <c r="B931" s="293" t="s">
        <v>2365</v>
      </c>
      <c r="C931" s="291" t="s">
        <v>5806</v>
      </c>
      <c r="D931" s="95"/>
    </row>
    <row r="932" spans="1:4">
      <c r="A932" s="291" t="s">
        <v>1514</v>
      </c>
      <c r="B932" s="293" t="s">
        <v>2366</v>
      </c>
      <c r="C932" s="291" t="s">
        <v>588</v>
      </c>
      <c r="D932" s="95"/>
    </row>
    <row r="933" spans="1:4" ht="25.5">
      <c r="A933" s="291" t="s">
        <v>191</v>
      </c>
      <c r="B933" s="293" t="s">
        <v>307</v>
      </c>
      <c r="C933" s="291" t="s">
        <v>589</v>
      </c>
      <c r="D933" s="95"/>
    </row>
    <row r="934" spans="1:4">
      <c r="A934" s="291" t="s">
        <v>1515</v>
      </c>
      <c r="B934" s="293" t="s">
        <v>1077</v>
      </c>
      <c r="C934" s="291" t="s">
        <v>590</v>
      </c>
      <c r="D934" s="95"/>
    </row>
    <row r="935" spans="1:4">
      <c r="A935" s="291" t="s">
        <v>1516</v>
      </c>
      <c r="B935" s="293" t="s">
        <v>1078</v>
      </c>
      <c r="C935" s="291" t="s">
        <v>591</v>
      </c>
      <c r="D935" s="95"/>
    </row>
    <row r="936" spans="1:4">
      <c r="A936" s="291" t="s">
        <v>1517</v>
      </c>
      <c r="B936" s="293" t="s">
        <v>1079</v>
      </c>
      <c r="C936" s="291" t="s">
        <v>592</v>
      </c>
      <c r="D936" s="95"/>
    </row>
    <row r="937" spans="1:4" ht="25.5">
      <c r="A937" s="291" t="s">
        <v>6461</v>
      </c>
      <c r="B937" s="293" t="s">
        <v>6462</v>
      </c>
      <c r="C937" s="291" t="s">
        <v>6463</v>
      </c>
      <c r="D937" s="95"/>
    </row>
    <row r="938" spans="1:4" ht="25.5">
      <c r="A938" s="291" t="s">
        <v>1518</v>
      </c>
      <c r="B938" s="293" t="s">
        <v>1019</v>
      </c>
      <c r="C938" s="291" t="s">
        <v>5807</v>
      </c>
      <c r="D938" s="95"/>
    </row>
    <row r="939" spans="1:4" ht="51">
      <c r="A939" s="291" t="s">
        <v>2166</v>
      </c>
      <c r="B939" s="293" t="s">
        <v>2229</v>
      </c>
      <c r="C939" s="291" t="s">
        <v>4594</v>
      </c>
      <c r="D939" s="95"/>
    </row>
    <row r="940" spans="1:4">
      <c r="A940" s="291" t="s">
        <v>1185</v>
      </c>
      <c r="B940" s="293" t="s">
        <v>660</v>
      </c>
      <c r="C940" s="291" t="s">
        <v>371</v>
      </c>
      <c r="D940" s="95"/>
    </row>
    <row r="941" spans="1:4" ht="25.5" customHeight="1">
      <c r="A941" s="291" t="s">
        <v>2105</v>
      </c>
      <c r="B941" s="293" t="s">
        <v>2139</v>
      </c>
      <c r="C941" s="291" t="s">
        <v>2140</v>
      </c>
      <c r="D941" s="95"/>
    </row>
    <row r="942" spans="1:4" ht="63.75">
      <c r="A942" s="293" t="s">
        <v>6235</v>
      </c>
      <c r="B942" s="293" t="s">
        <v>6265</v>
      </c>
      <c r="C942" s="291" t="s">
        <v>6130</v>
      </c>
      <c r="D942" s="95"/>
    </row>
    <row r="943" spans="1:4" ht="63.75">
      <c r="A943" s="293" t="s">
        <v>6683</v>
      </c>
      <c r="B943" s="670" t="s">
        <v>6265</v>
      </c>
      <c r="C943" s="669" t="s">
        <v>6130</v>
      </c>
      <c r="D943" s="95"/>
    </row>
    <row r="944" spans="1:4" ht="51">
      <c r="A944" s="293" t="s">
        <v>6611</v>
      </c>
      <c r="B944" s="293" t="s">
        <v>6612</v>
      </c>
      <c r="C944" s="291" t="s">
        <v>6613</v>
      </c>
      <c r="D944" s="95"/>
    </row>
    <row r="945" spans="1:4" ht="51">
      <c r="A945" s="293" t="s">
        <v>6684</v>
      </c>
      <c r="B945" s="670" t="s">
        <v>6612</v>
      </c>
      <c r="C945" s="669" t="s">
        <v>6613</v>
      </c>
      <c r="D945" s="95"/>
    </row>
    <row r="946" spans="1:4" ht="25.5">
      <c r="A946" s="291" t="s">
        <v>5965</v>
      </c>
      <c r="B946" s="291" t="s">
        <v>6435</v>
      </c>
      <c r="C946" s="291" t="s">
        <v>6436</v>
      </c>
      <c r="D946" s="95"/>
    </row>
    <row r="947" spans="1:4">
      <c r="A947" s="291" t="s">
        <v>5950</v>
      </c>
      <c r="B947" s="293" t="s">
        <v>6267</v>
      </c>
      <c r="C947" s="291" t="s">
        <v>1242</v>
      </c>
      <c r="D947" s="95"/>
    </row>
    <row r="948" spans="1:4" ht="25.5">
      <c r="A948" s="291" t="s">
        <v>5954</v>
      </c>
      <c r="B948" s="293" t="s">
        <v>6268</v>
      </c>
      <c r="C948" s="291" t="s">
        <v>6131</v>
      </c>
      <c r="D948" s="95"/>
    </row>
    <row r="949" spans="1:4" ht="25.5">
      <c r="A949" s="291" t="s">
        <v>5966</v>
      </c>
      <c r="B949" s="293" t="s">
        <v>6269</v>
      </c>
      <c r="C949" s="291" t="s">
        <v>6132</v>
      </c>
      <c r="D949" s="95"/>
    </row>
    <row r="950" spans="1:4">
      <c r="A950" s="291" t="s">
        <v>5967</v>
      </c>
      <c r="B950" s="293" t="s">
        <v>6270</v>
      </c>
      <c r="C950" s="291" t="s">
        <v>6133</v>
      </c>
      <c r="D950" s="95"/>
    </row>
    <row r="951" spans="1:4">
      <c r="A951" s="291" t="s">
        <v>5952</v>
      </c>
      <c r="B951" s="293" t="s">
        <v>6271</v>
      </c>
      <c r="C951" s="291" t="s">
        <v>6134</v>
      </c>
      <c r="D951" s="95"/>
    </row>
    <row r="952" spans="1:4" ht="25.5">
      <c r="A952" s="291" t="s">
        <v>264</v>
      </c>
      <c r="B952" s="293" t="s">
        <v>6272</v>
      </c>
      <c r="C952" s="291" t="s">
        <v>209</v>
      </c>
      <c r="D952" s="95"/>
    </row>
    <row r="953" spans="1:4" ht="25.5">
      <c r="A953" s="291" t="s">
        <v>6040</v>
      </c>
      <c r="B953" s="293" t="s">
        <v>6273</v>
      </c>
      <c r="C953" s="291" t="s">
        <v>6135</v>
      </c>
      <c r="D953" s="95"/>
    </row>
    <row r="954" spans="1:4" ht="38.25">
      <c r="A954" s="291" t="s">
        <v>6041</v>
      </c>
      <c r="B954" s="293" t="s">
        <v>6274</v>
      </c>
      <c r="C954" s="291" t="s">
        <v>6136</v>
      </c>
      <c r="D954" s="95"/>
    </row>
    <row r="955" spans="1:4" ht="25.5">
      <c r="A955" s="291" t="s">
        <v>6438</v>
      </c>
      <c r="B955" s="293" t="s">
        <v>6275</v>
      </c>
      <c r="C955" s="514" t="s">
        <v>6490</v>
      </c>
      <c r="D955" s="95"/>
    </row>
    <row r="956" spans="1:4" ht="25.5">
      <c r="A956" s="291" t="s">
        <v>5958</v>
      </c>
      <c r="B956" s="293" t="s">
        <v>6276</v>
      </c>
      <c r="C956" s="291" t="s">
        <v>6137</v>
      </c>
      <c r="D956" s="95"/>
    </row>
    <row r="957" spans="1:4">
      <c r="B957" s="293"/>
      <c r="D957" s="95"/>
    </row>
    <row r="958" spans="1:4">
      <c r="A958" s="291" t="s">
        <v>5955</v>
      </c>
      <c r="B958" s="293" t="s">
        <v>6277</v>
      </c>
      <c r="C958" s="291" t="s">
        <v>6485</v>
      </c>
      <c r="D958" s="95"/>
    </row>
    <row r="959" spans="1:4" ht="25.5">
      <c r="A959" s="291" t="s">
        <v>5959</v>
      </c>
      <c r="B959" s="293" t="s">
        <v>6278</v>
      </c>
      <c r="C959" s="291" t="s">
        <v>6138</v>
      </c>
      <c r="D959" s="95"/>
    </row>
    <row r="960" spans="1:4" ht="25.5">
      <c r="A960" s="291" t="s">
        <v>5956</v>
      </c>
      <c r="B960" s="293" t="s">
        <v>6279</v>
      </c>
      <c r="C960" s="514" t="s">
        <v>6491</v>
      </c>
      <c r="D960" s="95"/>
    </row>
    <row r="961" spans="1:4" ht="25.5">
      <c r="A961" s="291" t="s">
        <v>5957</v>
      </c>
      <c r="B961" s="293" t="s">
        <v>6280</v>
      </c>
      <c r="C961" s="291" t="s">
        <v>6139</v>
      </c>
      <c r="D961" s="95"/>
    </row>
    <row r="962" spans="1:4" ht="51">
      <c r="A962" s="291" t="s">
        <v>2171</v>
      </c>
      <c r="B962" s="293" t="s">
        <v>2172</v>
      </c>
      <c r="C962" s="498" t="s">
        <v>4593</v>
      </c>
      <c r="D962" s="95"/>
    </row>
    <row r="963" spans="1:4">
      <c r="A963" s="291" t="s">
        <v>1520</v>
      </c>
      <c r="B963" s="293" t="s">
        <v>1080</v>
      </c>
      <c r="C963" s="498" t="s">
        <v>1292</v>
      </c>
    </row>
    <row r="964" spans="1:4">
      <c r="A964" s="503" t="s">
        <v>6797</v>
      </c>
      <c r="B964" s="538" t="s">
        <v>6799</v>
      </c>
      <c r="C964" s="502" t="s">
        <v>6801</v>
      </c>
    </row>
    <row r="965" spans="1:4" ht="38.25">
      <c r="A965" s="503" t="s">
        <v>6798</v>
      </c>
      <c r="B965" s="538" t="s">
        <v>6800</v>
      </c>
      <c r="C965" s="502" t="s">
        <v>6802</v>
      </c>
    </row>
    <row r="966" spans="1:4" ht="24.75" customHeight="1">
      <c r="A966" s="291" t="s">
        <v>6794</v>
      </c>
      <c r="B966" s="293" t="s">
        <v>6796</v>
      </c>
      <c r="C966" s="498" t="s">
        <v>6795</v>
      </c>
      <c r="D966" s="95"/>
    </row>
    <row r="967" spans="1:4" ht="38.25">
      <c r="A967" s="291" t="s">
        <v>1765</v>
      </c>
      <c r="B967" s="293" t="s">
        <v>1799</v>
      </c>
      <c r="C967" s="498" t="s">
        <v>2016</v>
      </c>
      <c r="D967" s="95"/>
    </row>
    <row r="968" spans="1:4" ht="38.25">
      <c r="A968" s="291" t="s">
        <v>2</v>
      </c>
      <c r="B968" s="293" t="s">
        <v>1667</v>
      </c>
      <c r="C968" s="291" t="s">
        <v>5808</v>
      </c>
      <c r="D968" s="95"/>
    </row>
    <row r="969" spans="1:4" ht="38.25">
      <c r="A969" s="291" t="str">
        <f>"Spółka nie ponosiła w roku obrotowym "&amp;ro&amp;" nakładów na niefinansowe aktywa trwałe."</f>
        <v>Spółka nie ponosiła w roku obrotowym 2024 nakładów na niefinansowe aktywa trwałe.</v>
      </c>
      <c r="B969" s="293" t="str">
        <f>"Im Geschäftsjahr "&amp;ro&amp;" hat die Gesellschaft keine Aufwendungen für nicht finanzielle Vermögenswerte getragen."</f>
        <v>Im Geschäftsjahr 2024 hat die Gesellschaft keine Aufwendungen für nicht finanzielle Vermögenswerte getragen.</v>
      </c>
      <c r="C969" s="291" t="str">
        <f>"The Company made no outlays for non-financial tangible assets in the financial year "&amp;ro&amp;"."</f>
        <v>The Company made no outlays for non-financial tangible assets in the financial year 2024.</v>
      </c>
      <c r="D969" s="95"/>
    </row>
    <row r="970" spans="1:4" ht="38.25">
      <c r="A970" s="291" t="str">
        <f>"Oddział nie ponosił w roku obrotowym "&amp;ro&amp;" nakładów na niefinansowe aktywa trwałe."</f>
        <v>Oddział nie ponosił w roku obrotowym 2024 nakładów na niefinansowe aktywa trwałe.</v>
      </c>
      <c r="B970" s="670" t="str">
        <f>"Im Geschäftsjahr "&amp;ro&amp;" hat die Gesellschaft keine Aufwendungen für nicht finanzielle Vermögenswerte getragen."</f>
        <v>Im Geschäftsjahr 2024 hat die Gesellschaft keine Aufwendungen für nicht finanzielle Vermögenswerte getragen.</v>
      </c>
      <c r="C970" s="669" t="str">
        <f>"The Company made no outlays for non-financial tangible assets in the financial year "&amp;ro&amp;"."</f>
        <v>The Company made no outlays for non-financial tangible assets in the financial year 2024.</v>
      </c>
      <c r="D970" s="95"/>
    </row>
    <row r="971" spans="1:4" ht="51">
      <c r="A971" s="291" t="s">
        <v>5587</v>
      </c>
      <c r="B971" s="293" t="s">
        <v>5861</v>
      </c>
      <c r="C971" s="291" t="s">
        <v>5809</v>
      </c>
      <c r="D971" s="95"/>
    </row>
    <row r="972" spans="1:4">
      <c r="A972" s="291" t="s">
        <v>5913</v>
      </c>
      <c r="B972" s="293" t="s">
        <v>5915</v>
      </c>
      <c r="C972" s="498" t="s">
        <v>5916</v>
      </c>
      <c r="D972" s="95"/>
    </row>
    <row r="973" spans="1:4" ht="25.5">
      <c r="A973" s="291" t="s">
        <v>1522</v>
      </c>
      <c r="B973" s="293" t="s">
        <v>1081</v>
      </c>
      <c r="C973" s="291" t="s">
        <v>548</v>
      </c>
      <c r="D973" s="95"/>
    </row>
    <row r="974" spans="1:4">
      <c r="A974" s="291" t="s">
        <v>5914</v>
      </c>
      <c r="B974" s="293" t="s">
        <v>5917</v>
      </c>
      <c r="C974" s="498" t="s">
        <v>5918</v>
      </c>
      <c r="D974" s="524"/>
    </row>
    <row r="975" spans="1:4" ht="25.5">
      <c r="A975" s="291" t="s">
        <v>850</v>
      </c>
      <c r="B975" s="293" t="s">
        <v>1081</v>
      </c>
      <c r="C975" s="291" t="s">
        <v>277</v>
      </c>
      <c r="D975" s="95"/>
    </row>
    <row r="976" spans="1:4" ht="51">
      <c r="A976" s="291" t="s">
        <v>2169</v>
      </c>
      <c r="B976" s="293" t="s">
        <v>2440</v>
      </c>
      <c r="C976" s="498" t="s">
        <v>2420</v>
      </c>
      <c r="D976" s="95"/>
    </row>
    <row r="977" spans="1:9">
      <c r="A977" s="291" t="s">
        <v>1505</v>
      </c>
      <c r="B977" s="293" t="s">
        <v>572</v>
      </c>
      <c r="C977" s="498" t="s">
        <v>3026</v>
      </c>
      <c r="D977" s="95"/>
    </row>
    <row r="978" spans="1:9">
      <c r="A978" s="291" t="s">
        <v>411</v>
      </c>
      <c r="B978" s="293" t="s">
        <v>573</v>
      </c>
      <c r="C978" s="498" t="s">
        <v>587</v>
      </c>
      <c r="D978" s="95"/>
    </row>
    <row r="979" spans="1:9" ht="25.5">
      <c r="A979" s="291" t="s">
        <v>461</v>
      </c>
      <c r="B979" s="293" t="s">
        <v>1082</v>
      </c>
      <c r="C979" s="498" t="s">
        <v>278</v>
      </c>
      <c r="D979" s="95"/>
    </row>
    <row r="980" spans="1:9">
      <c r="A980" s="291" t="s">
        <v>419</v>
      </c>
      <c r="B980" s="293" t="s">
        <v>1338</v>
      </c>
      <c r="C980" s="498" t="s">
        <v>760</v>
      </c>
      <c r="D980" s="95"/>
    </row>
    <row r="981" spans="1:9">
      <c r="A981" s="291" t="s">
        <v>1136</v>
      </c>
      <c r="B981" s="293" t="s">
        <v>378</v>
      </c>
      <c r="C981" s="498" t="s">
        <v>1137</v>
      </c>
      <c r="D981" s="95"/>
    </row>
    <row r="982" spans="1:9">
      <c r="A982" s="291" t="s">
        <v>728</v>
      </c>
      <c r="B982" s="293" t="s">
        <v>1083</v>
      </c>
      <c r="C982" s="498" t="s">
        <v>1917</v>
      </c>
      <c r="D982" s="95"/>
    </row>
    <row r="983" spans="1:9">
      <c r="A983" s="291" t="s">
        <v>419</v>
      </c>
      <c r="B983" s="293" t="s">
        <v>1338</v>
      </c>
      <c r="C983" s="498" t="s">
        <v>760</v>
      </c>
      <c r="D983" s="95"/>
    </row>
    <row r="984" spans="1:9" ht="25.5">
      <c r="A984" s="291" t="s">
        <v>731</v>
      </c>
      <c r="B984" s="293" t="s">
        <v>1298</v>
      </c>
      <c r="C984" s="498" t="s">
        <v>280</v>
      </c>
      <c r="D984" s="95"/>
    </row>
    <row r="985" spans="1:9">
      <c r="A985" s="291" t="s">
        <v>1135</v>
      </c>
      <c r="B985" s="293" t="s">
        <v>377</v>
      </c>
      <c r="C985" s="498" t="s">
        <v>279</v>
      </c>
      <c r="D985" s="95"/>
    </row>
    <row r="986" spans="1:9">
      <c r="A986" s="291" t="s">
        <v>1136</v>
      </c>
      <c r="B986" s="293" t="s">
        <v>1020</v>
      </c>
      <c r="C986" s="498" t="s">
        <v>1137</v>
      </c>
      <c r="D986" s="95"/>
    </row>
    <row r="987" spans="1:9" ht="68.25" customHeight="1">
      <c r="A987" s="291" t="s">
        <v>730</v>
      </c>
      <c r="B987" s="293" t="s">
        <v>376</v>
      </c>
      <c r="C987" s="498" t="s">
        <v>55</v>
      </c>
      <c r="D987" s="424"/>
      <c r="E987" s="424"/>
      <c r="F987" s="424"/>
      <c r="G987" s="424"/>
      <c r="H987" s="424"/>
      <c r="I987" s="424"/>
    </row>
    <row r="988" spans="1:9" ht="25.5">
      <c r="A988" s="291" t="s">
        <v>731</v>
      </c>
      <c r="B988" s="293" t="s">
        <v>1021</v>
      </c>
      <c r="C988" s="498" t="s">
        <v>280</v>
      </c>
      <c r="D988" s="95"/>
    </row>
    <row r="989" spans="1:9" ht="63.75">
      <c r="A989" s="291" t="s">
        <v>2479</v>
      </c>
      <c r="B989" s="291" t="s">
        <v>5862</v>
      </c>
      <c r="C989" s="535" t="s">
        <v>4524</v>
      </c>
      <c r="D989" s="95"/>
    </row>
    <row r="990" spans="1:9">
      <c r="A990" s="291" t="s">
        <v>2480</v>
      </c>
      <c r="B990" s="489" t="s">
        <v>2871</v>
      </c>
      <c r="C990" s="498" t="s">
        <v>2957</v>
      </c>
      <c r="D990" s="95"/>
    </row>
    <row r="991" spans="1:9">
      <c r="A991" s="291" t="s">
        <v>2481</v>
      </c>
      <c r="B991" s="489" t="s">
        <v>2872</v>
      </c>
      <c r="C991" s="498" t="s">
        <v>2958</v>
      </c>
      <c r="D991" s="95"/>
    </row>
    <row r="992" spans="1:9" ht="102">
      <c r="A992" s="291" t="s">
        <v>5939</v>
      </c>
      <c r="B992" s="291" t="s">
        <v>5701</v>
      </c>
      <c r="C992" s="291" t="s">
        <v>5625</v>
      </c>
      <c r="D992" s="95"/>
    </row>
    <row r="993" spans="1:4" ht="25.5">
      <c r="A993" s="291" t="s">
        <v>5485</v>
      </c>
      <c r="B993" s="293" t="s">
        <v>5702</v>
      </c>
      <c r="C993" s="291" t="s">
        <v>5626</v>
      </c>
      <c r="D993" s="95"/>
    </row>
    <row r="994" spans="1:4">
      <c r="A994" s="291" t="s">
        <v>5486</v>
      </c>
      <c r="B994" s="293" t="s">
        <v>5703</v>
      </c>
      <c r="C994" s="291" t="s">
        <v>5627</v>
      </c>
      <c r="D994" s="95"/>
    </row>
    <row r="995" spans="1:4" ht="13.5" thickBot="1">
      <c r="A995" s="638" t="s">
        <v>192</v>
      </c>
      <c r="B995" s="640"/>
      <c r="C995" s="639"/>
    </row>
    <row r="996" spans="1:4" ht="51">
      <c r="A996" s="291" t="s">
        <v>304</v>
      </c>
      <c r="B996" s="293" t="s">
        <v>1084</v>
      </c>
      <c r="C996" s="498" t="s">
        <v>1293</v>
      </c>
    </row>
    <row r="997" spans="1:4" ht="51">
      <c r="A997" s="291" t="s">
        <v>193</v>
      </c>
      <c r="B997" s="501" t="s">
        <v>2367</v>
      </c>
      <c r="C997" s="498" t="s">
        <v>604</v>
      </c>
    </row>
    <row r="998" spans="1:4" ht="63.75">
      <c r="A998" s="291" t="s">
        <v>958</v>
      </c>
      <c r="B998" s="293" t="s">
        <v>2368</v>
      </c>
      <c r="C998" s="498" t="s">
        <v>281</v>
      </c>
    </row>
    <row r="999" spans="1:4" ht="25.5">
      <c r="A999" s="291" t="s">
        <v>5582</v>
      </c>
      <c r="B999" s="293" t="s">
        <v>5704</v>
      </c>
      <c r="C999" s="291" t="s">
        <v>5628</v>
      </c>
    </row>
    <row r="1000" spans="1:4" ht="25.5">
      <c r="A1000" s="293" t="s">
        <v>6685</v>
      </c>
      <c r="B1000" s="670" t="s">
        <v>5704</v>
      </c>
      <c r="C1000" s="669" t="s">
        <v>5628</v>
      </c>
    </row>
    <row r="1001" spans="1:4" ht="25.5">
      <c r="A1001" s="291" t="s">
        <v>1272</v>
      </c>
      <c r="B1001" s="293" t="s">
        <v>2345</v>
      </c>
      <c r="C1001" s="498" t="s">
        <v>912</v>
      </c>
    </row>
    <row r="1002" spans="1:4" ht="25.5">
      <c r="A1002" s="291" t="s">
        <v>1490</v>
      </c>
      <c r="B1002" s="293" t="s">
        <v>2346</v>
      </c>
      <c r="C1002" s="498" t="s">
        <v>803</v>
      </c>
    </row>
    <row r="1003" spans="1:4" ht="25.5">
      <c r="A1003" s="291" t="s">
        <v>645</v>
      </c>
      <c r="B1003" s="293" t="s">
        <v>2255</v>
      </c>
      <c r="C1003" s="291" t="s">
        <v>823</v>
      </c>
    </row>
    <row r="1004" spans="1:4">
      <c r="A1004" s="291" t="s">
        <v>6389</v>
      </c>
      <c r="B1004" s="293" t="s">
        <v>6390</v>
      </c>
      <c r="C1004" s="291" t="s">
        <v>6391</v>
      </c>
      <c r="D1004" s="520"/>
    </row>
    <row r="1005" spans="1:4" ht="25.5">
      <c r="A1005" s="291" t="s">
        <v>959</v>
      </c>
      <c r="B1005" s="293" t="s">
        <v>630</v>
      </c>
      <c r="C1005" s="291" t="s">
        <v>1997</v>
      </c>
    </row>
    <row r="1006" spans="1:4" ht="25.5">
      <c r="A1006" s="291" t="s">
        <v>960</v>
      </c>
      <c r="B1006" s="293" t="s">
        <v>310</v>
      </c>
      <c r="C1006" s="291" t="s">
        <v>1998</v>
      </c>
    </row>
    <row r="1007" spans="1:4" ht="13.5" thickBot="1">
      <c r="A1007" s="638" t="s">
        <v>194</v>
      </c>
      <c r="B1007" s="640"/>
      <c r="C1007" s="639"/>
    </row>
    <row r="1008" spans="1:4" ht="114.75">
      <c r="A1008" s="487" t="s">
        <v>4595</v>
      </c>
      <c r="B1008" s="487" t="s">
        <v>2441</v>
      </c>
      <c r="C1008" s="536" t="s">
        <v>4596</v>
      </c>
    </row>
    <row r="1009" spans="1:3" ht="38.25">
      <c r="A1009" s="487" t="s">
        <v>6095</v>
      </c>
      <c r="B1009" s="487" t="s">
        <v>6281</v>
      </c>
      <c r="C1009" s="536" t="s">
        <v>6140</v>
      </c>
    </row>
    <row r="1010" spans="1:3" ht="25.5">
      <c r="A1010" s="487" t="s">
        <v>6614</v>
      </c>
      <c r="B1010" s="487" t="s">
        <v>6615</v>
      </c>
      <c r="C1010" s="536" t="s">
        <v>6616</v>
      </c>
    </row>
    <row r="1011" spans="1:3" ht="52.5" customHeight="1">
      <c r="A1011" s="487" t="s">
        <v>1300</v>
      </c>
      <c r="B1011" s="487" t="s">
        <v>2369</v>
      </c>
      <c r="C1011" s="291" t="s">
        <v>1301</v>
      </c>
    </row>
    <row r="1012" spans="1:3" ht="51">
      <c r="A1012" s="487" t="s">
        <v>4597</v>
      </c>
      <c r="B1012" s="487" t="s">
        <v>4598</v>
      </c>
      <c r="C1012" s="536" t="s">
        <v>4599</v>
      </c>
    </row>
    <row r="1013" spans="1:3" ht="76.5">
      <c r="A1013" s="487" t="s">
        <v>6096</v>
      </c>
      <c r="B1013" s="487" t="s">
        <v>6282</v>
      </c>
      <c r="C1013" s="487" t="s">
        <v>6141</v>
      </c>
    </row>
    <row r="1014" spans="1:3" ht="76.5">
      <c r="A1014" s="487" t="s">
        <v>6686</v>
      </c>
      <c r="B1014" s="673" t="s">
        <v>6282</v>
      </c>
      <c r="C1014" s="673" t="s">
        <v>6141</v>
      </c>
    </row>
    <row r="1015" spans="1:3" ht="51">
      <c r="A1015" s="487" t="s">
        <v>6617</v>
      </c>
      <c r="B1015" s="487" t="s">
        <v>6618</v>
      </c>
      <c r="C1015" s="487" t="s">
        <v>6619</v>
      </c>
    </row>
    <row r="1016" spans="1:3" ht="51">
      <c r="A1016" s="487" t="s">
        <v>6687</v>
      </c>
      <c r="B1016" s="673" t="s">
        <v>6618</v>
      </c>
      <c r="C1016" s="673" t="s">
        <v>6619</v>
      </c>
    </row>
    <row r="1017" spans="1:3" ht="38.25">
      <c r="A1017" s="291" t="s">
        <v>1302</v>
      </c>
      <c r="B1017" s="293" t="s">
        <v>434</v>
      </c>
      <c r="C1017" s="498" t="s">
        <v>1999</v>
      </c>
    </row>
    <row r="1018" spans="1:3" ht="25.5">
      <c r="A1018" s="291" t="s">
        <v>961</v>
      </c>
      <c r="B1018" s="293" t="s">
        <v>311</v>
      </c>
      <c r="C1018" s="498" t="s">
        <v>282</v>
      </c>
    </row>
    <row r="1019" spans="1:3">
      <c r="A1019" s="291" t="s">
        <v>6470</v>
      </c>
      <c r="B1019" s="293" t="s">
        <v>5705</v>
      </c>
      <c r="C1019" s="537" t="s">
        <v>5629</v>
      </c>
    </row>
    <row r="1020" spans="1:3">
      <c r="A1020" s="291" t="s">
        <v>5578</v>
      </c>
      <c r="B1020" s="293" t="s">
        <v>5706</v>
      </c>
      <c r="C1020" s="537" t="s">
        <v>5630</v>
      </c>
    </row>
    <row r="1021" spans="1:3">
      <c r="A1021" s="291" t="s">
        <v>5579</v>
      </c>
      <c r="B1021" s="293" t="s">
        <v>5707</v>
      </c>
      <c r="C1021" s="537" t="s">
        <v>5631</v>
      </c>
    </row>
    <row r="1022" spans="1:3">
      <c r="A1022" s="291" t="s">
        <v>5580</v>
      </c>
      <c r="B1022" s="293" t="s">
        <v>1338</v>
      </c>
      <c r="C1022" s="537" t="s">
        <v>5632</v>
      </c>
    </row>
    <row r="1023" spans="1:3" ht="25.5">
      <c r="A1023" s="291" t="s">
        <v>5581</v>
      </c>
      <c r="B1023" s="293" t="s">
        <v>5708</v>
      </c>
      <c r="C1023" s="537" t="s">
        <v>5633</v>
      </c>
    </row>
    <row r="1024" spans="1:3" ht="25.5">
      <c r="A1024" s="293" t="s">
        <v>6688</v>
      </c>
      <c r="B1024" s="670" t="s">
        <v>5708</v>
      </c>
      <c r="C1024" s="674" t="s">
        <v>5633</v>
      </c>
    </row>
    <row r="1025" spans="1:3">
      <c r="A1025" s="291" t="s">
        <v>962</v>
      </c>
      <c r="B1025" s="293" t="s">
        <v>312</v>
      </c>
      <c r="C1025" s="498" t="s">
        <v>283</v>
      </c>
    </row>
    <row r="1026" spans="1:3">
      <c r="A1026" s="291" t="s">
        <v>963</v>
      </c>
      <c r="B1026" s="293" t="s">
        <v>313</v>
      </c>
      <c r="C1026" s="498" t="s">
        <v>284</v>
      </c>
    </row>
    <row r="1027" spans="1:3">
      <c r="A1027" s="291" t="s">
        <v>970</v>
      </c>
      <c r="B1027" s="293" t="s">
        <v>665</v>
      </c>
      <c r="C1027" s="498" t="s">
        <v>465</v>
      </c>
    </row>
    <row r="1028" spans="1:3" ht="178.5">
      <c r="A1028" s="291" t="s">
        <v>2446</v>
      </c>
      <c r="B1028" s="293" t="s">
        <v>2442</v>
      </c>
      <c r="C1028" s="291" t="s">
        <v>2421</v>
      </c>
    </row>
    <row r="1029" spans="1:3" ht="51">
      <c r="A1029" s="291" t="s">
        <v>6097</v>
      </c>
      <c r="B1029" s="537" t="s">
        <v>6283</v>
      </c>
      <c r="C1029" s="291" t="s">
        <v>6142</v>
      </c>
    </row>
    <row r="1030" spans="1:3" ht="51">
      <c r="A1030" s="293" t="s">
        <v>6689</v>
      </c>
      <c r="B1030" s="674" t="s">
        <v>6283</v>
      </c>
      <c r="C1030" s="669" t="s">
        <v>6142</v>
      </c>
    </row>
    <row r="1031" spans="1:3" ht="51">
      <c r="A1031" s="291" t="s">
        <v>6620</v>
      </c>
      <c r="B1031" s="537" t="s">
        <v>6621</v>
      </c>
      <c r="C1031" s="291" t="s">
        <v>6622</v>
      </c>
    </row>
    <row r="1032" spans="1:3" ht="51">
      <c r="A1032" s="293" t="s">
        <v>6690</v>
      </c>
      <c r="B1032" s="674" t="s">
        <v>6621</v>
      </c>
      <c r="C1032" s="669" t="s">
        <v>6622</v>
      </c>
    </row>
    <row r="1033" spans="1:3">
      <c r="A1033" s="291" t="s">
        <v>5584</v>
      </c>
      <c r="B1033" s="293" t="s">
        <v>1022</v>
      </c>
      <c r="C1033" s="498" t="s">
        <v>1294</v>
      </c>
    </row>
    <row r="1034" spans="1:3">
      <c r="A1034" s="291" t="s">
        <v>5584</v>
      </c>
      <c r="B1034" s="293" t="s">
        <v>6372</v>
      </c>
      <c r="C1034" s="498" t="s">
        <v>1294</v>
      </c>
    </row>
    <row r="1035" spans="1:3">
      <c r="A1035" s="291" t="s">
        <v>72</v>
      </c>
      <c r="B1035" s="293" t="s">
        <v>495</v>
      </c>
      <c r="C1035" s="498" t="s">
        <v>285</v>
      </c>
    </row>
    <row r="1036" spans="1:3" ht="140.25">
      <c r="A1036" s="291" t="s">
        <v>2447</v>
      </c>
      <c r="B1036" s="293" t="s">
        <v>2432</v>
      </c>
      <c r="C1036" s="498" t="s">
        <v>2422</v>
      </c>
    </row>
    <row r="1037" spans="1:3" ht="51">
      <c r="A1037" s="291" t="s">
        <v>6098</v>
      </c>
      <c r="B1037" s="537" t="s">
        <v>6284</v>
      </c>
      <c r="C1037" s="291" t="s">
        <v>6143</v>
      </c>
    </row>
    <row r="1038" spans="1:3" ht="51">
      <c r="A1038" s="293" t="s">
        <v>6691</v>
      </c>
      <c r="B1038" s="674" t="s">
        <v>6284</v>
      </c>
      <c r="C1038" s="669" t="s">
        <v>6143</v>
      </c>
    </row>
    <row r="1039" spans="1:3" ht="51">
      <c r="A1039" s="291" t="s">
        <v>6623</v>
      </c>
      <c r="B1039" s="537" t="s">
        <v>6624</v>
      </c>
      <c r="C1039" s="291" t="s">
        <v>6625</v>
      </c>
    </row>
    <row r="1040" spans="1:3" ht="51">
      <c r="A1040" s="291" t="s">
        <v>6692</v>
      </c>
      <c r="B1040" s="674" t="s">
        <v>6624</v>
      </c>
      <c r="C1040" s="669" t="s">
        <v>6625</v>
      </c>
    </row>
    <row r="1041" spans="1:4" ht="38.25">
      <c r="A1041" s="291" t="s">
        <v>5487</v>
      </c>
      <c r="B1041" s="293" t="s">
        <v>5709</v>
      </c>
      <c r="C1041" s="291" t="s">
        <v>5634</v>
      </c>
    </row>
    <row r="1042" spans="1:4" ht="51">
      <c r="A1042" s="291" t="s">
        <v>5585</v>
      </c>
      <c r="B1042" s="293" t="s">
        <v>5710</v>
      </c>
      <c r="C1042" s="291" t="s">
        <v>5635</v>
      </c>
    </row>
    <row r="1043" spans="1:4" ht="51">
      <c r="A1043" s="293" t="s">
        <v>6694</v>
      </c>
      <c r="B1043" s="670" t="s">
        <v>5710</v>
      </c>
      <c r="C1043" s="669" t="s">
        <v>5635</v>
      </c>
    </row>
    <row r="1044" spans="1:4" ht="38.25">
      <c r="A1044" s="291" t="s">
        <v>6626</v>
      </c>
      <c r="B1044" s="293" t="s">
        <v>6627</v>
      </c>
      <c r="C1044" s="291" t="s">
        <v>6628</v>
      </c>
    </row>
    <row r="1045" spans="1:4" ht="38.25">
      <c r="A1045" s="293" t="s">
        <v>6693</v>
      </c>
      <c r="B1045" s="670" t="s">
        <v>6627</v>
      </c>
      <c r="C1045" s="669" t="s">
        <v>6628</v>
      </c>
    </row>
    <row r="1046" spans="1:4" ht="38.25">
      <c r="A1046" s="291" t="s">
        <v>5489</v>
      </c>
      <c r="B1046" s="293" t="s">
        <v>5711</v>
      </c>
      <c r="C1046" s="291" t="s">
        <v>5636</v>
      </c>
    </row>
    <row r="1047" spans="1:4" ht="25.5">
      <c r="A1047" s="291" t="s">
        <v>5910</v>
      </c>
      <c r="B1047" s="293" t="s">
        <v>5911</v>
      </c>
      <c r="C1047" s="291" t="s">
        <v>5912</v>
      </c>
    </row>
    <row r="1048" spans="1:4">
      <c r="A1048" s="291" t="s">
        <v>5488</v>
      </c>
      <c r="B1048" s="293" t="s">
        <v>5712</v>
      </c>
      <c r="C1048" s="508" t="s">
        <v>5637</v>
      </c>
    </row>
    <row r="1049" spans="1:4">
      <c r="A1049" s="291" t="s">
        <v>1055</v>
      </c>
      <c r="B1049" s="293" t="s">
        <v>2370</v>
      </c>
      <c r="C1049" s="498" t="s">
        <v>0</v>
      </c>
    </row>
    <row r="1050" spans="1:4">
      <c r="A1050" s="291" t="s">
        <v>727</v>
      </c>
      <c r="B1050" s="293" t="s">
        <v>1023</v>
      </c>
      <c r="C1050" s="498" t="s">
        <v>571</v>
      </c>
    </row>
    <row r="1051" spans="1:4">
      <c r="A1051" s="291" t="s">
        <v>73</v>
      </c>
      <c r="B1051" s="293" t="s">
        <v>1668</v>
      </c>
      <c r="C1051" s="498" t="s">
        <v>1295</v>
      </c>
    </row>
    <row r="1052" spans="1:4">
      <c r="A1052" s="291" t="s">
        <v>73</v>
      </c>
      <c r="B1052" s="293" t="s">
        <v>6373</v>
      </c>
      <c r="C1052" s="498" t="s">
        <v>1295</v>
      </c>
    </row>
    <row r="1053" spans="1:4">
      <c r="A1053" s="291" t="s">
        <v>74</v>
      </c>
      <c r="B1053" s="293" t="s">
        <v>1795</v>
      </c>
      <c r="C1053" s="498" t="s">
        <v>1206</v>
      </c>
    </row>
    <row r="1054" spans="1:4">
      <c r="A1054" s="291" t="s">
        <v>2180</v>
      </c>
      <c r="B1054" s="293" t="s">
        <v>2179</v>
      </c>
      <c r="C1054" s="498" t="s">
        <v>2178</v>
      </c>
    </row>
    <row r="1055" spans="1:4">
      <c r="A1055" s="291" t="s">
        <v>2181</v>
      </c>
      <c r="B1055" s="293" t="s">
        <v>2371</v>
      </c>
      <c r="C1055" s="498" t="s">
        <v>5812</v>
      </c>
      <c r="D1055" s="520"/>
    </row>
    <row r="1056" spans="1:4">
      <c r="A1056" s="291" t="s">
        <v>75</v>
      </c>
      <c r="B1056" s="293" t="s">
        <v>497</v>
      </c>
      <c r="C1056" s="498" t="s">
        <v>287</v>
      </c>
    </row>
    <row r="1057" spans="1:6">
      <c r="A1057" s="291" t="s">
        <v>76</v>
      </c>
      <c r="B1057" s="293" t="s">
        <v>1669</v>
      </c>
      <c r="C1057" s="498" t="s">
        <v>1296</v>
      </c>
    </row>
    <row r="1058" spans="1:6" ht="13.5" thickBot="1">
      <c r="A1058" s="638" t="s">
        <v>520</v>
      </c>
      <c r="B1058" s="640"/>
      <c r="C1058" s="639"/>
    </row>
    <row r="1059" spans="1:6" ht="51">
      <c r="A1059" s="291" t="s">
        <v>4600</v>
      </c>
      <c r="B1059" s="293" t="s">
        <v>4601</v>
      </c>
      <c r="C1059" s="498" t="s">
        <v>4602</v>
      </c>
    </row>
    <row r="1060" spans="1:6" ht="25.5">
      <c r="A1060" s="291" t="s">
        <v>5586</v>
      </c>
      <c r="B1060" s="293" t="s">
        <v>5713</v>
      </c>
      <c r="C1060" s="291" t="s">
        <v>5638</v>
      </c>
    </row>
    <row r="1061" spans="1:6" ht="90" customHeight="1">
      <c r="A1061" s="291" t="s">
        <v>6469</v>
      </c>
      <c r="B1061" s="293" t="s">
        <v>2372</v>
      </c>
      <c r="C1061" s="498" t="s">
        <v>4603</v>
      </c>
    </row>
    <row r="1062" spans="1:6" ht="51">
      <c r="A1062" s="291" t="str">
        <f>"Po dniu bilansowym nie wystąpiły istotne zdarzenia, mające wpływ na sprawozdanie finansowe za rok obrotowy "&amp;ro&amp;"."</f>
        <v>Po dniu bilansowym nie wystąpiły istotne zdarzenia, mające wpływ na sprawozdanie finansowe za rok obrotowy 2024.</v>
      </c>
      <c r="B1062" s="293" t="str">
        <f>"Nach dem Bilanzstichtag traten keine wesentlichen Ereignisse ein, die auf den Jahresabschluss für das Geschäftsjahr "&amp;ro&amp;" Einfluss hätten."</f>
        <v>Nach dem Bilanzstichtag traten keine wesentlichen Ereignisse ein, die auf den Jahresabschluss für das Geschäftsjahr 2024 Einfluss hätten.</v>
      </c>
      <c r="C1062" s="508" t="str">
        <f>"No significant events affecting the financial statements for the financial year "&amp;ro&amp;" occurred after the balance sheet date."</f>
        <v>No significant events affecting the financial statements for the financial year 2024 occurred after the balance sheet date.</v>
      </c>
    </row>
    <row r="1063" spans="1:6" ht="267.75">
      <c r="A1063" s="291" t="s">
        <v>5942</v>
      </c>
      <c r="B1063" s="293" t="s">
        <v>5940</v>
      </c>
      <c r="C1063" s="508" t="s">
        <v>5941</v>
      </c>
    </row>
    <row r="1064" spans="1:6" ht="64.5" customHeight="1">
      <c r="A1064" s="291" t="s">
        <v>2170</v>
      </c>
      <c r="B1064" s="291" t="s">
        <v>2373</v>
      </c>
      <c r="C1064" s="498" t="s">
        <v>2423</v>
      </c>
    </row>
    <row r="1065" spans="1:6" ht="81.75" customHeight="1">
      <c r="A1065" s="291" t="str">
        <f>"W roku obrotowym "&amp;ro&amp;" nie dokonywano zmian zasad rachunkowości, w tym metod wyceny."</f>
        <v>W roku obrotowym 2024 nie dokonywano zmian zasad rachunkowości, w tym metod wyceny.</v>
      </c>
      <c r="B1065" s="291" t="str">
        <f>"Im Geschäftsjahr "&amp;ro&amp;" änderten sich die Rechnungslegungsgrundsätze, darunter die Bewertungsmethoden, nicht."</f>
        <v>Im Geschäftsjahr 2024 änderten sich die Rechnungslegungsgrundsätze, darunter die Bewertungsmethoden, nicht.</v>
      </c>
      <c r="C1065" s="291" t="str">
        <f>"The accounting principles, including the valuation methods, did not change in the financial year "&amp;ro&amp;"."</f>
        <v>The accounting principles, including the valuation methods, did not change in the financial year 2024.</v>
      </c>
    </row>
    <row r="1066" spans="1:6" ht="39.75" customHeight="1">
      <c r="A1066" s="291" t="s">
        <v>4604</v>
      </c>
      <c r="B1066" s="293" t="s">
        <v>2374</v>
      </c>
      <c r="C1066" s="498" t="s">
        <v>4605</v>
      </c>
    </row>
    <row r="1067" spans="1:6" ht="39.75" customHeight="1">
      <c r="A1067" s="291" t="str">
        <f>"Dane za poprzedni rok obrotowy nie uległy zmianie w porówaniu do zatwierdzonego sprawozdania za rok "&amp;IF(LEN(ro)&gt;4,_xlfn.TEXTBEFORE(ro,"/")-1&amp;"/"&amp;_xlfn.TEXTAFTER(ro,"/")-1,ro-1)&amp;". Nie wprowadzono również żadnych istotnych zmian w metodach prezentacji i wyceny, które mogłyby mieć wpływ na porównywalność danych w sprawozdaniu finansowym."</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B1067" s="293" t="str">
        <f>"Die Angaben für das vorausgehende Geschäftsjahr haben sich im Vergleich zum festgestellten Jahresabschluss für "&amp;IF(LEN(ro)&gt;4,_xlfn.TEXTBEFORE(ro,"/")-1&amp;"/"&amp;_xlfn.TEXTAFTER(ro,"/")-1,ro-1)&amp;" nicht geändert. Es wurden auch keine wesentlichen Änderungen der Methoden zur Darstellung und Bewertung vorgenommen, die auf die Vergleichbarkeit im Jahresabschluss Einfluss haben könnten."</f>
        <v>Die Angaben für das vorausgehende Geschäftsjahr haben sich im Vergleich zum festgestellten Jahresabschluss für 2023 nicht geändert. Es wurden auch keine wesentlichen Änderungen der Methoden zur Darstellung und Bewertung vorgenommen, die auf die Vergleichbarkeit im Jahresabschluss Einfluss haben könnten.</v>
      </c>
      <c r="C1067" s="291" t="str">
        <f>"Data for the previous financial year have not changed in comparison with the approved financial statements for "&amp;IF(LEN(ro)&gt;4,_xlfn.TEXTBEFORE(ro,"/")-1&amp;"/"&amp;_xlfn.TEXTAFTER(ro,"/")-1,ro-1)&amp;". Also no significant changes have been made to the methods of presentation and valuation which could affect the comparability of data in the financial statements."</f>
        <v>Data for the previous financial year have not changed in comparison with the approved financial statements for 2023. Also no significant changes have been made to the methods of presentation and valuation which could affect the comparability of data in the financial statements.</v>
      </c>
    </row>
    <row r="1068" spans="1:6" ht="51">
      <c r="A1068" s="291" t="s">
        <v>6043</v>
      </c>
      <c r="B1068" s="293" t="s">
        <v>6285</v>
      </c>
      <c r="C1068" s="291" t="s">
        <v>6144</v>
      </c>
    </row>
    <row r="1069" spans="1:6" ht="51">
      <c r="A1069" s="291" t="s">
        <v>6045</v>
      </c>
      <c r="B1069" s="293" t="s">
        <v>6286</v>
      </c>
      <c r="C1069" s="291" t="s">
        <v>6145</v>
      </c>
    </row>
    <row r="1070" spans="1:6" ht="25.5">
      <c r="A1070" s="503" t="s">
        <v>6791</v>
      </c>
      <c r="B1070" s="503" t="s">
        <v>6792</v>
      </c>
      <c r="C1070" s="503" t="s">
        <v>6793</v>
      </c>
      <c r="D1070" s="503"/>
      <c r="E1070" s="503"/>
      <c r="F1070" s="503"/>
    </row>
    <row r="1071" spans="1:6">
      <c r="A1071" s="291" t="s">
        <v>36</v>
      </c>
      <c r="B1071" s="293" t="s">
        <v>1380</v>
      </c>
      <c r="C1071" s="291" t="s">
        <v>37</v>
      </c>
    </row>
    <row r="1072" spans="1:6">
      <c r="A1072" s="291" t="s">
        <v>347</v>
      </c>
      <c r="B1072" s="293" t="s">
        <v>1584</v>
      </c>
      <c r="C1072" s="291" t="s">
        <v>1419</v>
      </c>
    </row>
    <row r="1073" spans="1:4">
      <c r="A1073" s="291" t="s">
        <v>6046</v>
      </c>
      <c r="B1073" s="293" t="s">
        <v>6287</v>
      </c>
      <c r="C1073" s="291" t="s">
        <v>6146</v>
      </c>
    </row>
    <row r="1074" spans="1:4">
      <c r="A1074" s="291" t="str">
        <f>"Dane zatwierdzone na "&amp;pdz</f>
        <v>Dane zatwierdzone na 31.12.2023</v>
      </c>
      <c r="B1074" s="293" t="str">
        <f>"Zum "&amp;pdz&amp;" festgestellte Angaben"</f>
        <v>Zum 31.12.2023 festgestellte Angaben</v>
      </c>
      <c r="C1074" s="291" t="str">
        <f>"Data approved as of "&amp;pdz</f>
        <v>Data approved as of 31.12.2023</v>
      </c>
    </row>
    <row r="1075" spans="1:4">
      <c r="A1075" s="291" t="str">
        <f>"Przekształcone dane na "&amp;pdz</f>
        <v>Przekształcone dane na 31.12.2023</v>
      </c>
      <c r="B1075" s="293" t="str">
        <f>"Zum "&amp;pdz&amp;" angepasste Angaben"</f>
        <v>Zum 31.12.2023 angepasste Angaben</v>
      </c>
      <c r="C1075" s="291" t="str">
        <f>"Converted data as of "&amp;pdz</f>
        <v>Converted data as of 31.12.2023</v>
      </c>
    </row>
    <row r="1076" spans="1:4">
      <c r="A1076" s="291" t="s">
        <v>6047</v>
      </c>
      <c r="B1076" s="293" t="s">
        <v>6288</v>
      </c>
      <c r="C1076" s="291" t="s">
        <v>6147</v>
      </c>
    </row>
    <row r="1077" spans="1:4">
      <c r="A1077" s="291" t="str">
        <f>"Dane zatwierdzone za rok "&amp;IF(LEN(ro)&gt;4,_xlfn.TEXTBEFORE(ro,"/")-1&amp;"/"&amp;_xlfn.TEXTAFTER(ro,"/")-1,ro-1)</f>
        <v>Dane zatwierdzone za rok 2023</v>
      </c>
      <c r="B1077" s="293" t="str">
        <f>"Festgestellte Angaben für "&amp;IF(LEN(ro)&gt;4,_xlfn.TEXTBEFORE(ro,"/")-1&amp;"/"&amp;_xlfn.TEXTAFTER(ro,"/")-1,ro-1)</f>
        <v>Festgestellte Angaben für 2023</v>
      </c>
      <c r="C1077" s="291" t="str">
        <f>"Approved data for "&amp;IF(LEN(ro)&gt;4,_xlfn.TEXTBEFORE(ro,"/")-1&amp;"/"&amp;_xlfn.TEXTAFTER(ro,"/")-1,ro-1)</f>
        <v>Approved data for 2023</v>
      </c>
    </row>
    <row r="1078" spans="1:4">
      <c r="A1078" s="291" t="str">
        <f>"Przekształcone dane za rok "&amp;IF(LEN(ro)&gt;4,_xlfn.TEXTBEFORE(ro,"/")-1&amp;"/"&amp;_xlfn.TEXTAFTER(ro,"/")-1,ro-1)</f>
        <v>Przekształcone dane za rok 2023</v>
      </c>
      <c r="B1078" s="293" t="str">
        <f>"Angepasste Angaben für "&amp;IF(LEN(ro)&gt;4,_xlfn.TEXTBEFORE(ro,"/")-1&amp;"/"&amp;_xlfn.TEXTAFTER(ro,"/")-1,ro-1)</f>
        <v>Angepasste Angaben für 2023</v>
      </c>
      <c r="C1078" s="291" t="str">
        <f>"Converted data for "&amp;IF(LEN(ro)&gt;4,_xlfn.TEXTBEFORE(ro,"/")-1&amp;"/"&amp;_xlfn.TEXTAFTER(ro,"/")-1,ro-1)</f>
        <v>Converted data for 2023</v>
      </c>
    </row>
    <row r="1079" spans="1:4">
      <c r="A1079" s="291" t="s">
        <v>6050</v>
      </c>
      <c r="B1079" s="293" t="s">
        <v>6289</v>
      </c>
      <c r="C1079" s="291" t="s">
        <v>6148</v>
      </c>
    </row>
    <row r="1080" spans="1:4" ht="13.5" thickBot="1">
      <c r="A1080" s="638" t="s">
        <v>624</v>
      </c>
      <c r="B1080" s="640"/>
      <c r="C1080" s="639"/>
    </row>
    <row r="1081" spans="1:4" ht="25.5">
      <c r="A1081" s="291" t="s">
        <v>4608</v>
      </c>
      <c r="B1081" s="291" t="s">
        <v>4607</v>
      </c>
      <c r="C1081" s="498" t="s">
        <v>4606</v>
      </c>
      <c r="D1081" s="520"/>
    </row>
    <row r="1082" spans="1:4" ht="25.5">
      <c r="A1082" s="291" t="s">
        <v>647</v>
      </c>
      <c r="B1082" s="293" t="s">
        <v>2304</v>
      </c>
      <c r="C1082" s="498" t="s">
        <v>288</v>
      </c>
    </row>
    <row r="1083" spans="1:4" ht="25.5">
      <c r="A1083" s="291" t="s">
        <v>648</v>
      </c>
      <c r="B1083" s="293" t="s">
        <v>2375</v>
      </c>
      <c r="C1083" s="498" t="s">
        <v>2000</v>
      </c>
    </row>
    <row r="1084" spans="1:4" ht="38.25">
      <c r="A1084" s="291" t="s">
        <v>649</v>
      </c>
      <c r="B1084" s="293" t="s">
        <v>2376</v>
      </c>
      <c r="C1084" s="498" t="s">
        <v>289</v>
      </c>
      <c r="D1084" s="493"/>
    </row>
    <row r="1085" spans="1:4" ht="51">
      <c r="A1085" s="291" t="s">
        <v>650</v>
      </c>
      <c r="B1085" s="293" t="s">
        <v>2377</v>
      </c>
      <c r="C1085" s="498" t="s">
        <v>366</v>
      </c>
    </row>
    <row r="1086" spans="1:4">
      <c r="A1086" s="291" t="s">
        <v>955</v>
      </c>
      <c r="B1086" s="293" t="s">
        <v>2378</v>
      </c>
      <c r="C1086" s="498" t="s">
        <v>1</v>
      </c>
    </row>
    <row r="1087" spans="1:4" ht="25.5">
      <c r="A1087" s="291" t="s">
        <v>625</v>
      </c>
      <c r="B1087" s="293" t="s">
        <v>2379</v>
      </c>
      <c r="C1087" s="498" t="s">
        <v>290</v>
      </c>
    </row>
    <row r="1088" spans="1:4" ht="25.5">
      <c r="A1088" s="291" t="s">
        <v>406</v>
      </c>
      <c r="B1088" s="293" t="s">
        <v>2305</v>
      </c>
      <c r="C1088" s="498" t="s">
        <v>291</v>
      </c>
    </row>
    <row r="1089" spans="1:3" ht="25.5">
      <c r="A1089" s="291" t="s">
        <v>407</v>
      </c>
      <c r="B1089" s="293" t="s">
        <v>2380</v>
      </c>
      <c r="C1089" s="498" t="s">
        <v>292</v>
      </c>
    </row>
    <row r="1090" spans="1:3" ht="25.5">
      <c r="A1090" s="291" t="s">
        <v>956</v>
      </c>
      <c r="B1090" s="293" t="s">
        <v>2381</v>
      </c>
      <c r="C1090" s="498" t="s">
        <v>293</v>
      </c>
    </row>
    <row r="1091" spans="1:3">
      <c r="A1091" s="291" t="s">
        <v>1231</v>
      </c>
      <c r="B1091" s="293" t="s">
        <v>136</v>
      </c>
      <c r="C1091" s="498" t="s">
        <v>1232</v>
      </c>
    </row>
    <row r="1092" spans="1:3" ht="25.5" customHeight="1">
      <c r="A1092" s="291" t="s">
        <v>131</v>
      </c>
      <c r="B1092" s="293" t="s">
        <v>496</v>
      </c>
      <c r="C1092" s="498" t="s">
        <v>286</v>
      </c>
    </row>
    <row r="1093" spans="1:3" ht="25.5" customHeight="1">
      <c r="A1093" s="291" t="s">
        <v>1229</v>
      </c>
      <c r="B1093" s="293" t="s">
        <v>498</v>
      </c>
      <c r="C1093" s="498" t="s">
        <v>1230</v>
      </c>
    </row>
    <row r="1094" spans="1:3" ht="40.5" customHeight="1">
      <c r="A1094" s="291" t="str">
        <f>"W roku obrotowym "&amp;ro&amp;" Spółka nie przeprowadzała transakcji z podmiotami powiązanymi."</f>
        <v>W roku obrotowym 2024 Spółka nie przeprowadzała transakcji z podmiotami powiązanymi.</v>
      </c>
      <c r="B1094" s="293" t="str">
        <f>"Im Geschäftsjahr "&amp;ro&amp;" tätigte die Gesellschaft keine Geschäfte mit verbundenen Unternehmen."</f>
        <v>Im Geschäftsjahr 2024 tätigte die Gesellschaft keine Geschäfte mit verbundenen Unternehmen.</v>
      </c>
      <c r="C1094" s="291" t="str">
        <f>"The Company did not make any transactions with related parties in the financial year "&amp;ro&amp;"."</f>
        <v>The Company did not make any transactions with related parties in the financial year 2024.</v>
      </c>
    </row>
    <row r="1095" spans="1:3" ht="40.5" customHeight="1">
      <c r="A1095" s="291" t="str">
        <f>"W roku obrotowym "&amp;ro&amp;" Oddział nie przeprowadzał transakcji z podmiotami powiązanymi."</f>
        <v>W roku obrotowym 2024 Oddział nie przeprowadzał transakcji z podmiotami powiązanymi.</v>
      </c>
      <c r="B1095" s="670" t="str">
        <f>"Im Geschäftsjahr "&amp;ro&amp;" tätigte die Gesellschaft keine Geschäfte mit verbundenen Unternehmen."</f>
        <v>Im Geschäftsjahr 2024 tätigte die Gesellschaft keine Geschäfte mit verbundenen Unternehmen.</v>
      </c>
      <c r="C1095" s="669" t="str">
        <f>"The Company did not make any transactions with related parties in the financial year "&amp;ro&amp;"."</f>
        <v>The Company did not make any transactions with related parties in the financial year 2024.</v>
      </c>
    </row>
    <row r="1096" spans="1:3" ht="38.25">
      <c r="A1096" s="291" t="str">
        <f>"W roku obrotowym "&amp;IF(LEN(ro)&gt;4,_xlfn.TEXTBEFORE(ro,"/")-1&amp;"/"&amp;_xlfn.TEXTAFTER(ro,"/")-1,ro-1)&amp;" Spółka nie przeprowadzała transakcji z podmiotami powiązanymi."</f>
        <v>W roku obrotowym 2023 Spółka nie przeprowadzała transakcji z podmiotami powiązanymi.</v>
      </c>
      <c r="B1096" s="293" t="str">
        <f>"Im Geschäftsjahr "&amp;IF(LEN(ro)&gt;4,_xlfn.TEXTBEFORE(ro,"/")-1&amp;"/"&amp;_xlfn.TEXTAFTER(ro,"/")-1,ro-1)&amp;" tätigte die Gesellschaft keine Geschäfte mit verbundenen Unternehmen."</f>
        <v>Im Geschäftsjahr 2023 tätigte die Gesellschaft keine Geschäfte mit verbundenen Unternehmen.</v>
      </c>
      <c r="C1096" s="291" t="str">
        <f>"The Company did not make any transactions with related parties in the financial year "&amp;IF(LEN(ro)&gt;4,_xlfn.TEXTBEFORE(ro,"/")-1&amp;"/"&amp;_xlfn.TEXTAFTER(ro,"/")-1,ro-1)&amp;"."</f>
        <v>The Company did not make any transactions with related parties in the financial year 2023.</v>
      </c>
    </row>
    <row r="1097" spans="1:3" ht="38.25">
      <c r="A1097" s="291" t="str">
        <f>"W roku obrotowym "&amp;IF(LEN(ro)&gt;4,_xlfn.TEXTBEFORE(ro,"/")-1&amp;"/"&amp;_xlfn.TEXTAFTER(ro,"/")-1,ro-1)&amp;" Oddział nie przeprowadzał transakcji z podmiotami powiązanymi."</f>
        <v>W roku obrotowym 2023 Oddział nie przeprowadzał transakcji z podmiotami powiązanymi.</v>
      </c>
      <c r="B1097" s="670" t="str">
        <f>"Im Geschäftsjahr "&amp;IF(LEN(ro)&gt;4,_xlfn.TEXTBEFORE(ro,"/")-1&amp;"/"&amp;_xlfn.TEXTAFTER(ro,"/")-1,ro-1)&amp;" tätigte die Gesellschaft keine Geschäfte mit verbundenen Unternehmen."</f>
        <v>Im Geschäftsjahr 2023 tätigte die Gesellschaft keine Geschäfte mit verbundenen Unternehmen.</v>
      </c>
      <c r="C1097" s="669" t="str">
        <f>"The Company did not make any transactions with related parties in the financial year "&amp;IF(LEN(ro)&gt;4,_xlfn.TEXTBEFORE(ro,"/")-1&amp;"/"&amp;_xlfn.TEXTAFTER(ro,"/")-1,ro-1)&amp;"."</f>
        <v>The Company did not make any transactions with related parties in the financial year 2023.</v>
      </c>
    </row>
    <row r="1098" spans="1:3" ht="38.25">
      <c r="A1098" s="291" t="str">
        <f>"W roku obrotowym "&amp;ro&amp;" Spółka nie przeprowadzała transakcji z podmiotami powiązanymi."</f>
        <v>W roku obrotowym 2024 Spółka nie przeprowadzała transakcji z podmiotami powiązanymi.</v>
      </c>
      <c r="B1098" s="293" t="str">
        <f>"Die Gesellschaft tätigte  "&amp;ro&amp;" noch im vorausgehenden Geschäftsjahr Geschäfte mit verbundenen Unternehmen."</f>
        <v>Die Gesellschaft tätigte  2024 noch im vorausgehenden Geschäftsjahr Geschäfte mit verbundenen Unternehmen.</v>
      </c>
      <c r="C1098" s="291" t="str">
        <f>"The Company did not make any transactions with related parties either in the financial year "&amp;ro&amp;" or in the previous year."</f>
        <v>The Company did not make any transactions with related parties either in the financial year 2024 or in the previous year.</v>
      </c>
    </row>
    <row r="1099" spans="1:3" ht="38.25">
      <c r="A1099" s="291" t="str">
        <f>"Zarówno w roku obrotowym "&amp;ro&amp;", jak i w roku poprzednim Spółka nie przeprowadzała transakcji z podmiotami powiązanymi."</f>
        <v>Zarówno w roku obrotowym 2024, jak i w roku poprzednim Spółka nie przeprowadzała transakcji z podmiotami powiązanymi.</v>
      </c>
      <c r="B1099" s="293" t="str">
        <f>"Die Gesellschaft tätigte weder "&amp;ro&amp;" noch im vorausgehenden Geschäftsjahr Geschäfte mit verbundenen Unternehmen."</f>
        <v>Die Gesellschaft tätigte weder 2024 noch im vorausgehenden Geschäftsjahr Geschäfte mit verbundenen Unternehmen.</v>
      </c>
      <c r="C1099" s="291" t="str">
        <f>"The Company did not make any transactions with related parties either in the financial year "&amp;ro&amp;" or in the previous year."</f>
        <v>The Company did not make any transactions with related parties either in the financial year 2024 or in the previous year.</v>
      </c>
    </row>
    <row r="1100" spans="1:3" ht="38.25">
      <c r="A1100" s="291" t="str">
        <f>"Zarówno w roku obrotowym "&amp;ro&amp;", jak i w roku poprzednim Oddział nie przeprowadzał transakcji z podmiotami powiązanymi."</f>
        <v>Zarówno w roku obrotowym 2024, jak i w roku poprzednim Oddział nie przeprowadzał transakcji z podmiotami powiązanymi.</v>
      </c>
      <c r="B1100" s="670" t="str">
        <f>"Die Gesellschaft tätigte weder "&amp;ro&amp;" noch im vorausgehenden Geschäftsjahr Geschäfte mit verbundenen Unternehmen."</f>
        <v>Die Gesellschaft tätigte weder 2024 noch im vorausgehenden Geschäftsjahr Geschäfte mit verbundenen Unternehmen.</v>
      </c>
      <c r="C1100" s="669" t="str">
        <f>"The Company did not make any transactions with related parties either in the financial year "&amp;ro&amp;" or in the previous year."</f>
        <v>The Company did not make any transactions with related parties either in the financial year 2024 or in the previous year.</v>
      </c>
    </row>
    <row r="1101" spans="1:3">
      <c r="A1101" s="291" t="s">
        <v>77</v>
      </c>
      <c r="B1101" s="293" t="s">
        <v>499</v>
      </c>
      <c r="C1101" s="498" t="s">
        <v>294</v>
      </c>
    </row>
    <row r="1102" spans="1:3">
      <c r="A1102" s="291" t="s">
        <v>78</v>
      </c>
      <c r="B1102" s="293" t="s">
        <v>500</v>
      </c>
      <c r="C1102" s="498" t="s">
        <v>5813</v>
      </c>
    </row>
    <row r="1103" spans="1:3">
      <c r="A1103" s="291" t="s">
        <v>79</v>
      </c>
      <c r="B1103" s="293" t="s">
        <v>501</v>
      </c>
      <c r="C1103" s="498" t="s">
        <v>295</v>
      </c>
    </row>
    <row r="1104" spans="1:3">
      <c r="A1104" s="291" t="s">
        <v>80</v>
      </c>
      <c r="B1104" s="293" t="s">
        <v>502</v>
      </c>
      <c r="C1104" s="498" t="s">
        <v>296</v>
      </c>
    </row>
    <row r="1105" spans="1:4">
      <c r="A1105" s="291" t="s">
        <v>81</v>
      </c>
      <c r="B1105" s="293" t="s">
        <v>503</v>
      </c>
      <c r="C1105" s="498" t="s">
        <v>297</v>
      </c>
    </row>
    <row r="1106" spans="1:4">
      <c r="A1106" s="291" t="s">
        <v>4497</v>
      </c>
      <c r="B1106" s="293" t="s">
        <v>4512</v>
      </c>
      <c r="C1106" s="498" t="s">
        <v>4505</v>
      </c>
    </row>
    <row r="1107" spans="1:4">
      <c r="A1107" s="291" t="s">
        <v>1462</v>
      </c>
      <c r="B1107" s="293" t="s">
        <v>4513</v>
      </c>
      <c r="C1107" s="498" t="s">
        <v>1424</v>
      </c>
    </row>
    <row r="1108" spans="1:4">
      <c r="A1108" s="291" t="s">
        <v>4498</v>
      </c>
      <c r="B1108" s="293" t="s">
        <v>4514</v>
      </c>
      <c r="C1108" s="498" t="s">
        <v>4506</v>
      </c>
    </row>
    <row r="1109" spans="1:4">
      <c r="A1109" s="291" t="s">
        <v>4499</v>
      </c>
      <c r="B1109" s="293" t="s">
        <v>4515</v>
      </c>
      <c r="C1109" s="498" t="s">
        <v>4507</v>
      </c>
    </row>
    <row r="1110" spans="1:4">
      <c r="A1110" s="291" t="s">
        <v>4500</v>
      </c>
      <c r="B1110" s="293" t="s">
        <v>393</v>
      </c>
      <c r="C1110" s="498" t="s">
        <v>4508</v>
      </c>
    </row>
    <row r="1111" spans="1:4">
      <c r="A1111" s="291" t="s">
        <v>4502</v>
      </c>
      <c r="B1111" s="293" t="s">
        <v>4517</v>
      </c>
      <c r="C1111" s="498" t="s">
        <v>4510</v>
      </c>
    </row>
    <row r="1112" spans="1:4">
      <c r="A1112" s="291" t="s">
        <v>4503</v>
      </c>
      <c r="B1112" s="293" t="s">
        <v>4516</v>
      </c>
      <c r="C1112" s="498" t="s">
        <v>4509</v>
      </c>
    </row>
    <row r="1113" spans="1:4">
      <c r="A1113" s="291" t="s">
        <v>4504</v>
      </c>
      <c r="B1113" s="293" t="s">
        <v>4518</v>
      </c>
      <c r="C1113" s="498" t="s">
        <v>4511</v>
      </c>
      <c r="D1113" s="520"/>
    </row>
    <row r="1114" spans="1:4" ht="51">
      <c r="A1114" s="291" t="s">
        <v>2158</v>
      </c>
      <c r="B1114" s="293" t="s">
        <v>2382</v>
      </c>
      <c r="C1114" s="498" t="s">
        <v>5786</v>
      </c>
      <c r="D1114" s="520"/>
    </row>
    <row r="1115" spans="1:4">
      <c r="A1115" s="291" t="s">
        <v>637</v>
      </c>
      <c r="B1115" s="293" t="s">
        <v>137</v>
      </c>
      <c r="C1115" s="498" t="s">
        <v>639</v>
      </c>
      <c r="D1115" s="520"/>
    </row>
    <row r="1116" spans="1:4">
      <c r="A1116" s="291" t="s">
        <v>638</v>
      </c>
      <c r="B1116" s="293" t="s">
        <v>560</v>
      </c>
      <c r="C1116" s="498" t="s">
        <v>640</v>
      </c>
      <c r="D1116" s="520"/>
    </row>
    <row r="1117" spans="1:4">
      <c r="A1117" s="291" t="s">
        <v>82</v>
      </c>
      <c r="B1117" s="293" t="s">
        <v>5863</v>
      </c>
      <c r="C1117" s="498" t="s">
        <v>2001</v>
      </c>
    </row>
    <row r="1118" spans="1:4" ht="25.5">
      <c r="A1118" s="291" t="s">
        <v>83</v>
      </c>
      <c r="B1118" s="293" t="s">
        <v>5864</v>
      </c>
      <c r="C1118" s="498" t="s">
        <v>641</v>
      </c>
    </row>
    <row r="1119" spans="1:4" ht="25.5">
      <c r="A1119" s="291" t="s">
        <v>373</v>
      </c>
      <c r="B1119" s="293" t="s">
        <v>5943</v>
      </c>
      <c r="C1119" s="498" t="s">
        <v>1297</v>
      </c>
      <c r="D1119" s="503"/>
    </row>
    <row r="1120" spans="1:4" ht="51">
      <c r="A1120" s="291" t="s">
        <v>1523</v>
      </c>
      <c r="B1120" s="293" t="s">
        <v>1024</v>
      </c>
      <c r="C1120" s="498" t="s">
        <v>642</v>
      </c>
      <c r="D1120" s="512"/>
    </row>
    <row r="1121" spans="1:7" ht="38.25">
      <c r="A1121" s="291" t="s">
        <v>1616</v>
      </c>
      <c r="B1121" s="293" t="s">
        <v>2383</v>
      </c>
      <c r="C1121" s="502" t="s">
        <v>1320</v>
      </c>
      <c r="D1121" s="512"/>
    </row>
    <row r="1122" spans="1:7" ht="51">
      <c r="A1122" s="291" t="s">
        <v>2167</v>
      </c>
      <c r="B1122" s="293" t="s">
        <v>5865</v>
      </c>
      <c r="C1122" s="502" t="s">
        <v>2002</v>
      </c>
      <c r="D1122" s="512"/>
    </row>
    <row r="1123" spans="1:7" ht="63.75">
      <c r="A1123" s="291" t="s">
        <v>5847</v>
      </c>
      <c r="B1123" s="293" t="s">
        <v>2306</v>
      </c>
      <c r="C1123" s="502" t="s">
        <v>367</v>
      </c>
      <c r="D1123" s="512"/>
    </row>
    <row r="1124" spans="1:7" ht="38.25">
      <c r="A1124" s="503" t="s">
        <v>2202</v>
      </c>
      <c r="B1124" s="538" t="s">
        <v>2307</v>
      </c>
      <c r="C1124" s="502" t="s">
        <v>2424</v>
      </c>
      <c r="D1124" s="512"/>
    </row>
    <row r="1125" spans="1:7" ht="38.25">
      <c r="A1125" s="291" t="s">
        <v>2014</v>
      </c>
      <c r="B1125" s="293" t="s">
        <v>1788</v>
      </c>
      <c r="C1125" s="502" t="s">
        <v>2017</v>
      </c>
      <c r="D1125" s="512"/>
    </row>
    <row r="1126" spans="1:7" ht="25.5">
      <c r="A1126" s="291" t="s">
        <v>1767</v>
      </c>
      <c r="B1126" s="293" t="s">
        <v>1780</v>
      </c>
      <c r="C1126" s="291" t="s">
        <v>1927</v>
      </c>
      <c r="D1126" s="512"/>
    </row>
    <row r="1127" spans="1:7">
      <c r="A1127" s="291" t="s">
        <v>1768</v>
      </c>
      <c r="B1127" s="293" t="s">
        <v>1781</v>
      </c>
      <c r="C1127" s="291" t="s">
        <v>1928</v>
      </c>
      <c r="D1127" s="95"/>
    </row>
    <row r="1128" spans="1:7">
      <c r="A1128" s="291" t="s">
        <v>1769</v>
      </c>
      <c r="B1128" s="293" t="s">
        <v>1782</v>
      </c>
      <c r="C1128" s="291" t="s">
        <v>5814</v>
      </c>
      <c r="D1128" s="95"/>
    </row>
    <row r="1129" spans="1:7" ht="13.5" thickBot="1">
      <c r="A1129" s="638" t="s">
        <v>408</v>
      </c>
      <c r="B1129" s="640"/>
      <c r="C1129" s="639"/>
      <c r="D1129" s="95"/>
    </row>
    <row r="1130" spans="1:7" ht="38.25">
      <c r="A1130" s="291" t="s">
        <v>1303</v>
      </c>
      <c r="B1130" s="293" t="s">
        <v>2308</v>
      </c>
      <c r="C1130" s="291" t="s">
        <v>2011</v>
      </c>
      <c r="D1130" s="95"/>
    </row>
    <row r="1131" spans="1:7">
      <c r="A1131" s="291" t="s">
        <v>2182</v>
      </c>
      <c r="B1131" s="293" t="s">
        <v>2183</v>
      </c>
      <c r="C1131" s="291" t="s">
        <v>2184</v>
      </c>
    </row>
    <row r="1132" spans="1:7" ht="25.5">
      <c r="A1132" s="291" t="s">
        <v>5491</v>
      </c>
      <c r="B1132" s="293" t="s">
        <v>5714</v>
      </c>
      <c r="C1132" s="291" t="s">
        <v>5639</v>
      </c>
    </row>
    <row r="1133" spans="1:7" ht="63.75">
      <c r="A1133" s="669" t="str">
        <f>"Dane finansowe ujęte w sprawozdaniu finansowym Oddziału podlegają łączeniu z danymi finansowymi jednostki macierzystej, tj. "&amp;E1133&amp;" z siedzibią w "&amp;G1133&amp;"."</f>
        <v>Dane finansowe ujęte w sprawozdaniu finansowym Oddziału podlegają łączeniu z danymi finansowymi jednostki macierzystej, tj. XYZ GmbH z siedzibią w Mannheim.</v>
      </c>
      <c r="B1133" s="291" t="str">
        <f>"Die im Jahresabschluss der Niederlassung enthaltenen Finanzdaten werden mit den Finanzdaten der Muttergesellschaft, d.h. "&amp;E1133&amp;" mit Sitz in "&amp;G1133&amp;", zusammengefasst."</f>
        <v>Die im Jahresabschluss der Niederlassung enthaltenen Finanzdaten werden mit den Finanzdaten der Muttergesellschaft, d.h. XYZ GmbH mit Sitz in Mannheim, zusammengefasst.</v>
      </c>
      <c r="C1133" s="291" t="str">
        <f>"Financial figures disclosed in the Branch Office’s financial statements are subject to consolidation with the numbers of the parent company, i.e. "&amp;E1133&amp;" of "&amp;G1133&amp;"."</f>
        <v>Financial figures disclosed in the Branch Office’s financial statements are subject to consolidation with the numbers of the parent company, i.e. XYZ GmbH of Mannheim.</v>
      </c>
      <c r="D1133" s="291" t="s">
        <v>6695</v>
      </c>
      <c r="E1133" s="514" t="s">
        <v>6696</v>
      </c>
      <c r="F1133" s="291" t="s">
        <v>999</v>
      </c>
      <c r="G1133" s="514" t="s">
        <v>6697</v>
      </c>
    </row>
    <row r="1134" spans="1:7">
      <c r="A1134" s="291" t="s">
        <v>1306</v>
      </c>
      <c r="B1134" s="501" t="s">
        <v>137</v>
      </c>
      <c r="C1134" s="498" t="s">
        <v>1307</v>
      </c>
    </row>
    <row r="1135" spans="1:7" ht="25.5">
      <c r="A1135" s="291" t="s">
        <v>1308</v>
      </c>
      <c r="B1135" s="501" t="s">
        <v>138</v>
      </c>
      <c r="C1135" s="498" t="s">
        <v>5815</v>
      </c>
    </row>
    <row r="1136" spans="1:7" ht="25.5">
      <c r="A1136" s="291" t="s">
        <v>1304</v>
      </c>
      <c r="B1136" s="501" t="s">
        <v>2384</v>
      </c>
      <c r="C1136" s="498" t="s">
        <v>1305</v>
      </c>
      <c r="E1136" s="520"/>
    </row>
    <row r="1137" spans="1:4">
      <c r="A1137" s="291" t="s">
        <v>1503</v>
      </c>
      <c r="B1137" s="501" t="s">
        <v>1797</v>
      </c>
      <c r="C1137" s="498" t="s">
        <v>1321</v>
      </c>
      <c r="D1137" s="520"/>
    </row>
    <row r="1138" spans="1:4">
      <c r="A1138" s="291" t="s">
        <v>22</v>
      </c>
      <c r="B1138" s="501" t="s">
        <v>2309</v>
      </c>
      <c r="C1138" s="498" t="s">
        <v>298</v>
      </c>
    </row>
    <row r="1139" spans="1:4">
      <c r="A1139" s="291" t="s">
        <v>1504</v>
      </c>
      <c r="B1139" s="501" t="s">
        <v>1798</v>
      </c>
      <c r="C1139" s="498" t="s">
        <v>21</v>
      </c>
    </row>
    <row r="1140" spans="1:4" ht="38.25">
      <c r="A1140" s="291" t="s">
        <v>2482</v>
      </c>
      <c r="B1140" s="501" t="s">
        <v>139</v>
      </c>
      <c r="C1140" s="498" t="s">
        <v>2012</v>
      </c>
    </row>
    <row r="1141" spans="1:4">
      <c r="A1141" s="291" t="s">
        <v>409</v>
      </c>
      <c r="B1141" s="501" t="s">
        <v>1796</v>
      </c>
      <c r="C1141" s="498" t="s">
        <v>5816</v>
      </c>
    </row>
    <row r="1142" spans="1:4" ht="38.25">
      <c r="A1142" s="291" t="s">
        <v>410</v>
      </c>
      <c r="B1142" s="501" t="s">
        <v>2310</v>
      </c>
      <c r="C1142" s="498" t="s">
        <v>299</v>
      </c>
    </row>
    <row r="1143" spans="1:4">
      <c r="A1143" s="291" t="s">
        <v>967</v>
      </c>
      <c r="B1143" s="501" t="s">
        <v>692</v>
      </c>
      <c r="C1143" s="498" t="s">
        <v>578</v>
      </c>
    </row>
    <row r="1144" spans="1:4">
      <c r="A1144" s="291" t="s">
        <v>1505</v>
      </c>
      <c r="B1144" s="501" t="s">
        <v>572</v>
      </c>
      <c r="C1144" s="498" t="s">
        <v>300</v>
      </c>
    </row>
    <row r="1145" spans="1:4">
      <c r="A1145" s="291" t="s">
        <v>411</v>
      </c>
      <c r="B1145" s="501" t="s">
        <v>573</v>
      </c>
      <c r="C1145" s="498" t="s">
        <v>587</v>
      </c>
    </row>
    <row r="1146" spans="1:4">
      <c r="A1146" s="291" t="s">
        <v>412</v>
      </c>
      <c r="B1146" s="501" t="s">
        <v>574</v>
      </c>
      <c r="C1146" s="498" t="s">
        <v>301</v>
      </c>
    </row>
    <row r="1147" spans="1:4">
      <c r="A1147" s="291" t="s">
        <v>1943</v>
      </c>
      <c r="B1147" s="501" t="s">
        <v>1944</v>
      </c>
      <c r="C1147" s="498" t="s">
        <v>2003</v>
      </c>
    </row>
    <row r="1148" spans="1:4">
      <c r="A1148" s="291" t="s">
        <v>1506</v>
      </c>
      <c r="B1148" s="501" t="s">
        <v>575</v>
      </c>
      <c r="C1148" s="498" t="s">
        <v>23</v>
      </c>
    </row>
    <row r="1149" spans="1:4" ht="25.5">
      <c r="A1149" s="151" t="s">
        <v>5922</v>
      </c>
      <c r="B1149" s="501" t="s">
        <v>5932</v>
      </c>
      <c r="C1149" s="498" t="s">
        <v>5925</v>
      </c>
    </row>
    <row r="1150" spans="1:4" ht="25.5">
      <c r="A1150" s="151" t="s">
        <v>5923</v>
      </c>
      <c r="B1150" s="501" t="s">
        <v>5933</v>
      </c>
      <c r="C1150" s="498" t="s">
        <v>5926</v>
      </c>
    </row>
    <row r="1151" spans="1:4">
      <c r="A1151" s="151" t="s">
        <v>5924</v>
      </c>
      <c r="B1151" s="501" t="s">
        <v>5934</v>
      </c>
      <c r="C1151" s="498" t="s">
        <v>5927</v>
      </c>
    </row>
    <row r="1152" spans="1:4" ht="25.5">
      <c r="A1152" s="291" t="s">
        <v>5929</v>
      </c>
      <c r="B1152" s="501" t="s">
        <v>5935</v>
      </c>
      <c r="C1152" s="498" t="s">
        <v>5928</v>
      </c>
    </row>
    <row r="1153" spans="1:4" ht="25.5">
      <c r="A1153" s="291" t="s">
        <v>6250</v>
      </c>
      <c r="B1153" s="501" t="s">
        <v>5936</v>
      </c>
      <c r="C1153" s="498" t="s">
        <v>6251</v>
      </c>
      <c r="D1153" s="520"/>
    </row>
    <row r="1154" spans="1:4" ht="13.5" thickBot="1">
      <c r="A1154" s="638" t="s">
        <v>900</v>
      </c>
      <c r="B1154" s="640"/>
      <c r="C1154" s="639"/>
      <c r="D1154" s="520"/>
    </row>
    <row r="1155" spans="1:4" ht="127.5">
      <c r="A1155" s="291" t="s">
        <v>2168</v>
      </c>
      <c r="B1155" s="293" t="s">
        <v>2385</v>
      </c>
      <c r="C1155" s="498" t="s">
        <v>5755</v>
      </c>
    </row>
    <row r="1156" spans="1:4" ht="38.25">
      <c r="A1156" s="291" t="s">
        <v>5601</v>
      </c>
      <c r="B1156" s="293" t="s">
        <v>5841</v>
      </c>
      <c r="C1156" s="498" t="s">
        <v>5817</v>
      </c>
    </row>
    <row r="1157" spans="1:4" ht="38.25">
      <c r="A1157" s="291" t="s">
        <v>6698</v>
      </c>
      <c r="B1157" s="670" t="s">
        <v>5841</v>
      </c>
      <c r="C1157" s="675" t="s">
        <v>5817</v>
      </c>
    </row>
    <row r="1158" spans="1:4" ht="13.5" thickBot="1">
      <c r="A1158" s="638" t="s">
        <v>1256</v>
      </c>
      <c r="B1158" s="638"/>
      <c r="C1158" s="639"/>
    </row>
    <row r="1159" spans="1:4" ht="63.75">
      <c r="A1159" s="291" t="s">
        <v>2185</v>
      </c>
      <c r="B1159" s="501" t="s">
        <v>2386</v>
      </c>
      <c r="C1159" s="498" t="s">
        <v>2425</v>
      </c>
    </row>
    <row r="1160" spans="1:4" ht="13.5" thickBot="1">
      <c r="A1160" s="638" t="s">
        <v>6631</v>
      </c>
      <c r="B1160" s="638"/>
      <c r="C1160" s="639"/>
    </row>
    <row r="1161" spans="1:4" ht="76.5">
      <c r="A1161" s="291" t="str">
        <f>"Informacje uzupełniające dotyczące przyszłych opłat leasingowych oraz opłat z tytułu najmu lub dzierżawy, według stanu na "&amp;dzb&amp;", wynikające z zawartych umów ważnych na dzień bilansowy"</f>
        <v>Informacje uzupełniające dotyczące przyszłych opłat leasingowych oraz opłat z tytułu najmu lub dzierżawy, według stanu na 31.12.2024, wynikające z zawartych umów ważnych na dzień bilansowy</v>
      </c>
      <c r="B1161" s="501" t="str">
        <f>"Ergänzende Informationen über künftige Leasinggebühren sowie Gebühren aus Miete oder Pacht, nach dem Stand zum "&amp;dzb&amp;", die sich aus den geschlossenen und zum Bilanzstichtag gültigen Verträgen ergeben."</f>
        <v>Ergänzende Informationen über künftige Leasinggebühren sowie Gebühren aus Miete oder Pacht, nach dem Stand zum 31.12.2024, die sich aus den geschlossenen und zum Bilanzstichtag gültigen Verträgen ergeben.</v>
      </c>
      <c r="C1161" s="291" t="str">
        <f>"Additional information on future lease instalments and fees under leasehold or rental, as of "&amp;dzb&amp;", arising from contracts and agreements in force as of the balance sheet date"</f>
        <v>Additional information on future lease instalments and fees under leasehold or rental, as of 31.12.2024, arising from contracts and agreements in force as of the balance sheet date</v>
      </c>
    </row>
    <row r="1162" spans="1:4" ht="89.25">
      <c r="A1162" s="291" t="s">
        <v>6039</v>
      </c>
      <c r="B1162" s="649" t="s">
        <v>6290</v>
      </c>
      <c r="C1162" s="291" t="s">
        <v>6149</v>
      </c>
    </row>
    <row r="1163" spans="1:4" ht="89.25">
      <c r="A1163" s="291" t="s">
        <v>6716</v>
      </c>
      <c r="B1163" s="676" t="s">
        <v>6290</v>
      </c>
      <c r="C1163" s="669" t="s">
        <v>6149</v>
      </c>
    </row>
    <row r="1164" spans="1:4">
      <c r="A1164" s="291" t="s">
        <v>5532</v>
      </c>
      <c r="B1164" s="501" t="s">
        <v>5695</v>
      </c>
      <c r="C1164" s="498" t="s">
        <v>5619</v>
      </c>
    </row>
    <row r="1165" spans="1:4" ht="25.5">
      <c r="A1165" s="291" t="s">
        <v>6038</v>
      </c>
      <c r="B1165" s="291" t="s">
        <v>6291</v>
      </c>
      <c r="C1165" s="498" t="s">
        <v>6150</v>
      </c>
    </row>
    <row r="1166" spans="1:4">
      <c r="A1166" s="291" t="s">
        <v>6033</v>
      </c>
      <c r="B1166" s="291" t="s">
        <v>6292</v>
      </c>
      <c r="C1166" s="498" t="s">
        <v>6151</v>
      </c>
    </row>
    <row r="1167" spans="1:4">
      <c r="A1167" s="291" t="s">
        <v>6034</v>
      </c>
      <c r="B1167" s="291" t="s">
        <v>6293</v>
      </c>
      <c r="C1167" s="498" t="s">
        <v>6152</v>
      </c>
    </row>
    <row r="1168" spans="1:4">
      <c r="A1168" s="291" t="s">
        <v>6035</v>
      </c>
      <c r="B1168" s="291" t="s">
        <v>6294</v>
      </c>
      <c r="C1168" s="498" t="s">
        <v>6153</v>
      </c>
    </row>
    <row r="1169" spans="1:10">
      <c r="A1169" s="291" t="s">
        <v>6036</v>
      </c>
      <c r="B1169" s="291" t="s">
        <v>6295</v>
      </c>
      <c r="C1169" s="498" t="s">
        <v>6154</v>
      </c>
    </row>
    <row r="1170" spans="1:10">
      <c r="A1170" s="291" t="s">
        <v>6037</v>
      </c>
      <c r="B1170" s="503" t="s">
        <v>6296</v>
      </c>
      <c r="C1170" s="498" t="s">
        <v>6155</v>
      </c>
    </row>
    <row r="1171" spans="1:10" ht="25.5">
      <c r="A1171" s="291" t="str">
        <f>"od 1 do 5 lat"
&amp;IF(LEN(ro)&gt;4,"","(do spłaty w latach "&amp;rok+2&amp;" - "&amp;rok+5&amp;")")</f>
        <v>od 1 do 5 lat(do spłaty w latach 2026 - 2029)</v>
      </c>
      <c r="B1171" s="291" t="str">
        <f>"von 1 bis zu 5 Jahren"
&amp;IF(LEN(ro)&gt;4,"","(Rückzahlung zwischen "&amp;rok+2&amp;" - "&amp;rok+5&amp;")")</f>
        <v>von 1 bis zu 5 Jahren(Rückzahlung zwischen 2026 - 2029)</v>
      </c>
      <c r="C1171" s="291" t="str">
        <f>"from 1 to 5 years"
&amp;IF(LEN(ro)&gt;4,"","(to be repaid in "&amp;rok+2&amp;" - "&amp;rok+5&amp;")")</f>
        <v>from 1 to 5 years(to be repaid in 2026 - 2029)</v>
      </c>
      <c r="E1171" s="293"/>
      <c r="G1171" s="424"/>
      <c r="H1171" s="424"/>
      <c r="I1171" s="424"/>
      <c r="J1171" s="424"/>
    </row>
    <row r="1172" spans="1:10" ht="25.5">
      <c r="A1172" s="291" t="s">
        <v>6632</v>
      </c>
      <c r="B1172" s="291" t="s">
        <v>6733</v>
      </c>
      <c r="C1172" s="291" t="s">
        <v>6761</v>
      </c>
      <c r="E1172" s="293"/>
      <c r="G1172" s="424"/>
      <c r="H1172" s="424"/>
      <c r="I1172" s="424"/>
      <c r="J1172" s="424"/>
    </row>
    <row r="1173" spans="1:10" ht="25.5">
      <c r="A1173" s="291" t="s">
        <v>6633</v>
      </c>
      <c r="B1173" s="291" t="s">
        <v>6734</v>
      </c>
      <c r="C1173" s="291" t="s">
        <v>6762</v>
      </c>
      <c r="E1173" s="293"/>
      <c r="G1173" s="424"/>
      <c r="H1173" s="424"/>
      <c r="I1173" s="424"/>
      <c r="J1173" s="424"/>
    </row>
    <row r="1174" spans="1:10" ht="38.25">
      <c r="A1174" s="291" t="str">
        <f>"Informacje uzupełniające dotyczące skutków wyceny kontraktów długoterminowych, niezakończonych na dzień "&amp;dzb</f>
        <v>Informacje uzupełniające dotyczące skutków wyceny kontraktów długoterminowych, niezakończonych na dzień 31.12.2024</v>
      </c>
      <c r="B1174" s="291" t="s">
        <v>6735</v>
      </c>
      <c r="C1174" s="291" t="s">
        <v>6763</v>
      </c>
      <c r="E1174" s="293"/>
      <c r="G1174" s="424"/>
      <c r="H1174" s="424"/>
      <c r="I1174" s="424"/>
      <c r="J1174" s="424"/>
    </row>
    <row r="1175" spans="1:10">
      <c r="A1175" s="291" t="s">
        <v>6634</v>
      </c>
      <c r="B1175" s="291" t="s">
        <v>6736</v>
      </c>
      <c r="C1175" s="291" t="s">
        <v>6764</v>
      </c>
      <c r="E1175" s="293"/>
      <c r="G1175" s="424"/>
      <c r="H1175" s="424"/>
      <c r="I1175" s="424"/>
      <c r="J1175" s="424"/>
    </row>
    <row r="1176" spans="1:10" ht="25.5">
      <c r="A1176" s="503" t="s">
        <v>6635</v>
      </c>
      <c r="B1176" s="503" t="s">
        <v>6737</v>
      </c>
      <c r="C1176" s="503" t="s">
        <v>6765</v>
      </c>
      <c r="E1176" s="293"/>
      <c r="G1176" s="424"/>
      <c r="H1176" s="424"/>
      <c r="I1176" s="424"/>
      <c r="J1176" s="424"/>
    </row>
    <row r="1177" spans="1:10" ht="38.25">
      <c r="A1177" s="503" t="s">
        <v>6636</v>
      </c>
      <c r="B1177" s="503" t="s">
        <v>6738</v>
      </c>
      <c r="C1177" s="503" t="s">
        <v>6766</v>
      </c>
      <c r="E1177" s="293"/>
      <c r="G1177" s="424"/>
      <c r="H1177" s="424"/>
      <c r="I1177" s="424"/>
      <c r="J1177" s="424"/>
    </row>
    <row r="1178" spans="1:10">
      <c r="A1178" s="291" t="s">
        <v>6637</v>
      </c>
      <c r="B1178" s="291" t="s">
        <v>6739</v>
      </c>
      <c r="C1178" s="291" t="s">
        <v>6767</v>
      </c>
      <c r="E1178" s="293"/>
      <c r="G1178" s="424"/>
      <c r="H1178" s="424"/>
      <c r="I1178" s="424"/>
      <c r="J1178" s="424"/>
    </row>
    <row r="1179" spans="1:10">
      <c r="A1179" s="291" t="s">
        <v>6638</v>
      </c>
      <c r="B1179" s="291" t="s">
        <v>6740</v>
      </c>
      <c r="C1179" s="291" t="s">
        <v>6768</v>
      </c>
      <c r="E1179" s="293"/>
      <c r="G1179" s="424"/>
      <c r="H1179" s="424"/>
      <c r="I1179" s="424"/>
      <c r="J1179" s="424"/>
    </row>
    <row r="1180" spans="1:10">
      <c r="A1180" s="291" t="s">
        <v>6648</v>
      </c>
      <c r="B1180" s="291" t="s">
        <v>6741</v>
      </c>
      <c r="C1180" s="291" t="s">
        <v>6769</v>
      </c>
      <c r="E1180" s="293"/>
      <c r="G1180" s="424"/>
      <c r="H1180" s="424"/>
      <c r="I1180" s="424"/>
      <c r="J1180" s="424"/>
    </row>
    <row r="1181" spans="1:10">
      <c r="A1181" s="291" t="s">
        <v>6639</v>
      </c>
      <c r="B1181" s="291" t="s">
        <v>6742</v>
      </c>
      <c r="C1181" s="291" t="s">
        <v>6770</v>
      </c>
      <c r="E1181" s="293"/>
      <c r="G1181" s="424"/>
      <c r="H1181" s="424"/>
      <c r="I1181" s="424"/>
      <c r="J1181" s="424"/>
    </row>
    <row r="1182" spans="1:10" ht="25.5">
      <c r="A1182" s="291" t="s">
        <v>6640</v>
      </c>
      <c r="B1182" s="291" t="s">
        <v>6743</v>
      </c>
      <c r="C1182" s="291" t="s">
        <v>6771</v>
      </c>
      <c r="E1182" s="293"/>
      <c r="G1182" s="424"/>
      <c r="H1182" s="424"/>
      <c r="I1182" s="424"/>
      <c r="J1182" s="424"/>
    </row>
    <row r="1183" spans="1:10" ht="25.5">
      <c r="A1183" s="291" t="str">
        <f>A1172</f>
        <v>Aktywa z tytułu niezakończonych umów długoterminowych</v>
      </c>
      <c r="B1183" s="291" t="s">
        <v>6733</v>
      </c>
      <c r="C1183" s="291" t="s">
        <v>6761</v>
      </c>
      <c r="E1183" s="293"/>
      <c r="G1183" s="424"/>
      <c r="H1183" s="424"/>
      <c r="I1183" s="424"/>
      <c r="J1183" s="424"/>
    </row>
    <row r="1184" spans="1:10">
      <c r="A1184" s="291" t="s">
        <v>6641</v>
      </c>
      <c r="B1184" s="291" t="s">
        <v>6744</v>
      </c>
      <c r="C1184" s="291" t="s">
        <v>6772</v>
      </c>
      <c r="E1184" s="293"/>
      <c r="G1184" s="424"/>
      <c r="H1184" s="424"/>
      <c r="I1184" s="424"/>
      <c r="J1184" s="424"/>
    </row>
    <row r="1185" spans="1:10">
      <c r="A1185" s="291" t="s">
        <v>6642</v>
      </c>
      <c r="B1185" s="291" t="s">
        <v>6745</v>
      </c>
      <c r="C1185" s="291" t="s">
        <v>6773</v>
      </c>
      <c r="E1185" s="293"/>
      <c r="G1185" s="424"/>
      <c r="H1185" s="424"/>
      <c r="I1185" s="424"/>
      <c r="J1185" s="424"/>
    </row>
    <row r="1186" spans="1:10" ht="25.5">
      <c r="A1186" s="291" t="str">
        <f>A1173</f>
        <v>Rozliczenia międzyokresowe umów długoterminowych</v>
      </c>
      <c r="B1186" s="291" t="s">
        <v>6734</v>
      </c>
      <c r="C1186" s="291" t="s">
        <v>6762</v>
      </c>
      <c r="E1186" s="293"/>
      <c r="G1186" s="424"/>
      <c r="H1186" s="424"/>
      <c r="I1186" s="424"/>
      <c r="J1186" s="424"/>
    </row>
    <row r="1187" spans="1:10">
      <c r="A1187" s="291" t="s">
        <v>6643</v>
      </c>
      <c r="B1187" s="291" t="s">
        <v>6746</v>
      </c>
      <c r="C1187" s="291" t="s">
        <v>6774</v>
      </c>
      <c r="E1187" s="293"/>
      <c r="G1187" s="424"/>
      <c r="H1187" s="424"/>
      <c r="I1187" s="424"/>
      <c r="J1187" s="424"/>
    </row>
    <row r="1188" spans="1:10">
      <c r="A1188" s="291" t="s">
        <v>6644</v>
      </c>
      <c r="B1188" s="291" t="s">
        <v>6747</v>
      </c>
      <c r="C1188" s="291" t="s">
        <v>6775</v>
      </c>
      <c r="E1188" s="293"/>
      <c r="G1188" s="424"/>
      <c r="H1188" s="424"/>
      <c r="I1188" s="424"/>
      <c r="J1188" s="424"/>
    </row>
    <row r="1189" spans="1:10" ht="38.25">
      <c r="A1189" s="291" t="s">
        <v>6645</v>
      </c>
      <c r="B1189" s="291" t="s">
        <v>6748</v>
      </c>
      <c r="C1189" s="291" t="s">
        <v>6776</v>
      </c>
      <c r="E1189" s="293"/>
      <c r="G1189" s="424"/>
      <c r="H1189" s="424"/>
      <c r="I1189" s="424"/>
      <c r="J1189" s="424"/>
    </row>
    <row r="1190" spans="1:10" ht="25.5">
      <c r="A1190" s="291" t="s">
        <v>6646</v>
      </c>
      <c r="B1190" s="291" t="s">
        <v>6749</v>
      </c>
      <c r="C1190" s="291" t="s">
        <v>6777</v>
      </c>
      <c r="E1190" s="293"/>
      <c r="G1190" s="424"/>
      <c r="H1190" s="424"/>
      <c r="I1190" s="424"/>
      <c r="J1190" s="424"/>
    </row>
    <row r="1191" spans="1:10" ht="51">
      <c r="A1191" s="291" t="s">
        <v>6647</v>
      </c>
      <c r="B1191" s="291" t="s">
        <v>6750</v>
      </c>
      <c r="C1191" s="291" t="s">
        <v>6778</v>
      </c>
      <c r="E1191" s="293"/>
      <c r="G1191" s="424"/>
      <c r="H1191" s="424"/>
      <c r="I1191" s="424"/>
      <c r="J1191" s="424"/>
    </row>
    <row r="1192" spans="1:10">
      <c r="A1192" s="291" t="str">
        <f>"Rok obrotowy "&amp;rok</f>
        <v>Rok obrotowy 2024</v>
      </c>
      <c r="B1192" s="291" t="str">
        <f>"Geschaftsjähr "&amp;rok</f>
        <v>Geschaftsjähr 2024</v>
      </c>
      <c r="C1192" s="291" t="str">
        <f>"Financial year "&amp;rok</f>
        <v>Financial year 2024</v>
      </c>
      <c r="E1192" s="293"/>
      <c r="G1192" s="424"/>
      <c r="H1192" s="424"/>
      <c r="I1192" s="424"/>
      <c r="J1192" s="424"/>
    </row>
    <row r="1193" spans="1:10" ht="13.5" thickBot="1">
      <c r="A1193" s="645" t="s">
        <v>5964</v>
      </c>
      <c r="B1193" s="638"/>
      <c r="C1193" s="639"/>
    </row>
    <row r="1194" spans="1:10" ht="102">
      <c r="A1194" s="291" t="s">
        <v>5492</v>
      </c>
      <c r="B1194" s="539" t="s">
        <v>5715</v>
      </c>
      <c r="C1194" s="540" t="s">
        <v>5640</v>
      </c>
    </row>
    <row r="1195" spans="1:10" ht="25.5" customHeight="1">
      <c r="A1195" s="291" t="s">
        <v>5493</v>
      </c>
      <c r="B1195" s="293" t="s">
        <v>5716</v>
      </c>
      <c r="C1195" s="537" t="s">
        <v>5641</v>
      </c>
    </row>
    <row r="1196" spans="1:10" ht="25.5" customHeight="1">
      <c r="A1196" s="291" t="s">
        <v>6699</v>
      </c>
      <c r="B1196" s="670" t="s">
        <v>5716</v>
      </c>
      <c r="C1196" s="674" t="s">
        <v>5641</v>
      </c>
    </row>
    <row r="1197" spans="1:10" ht="25.5" customHeight="1">
      <c r="A1197" s="291" t="s">
        <v>5495</v>
      </c>
      <c r="B1197" s="293" t="s">
        <v>5717</v>
      </c>
      <c r="C1197" s="537" t="s">
        <v>5642</v>
      </c>
    </row>
    <row r="1198" spans="1:10" ht="25.5" customHeight="1">
      <c r="A1198" s="293" t="s">
        <v>5525</v>
      </c>
      <c r="B1198" s="291" t="s">
        <v>5718</v>
      </c>
      <c r="C1198" s="537" t="s">
        <v>5643</v>
      </c>
    </row>
    <row r="1199" spans="1:10" ht="25.5" customHeight="1">
      <c r="A1199" s="291" t="s">
        <v>5497</v>
      </c>
      <c r="B1199" s="291" t="s">
        <v>5719</v>
      </c>
      <c r="C1199" s="537" t="s">
        <v>5644</v>
      </c>
    </row>
    <row r="1200" spans="1:10" ht="25.5" customHeight="1">
      <c r="A1200" s="291" t="s">
        <v>5499</v>
      </c>
      <c r="B1200" s="291" t="s">
        <v>5720</v>
      </c>
      <c r="C1200" s="291" t="s">
        <v>5645</v>
      </c>
    </row>
    <row r="1201" spans="1:3" ht="38.25" customHeight="1">
      <c r="A1201" s="293" t="s">
        <v>5500</v>
      </c>
      <c r="B1201" s="291" t="s">
        <v>5721</v>
      </c>
      <c r="C1201" s="291" t="s">
        <v>5646</v>
      </c>
    </row>
    <row r="1202" spans="1:3" ht="25.5">
      <c r="A1202" s="293" t="s">
        <v>5501</v>
      </c>
      <c r="B1202" s="291" t="s">
        <v>5722</v>
      </c>
      <c r="C1202" s="291" t="s">
        <v>5647</v>
      </c>
    </row>
    <row r="1203" spans="1:3" ht="38.25">
      <c r="A1203" s="291" t="s">
        <v>5502</v>
      </c>
      <c r="B1203" s="291" t="s">
        <v>5723</v>
      </c>
      <c r="C1203" s="291" t="s">
        <v>5648</v>
      </c>
    </row>
    <row r="1204" spans="1:3" ht="38.25">
      <c r="A1204" s="293" t="s">
        <v>5503</v>
      </c>
      <c r="B1204" s="291" t="s">
        <v>5724</v>
      </c>
      <c r="C1204" s="508" t="s">
        <v>5649</v>
      </c>
    </row>
    <row r="1205" spans="1:3">
      <c r="A1205" s="293" t="s">
        <v>5968</v>
      </c>
      <c r="B1205" s="291" t="s">
        <v>6297</v>
      </c>
      <c r="C1205" s="508" t="s">
        <v>6156</v>
      </c>
    </row>
    <row r="1206" spans="1:3">
      <c r="A1206" s="293" t="s">
        <v>4503</v>
      </c>
      <c r="B1206" s="291" t="s">
        <v>6298</v>
      </c>
      <c r="C1206" s="508" t="s">
        <v>4509</v>
      </c>
    </row>
    <row r="1207" spans="1:3">
      <c r="A1207" s="293" t="s">
        <v>5969</v>
      </c>
      <c r="B1207" s="291" t="s">
        <v>6299</v>
      </c>
      <c r="C1207" s="291" t="s">
        <v>6157</v>
      </c>
    </row>
    <row r="1208" spans="1:3">
      <c r="A1208" s="293" t="s">
        <v>5970</v>
      </c>
      <c r="B1208" s="291" t="s">
        <v>6300</v>
      </c>
      <c r="C1208" s="508" t="s">
        <v>6158</v>
      </c>
    </row>
    <row r="1209" spans="1:3">
      <c r="A1209" s="293" t="s">
        <v>5971</v>
      </c>
      <c r="B1209" s="291" t="s">
        <v>6301</v>
      </c>
      <c r="C1209" s="508" t="s">
        <v>6159</v>
      </c>
    </row>
    <row r="1210" spans="1:3">
      <c r="A1210" s="293" t="s">
        <v>5972</v>
      </c>
      <c r="B1210" s="291" t="s">
        <v>6302</v>
      </c>
      <c r="C1210" s="508" t="s">
        <v>6160</v>
      </c>
    </row>
    <row r="1211" spans="1:3" ht="25.5">
      <c r="A1211" s="291" t="s">
        <v>5974</v>
      </c>
      <c r="B1211" s="291" t="s">
        <v>6303</v>
      </c>
      <c r="C1211" s="508" t="s">
        <v>6161</v>
      </c>
    </row>
    <row r="1212" spans="1:3" ht="51">
      <c r="A1212" s="291" t="s">
        <v>5504</v>
      </c>
      <c r="B1212" s="291" t="s">
        <v>5725</v>
      </c>
      <c r="C1212" s="541" t="s">
        <v>5650</v>
      </c>
    </row>
    <row r="1213" spans="1:3" ht="38.25">
      <c r="A1213" s="291" t="s">
        <v>5505</v>
      </c>
      <c r="B1213" s="291" t="s">
        <v>5726</v>
      </c>
      <c r="C1213" s="541" t="s">
        <v>5651</v>
      </c>
    </row>
    <row r="1214" spans="1:3" ht="25.5">
      <c r="A1214" s="291" t="s">
        <v>5506</v>
      </c>
      <c r="B1214" s="291" t="s">
        <v>5727</v>
      </c>
      <c r="C1214" s="541" t="s">
        <v>5652</v>
      </c>
    </row>
    <row r="1215" spans="1:3" ht="25.5">
      <c r="A1215" s="291" t="s">
        <v>5507</v>
      </c>
      <c r="B1215" s="291" t="s">
        <v>5728</v>
      </c>
      <c r="C1215" s="521" t="s">
        <v>5653</v>
      </c>
    </row>
    <row r="1216" spans="1:3">
      <c r="A1216" s="291" t="s">
        <v>5508</v>
      </c>
      <c r="B1216" s="291" t="s">
        <v>5729</v>
      </c>
      <c r="C1216" s="521" t="s">
        <v>5654</v>
      </c>
    </row>
    <row r="1217" spans="1:3">
      <c r="A1217" s="291" t="s">
        <v>5509</v>
      </c>
      <c r="B1217" s="291" t="s">
        <v>5730</v>
      </c>
      <c r="C1217" s="521" t="s">
        <v>41</v>
      </c>
    </row>
    <row r="1218" spans="1:3" ht="24.75" customHeight="1">
      <c r="A1218" s="291" t="s">
        <v>5510</v>
      </c>
      <c r="B1218" s="291" t="s">
        <v>5731</v>
      </c>
      <c r="C1218" s="521" t="s">
        <v>5655</v>
      </c>
    </row>
    <row r="1219" spans="1:3" ht="105" customHeight="1">
      <c r="A1219" s="291" t="s">
        <v>5511</v>
      </c>
      <c r="B1219" s="291" t="s">
        <v>5732</v>
      </c>
      <c r="C1219" s="540" t="s">
        <v>5656</v>
      </c>
    </row>
    <row r="1220" spans="1:3" ht="105" customHeight="1">
      <c r="A1220" s="291" t="s">
        <v>5512</v>
      </c>
      <c r="B1220" s="293" t="s">
        <v>6478</v>
      </c>
      <c r="C1220" s="521" t="s">
        <v>5657</v>
      </c>
    </row>
    <row r="1221" spans="1:3" ht="105" customHeight="1">
      <c r="A1221" s="293" t="s">
        <v>6708</v>
      </c>
      <c r="B1221" s="670" t="s">
        <v>6478</v>
      </c>
      <c r="C1221" s="677" t="s">
        <v>5657</v>
      </c>
    </row>
    <row r="1222" spans="1:3" ht="127.5">
      <c r="A1222" s="291" t="s">
        <v>5975</v>
      </c>
      <c r="B1222" s="537" t="s">
        <v>6304</v>
      </c>
      <c r="C1222" s="521" t="s">
        <v>6162</v>
      </c>
    </row>
    <row r="1223" spans="1:3" ht="127.5">
      <c r="A1223" s="291" t="s">
        <v>6707</v>
      </c>
      <c r="B1223" s="674" t="s">
        <v>6304</v>
      </c>
      <c r="C1223" s="677" t="s">
        <v>6162</v>
      </c>
    </row>
    <row r="1224" spans="1:3" ht="127.5">
      <c r="A1224" s="291" t="s">
        <v>5975</v>
      </c>
      <c r="B1224" s="537" t="s">
        <v>6363</v>
      </c>
      <c r="C1224" s="521" t="s">
        <v>6162</v>
      </c>
    </row>
    <row r="1225" spans="1:3" ht="127.5">
      <c r="A1225" s="291" t="s">
        <v>6706</v>
      </c>
      <c r="B1225" s="674" t="s">
        <v>6363</v>
      </c>
      <c r="C1225" s="677" t="s">
        <v>6162</v>
      </c>
    </row>
    <row r="1226" spans="1:3" ht="38.25">
      <c r="A1226" s="291" t="s">
        <v>5976</v>
      </c>
      <c r="B1226" s="508" t="s">
        <v>6305</v>
      </c>
      <c r="C1226" s="521" t="s">
        <v>6163</v>
      </c>
    </row>
    <row r="1227" spans="1:3" ht="38.25">
      <c r="A1227" s="291" t="s">
        <v>6709</v>
      </c>
      <c r="B1227" s="672" t="s">
        <v>6305</v>
      </c>
      <c r="C1227" s="677" t="s">
        <v>6163</v>
      </c>
    </row>
    <row r="1228" spans="1:3">
      <c r="A1228" s="503" t="s">
        <v>5977</v>
      </c>
      <c r="B1228" s="538" t="s">
        <v>5981</v>
      </c>
      <c r="C1228" s="523" t="s">
        <v>5984</v>
      </c>
    </row>
    <row r="1229" spans="1:3">
      <c r="A1229" s="503" t="s">
        <v>5978</v>
      </c>
      <c r="B1229" s="538" t="s">
        <v>5982</v>
      </c>
      <c r="C1229" s="523" t="s">
        <v>5985</v>
      </c>
    </row>
    <row r="1230" spans="1:3">
      <c r="A1230" s="503" t="s">
        <v>5979</v>
      </c>
      <c r="B1230" s="538" t="s">
        <v>5983</v>
      </c>
      <c r="C1230" s="523" t="s">
        <v>5986</v>
      </c>
    </row>
    <row r="1231" spans="1:3">
      <c r="A1231" s="503" t="s">
        <v>5980</v>
      </c>
      <c r="B1231" s="538" t="s">
        <v>6306</v>
      </c>
      <c r="C1231" s="523" t="s">
        <v>6164</v>
      </c>
    </row>
    <row r="1232" spans="1:3" ht="38.25">
      <c r="A1232" s="291" t="s">
        <v>5496</v>
      </c>
      <c r="B1232" s="293" t="s">
        <v>5733</v>
      </c>
      <c r="C1232" s="540" t="s">
        <v>5658</v>
      </c>
    </row>
    <row r="1233" spans="1:11">
      <c r="A1233" s="291" t="s">
        <v>5498</v>
      </c>
      <c r="B1233" s="293" t="s">
        <v>2183</v>
      </c>
      <c r="C1233" s="540" t="s">
        <v>5659</v>
      </c>
    </row>
    <row r="1234" spans="1:11">
      <c r="A1234" s="291" t="s">
        <v>5532</v>
      </c>
      <c r="B1234" s="293" t="s">
        <v>5695</v>
      </c>
      <c r="C1234" s="540" t="s">
        <v>5619</v>
      </c>
    </row>
    <row r="1235" spans="1:11">
      <c r="A1235" s="291" t="s">
        <v>5527</v>
      </c>
      <c r="B1235" s="293" t="s">
        <v>5734</v>
      </c>
      <c r="C1235" s="540" t="s">
        <v>5660</v>
      </c>
    </row>
    <row r="1236" spans="1:11">
      <c r="A1236" s="291" t="str">
        <f>"Wartość zobowiązania na "&amp;dzb</f>
        <v>Wartość zobowiązania na 31.12.2024</v>
      </c>
      <c r="B1236" s="293" t="str">
        <f>"Wert der Verbindlichkeit zum "&amp;dzb</f>
        <v>Wert der Verbindlichkeit zum 31.12.2024</v>
      </c>
      <c r="C1236" s="540" t="str">
        <f>"Liability as of "&amp;dzb</f>
        <v>Liability as of 31.12.2024</v>
      </c>
    </row>
    <row r="1237" spans="1:11">
      <c r="A1237" s="291" t="str">
        <f>"Wartość zobowiązania na "&amp;pdz</f>
        <v>Wartość zobowiązania na 31.12.2023</v>
      </c>
      <c r="B1237" s="293" t="str">
        <f>"Wert der Verbindlichkeit zum "&amp;pdz</f>
        <v>Wert der Verbindlichkeit zum 31.12.2023</v>
      </c>
      <c r="C1237" s="540" t="str">
        <f>"Liability as of "&amp;pdz</f>
        <v>Liability as of 31.12.2023</v>
      </c>
    </row>
    <row r="1238" spans="1:11">
      <c r="A1238" s="291" t="s">
        <v>5528</v>
      </c>
      <c r="B1238" s="293" t="s">
        <v>5735</v>
      </c>
      <c r="C1238" s="540" t="s">
        <v>5661</v>
      </c>
    </row>
    <row r="1239" spans="1:11">
      <c r="A1239" s="291" t="s">
        <v>5529</v>
      </c>
      <c r="B1239" s="293" t="s">
        <v>5736</v>
      </c>
      <c r="C1239" s="540" t="s">
        <v>5662</v>
      </c>
    </row>
    <row r="1240" spans="1:11">
      <c r="A1240" s="291" t="s">
        <v>5530</v>
      </c>
      <c r="B1240" s="293" t="s">
        <v>5737</v>
      </c>
      <c r="C1240" s="540" t="s">
        <v>5663</v>
      </c>
    </row>
    <row r="1241" spans="1:11" ht="15">
      <c r="A1241" s="291" t="s">
        <v>5531</v>
      </c>
      <c r="B1241" s="293" t="s">
        <v>5738</v>
      </c>
      <c r="C1241" s="540" t="s">
        <v>5664</v>
      </c>
      <c r="D1241" s="542"/>
      <c r="E1241" s="543"/>
      <c r="F1241" s="544"/>
      <c r="G1241" s="544"/>
      <c r="H1241" s="544"/>
      <c r="I1241" s="544"/>
      <c r="J1241" s="544"/>
      <c r="K1241" s="544"/>
    </row>
    <row r="1242" spans="1:11" ht="17.25" customHeight="1">
      <c r="A1242" s="291" t="s">
        <v>5533</v>
      </c>
      <c r="B1242" s="293" t="s">
        <v>5739</v>
      </c>
      <c r="C1242" s="521" t="s">
        <v>5665</v>
      </c>
      <c r="D1242" s="545"/>
      <c r="E1242" s="544"/>
      <c r="F1242" s="544"/>
      <c r="G1242" s="544"/>
      <c r="H1242" s="544"/>
      <c r="I1242" s="544"/>
      <c r="J1242" s="544"/>
      <c r="K1242" s="544"/>
    </row>
    <row r="1243" spans="1:11">
      <c r="A1243" s="291" t="s">
        <v>5534</v>
      </c>
      <c r="B1243" s="293" t="s">
        <v>5740</v>
      </c>
      <c r="C1243" s="521" t="s">
        <v>5666</v>
      </c>
      <c r="D1243" s="546"/>
      <c r="E1243" s="546"/>
      <c r="F1243" s="546"/>
      <c r="G1243" s="546"/>
      <c r="H1243" s="546"/>
      <c r="I1243" s="546"/>
      <c r="J1243" s="546"/>
      <c r="K1243" s="546"/>
    </row>
    <row r="1244" spans="1:11" ht="25.5">
      <c r="A1244" s="291" t="s">
        <v>5973</v>
      </c>
      <c r="B1244" s="293" t="s">
        <v>6307</v>
      </c>
      <c r="C1244" s="521" t="s">
        <v>6165</v>
      </c>
      <c r="D1244" s="546"/>
      <c r="E1244" s="546"/>
      <c r="F1244" s="546"/>
      <c r="G1244" s="546"/>
      <c r="H1244" s="546"/>
      <c r="I1244" s="546"/>
      <c r="J1244" s="546"/>
      <c r="K1244" s="546"/>
    </row>
    <row r="1245" spans="1:11">
      <c r="A1245" s="291" t="s">
        <v>5537</v>
      </c>
      <c r="B1245" s="293" t="s">
        <v>5741</v>
      </c>
      <c r="C1245" s="521" t="s">
        <v>5667</v>
      </c>
      <c r="D1245" s="547"/>
      <c r="E1245" s="547"/>
      <c r="F1245" s="547"/>
      <c r="G1245" s="547"/>
      <c r="H1245" s="547"/>
      <c r="I1245" s="547"/>
      <c r="J1245" s="547"/>
      <c r="K1245" s="547"/>
    </row>
    <row r="1246" spans="1:11">
      <c r="A1246" s="291" t="s">
        <v>5538</v>
      </c>
      <c r="B1246" s="293" t="s">
        <v>5742</v>
      </c>
      <c r="C1246" s="521" t="s">
        <v>5668</v>
      </c>
      <c r="D1246" s="545"/>
      <c r="E1246" s="544"/>
      <c r="F1246" s="544"/>
      <c r="G1246" s="544"/>
      <c r="H1246" s="544"/>
      <c r="I1246" s="544"/>
      <c r="J1246" s="544"/>
      <c r="K1246" s="544"/>
    </row>
    <row r="1247" spans="1:11">
      <c r="A1247" s="291" t="s">
        <v>5539</v>
      </c>
      <c r="B1247" s="293" t="s">
        <v>5743</v>
      </c>
      <c r="C1247" s="521" t="s">
        <v>6439</v>
      </c>
      <c r="D1247" s="545"/>
      <c r="E1247" s="544"/>
      <c r="F1247" s="544"/>
      <c r="G1247" s="544"/>
      <c r="H1247" s="544"/>
      <c r="I1247" s="544"/>
      <c r="J1247" s="544"/>
      <c r="K1247" s="544"/>
    </row>
    <row r="1248" spans="1:11">
      <c r="A1248" s="291" t="s">
        <v>5540</v>
      </c>
      <c r="B1248" s="293" t="s">
        <v>5744</v>
      </c>
      <c r="C1248" s="521" t="s">
        <v>6440</v>
      </c>
      <c r="D1248" s="548"/>
      <c r="E1248" s="548"/>
      <c r="F1248" s="548"/>
      <c r="G1248" s="548"/>
      <c r="H1248" s="548"/>
      <c r="I1248" s="548"/>
      <c r="J1248" s="548"/>
      <c r="K1248" s="548"/>
    </row>
    <row r="1249" spans="1:11">
      <c r="A1249" s="291" t="s">
        <v>5541</v>
      </c>
      <c r="B1249" s="293" t="s">
        <v>1406</v>
      </c>
      <c r="C1249" s="521" t="s">
        <v>6441</v>
      </c>
      <c r="D1249" s="549"/>
      <c r="E1249" s="549"/>
      <c r="F1249" s="549"/>
      <c r="G1249" s="549"/>
      <c r="H1249" s="549"/>
      <c r="I1249" s="549"/>
      <c r="J1249" s="549"/>
      <c r="K1249" s="549"/>
    </row>
    <row r="1250" spans="1:11" ht="25.5">
      <c r="A1250" s="291" t="s">
        <v>5542</v>
      </c>
      <c r="B1250" s="293" t="s">
        <v>5745</v>
      </c>
      <c r="C1250" s="521" t="s">
        <v>5669</v>
      </c>
      <c r="D1250" s="549"/>
      <c r="E1250" s="549"/>
      <c r="F1250" s="549"/>
      <c r="G1250" s="549"/>
      <c r="H1250" s="549"/>
      <c r="I1250" s="549"/>
      <c r="J1250" s="549"/>
      <c r="K1250" s="549"/>
    </row>
    <row r="1251" spans="1:11">
      <c r="A1251" s="291" t="s">
        <v>927</v>
      </c>
      <c r="B1251" s="293" t="s">
        <v>1337</v>
      </c>
      <c r="C1251" s="521" t="s">
        <v>5670</v>
      </c>
    </row>
    <row r="1252" spans="1:11">
      <c r="A1252" s="291" t="s">
        <v>5543</v>
      </c>
      <c r="B1252" s="293" t="s">
        <v>5746</v>
      </c>
      <c r="C1252" s="521" t="s">
        <v>5671</v>
      </c>
    </row>
    <row r="1253" spans="1:11" ht="64.5" customHeight="1">
      <c r="A1253" s="291" t="s">
        <v>5544</v>
      </c>
      <c r="B1253" s="293" t="s">
        <v>5730</v>
      </c>
      <c r="C1253" s="521" t="s">
        <v>951</v>
      </c>
    </row>
    <row r="1254" spans="1:11">
      <c r="A1254" s="291" t="s">
        <v>5545</v>
      </c>
      <c r="B1254" s="293" t="s">
        <v>5747</v>
      </c>
      <c r="C1254" s="521" t="s">
        <v>5672</v>
      </c>
    </row>
    <row r="1255" spans="1:11" ht="63.75">
      <c r="A1255" s="291" t="s">
        <v>5546</v>
      </c>
      <c r="B1255" s="293" t="s">
        <v>5748</v>
      </c>
      <c r="C1255" s="521" t="s">
        <v>5673</v>
      </c>
    </row>
    <row r="1256" spans="1:11">
      <c r="A1256" s="291" t="s">
        <v>5547</v>
      </c>
      <c r="B1256" s="293" t="s">
        <v>5749</v>
      </c>
      <c r="C1256" s="521" t="s">
        <v>5674</v>
      </c>
    </row>
    <row r="1257" spans="1:11" ht="25.5">
      <c r="A1257" s="550" t="s">
        <v>5988</v>
      </c>
      <c r="B1257" s="293" t="s">
        <v>6311</v>
      </c>
      <c r="C1257" s="521" t="s">
        <v>6166</v>
      </c>
    </row>
    <row r="1258" spans="1:11" ht="25.5">
      <c r="A1258" s="550" t="s">
        <v>6710</v>
      </c>
      <c r="B1258" s="670" t="s">
        <v>6311</v>
      </c>
      <c r="C1258" s="677" t="s">
        <v>6166</v>
      </c>
    </row>
    <row r="1259" spans="1:11">
      <c r="A1259" s="550" t="s">
        <v>5989</v>
      </c>
      <c r="B1259" s="538" t="s">
        <v>6308</v>
      </c>
      <c r="C1259" s="551" t="s">
        <v>6167</v>
      </c>
    </row>
    <row r="1260" spans="1:11">
      <c r="A1260" s="550" t="s">
        <v>5990</v>
      </c>
      <c r="B1260" s="538" t="s">
        <v>6309</v>
      </c>
      <c r="C1260" s="551" t="s">
        <v>6168</v>
      </c>
    </row>
    <row r="1261" spans="1:11" ht="25.5">
      <c r="A1261" s="550" t="s">
        <v>5991</v>
      </c>
      <c r="B1261" s="538" t="s">
        <v>6310</v>
      </c>
      <c r="C1261" s="551" t="s">
        <v>6169</v>
      </c>
    </row>
    <row r="1262" spans="1:11">
      <c r="A1262" s="550" t="s">
        <v>5992</v>
      </c>
      <c r="B1262" s="538" t="s">
        <v>6312</v>
      </c>
      <c r="C1262" s="551" t="s">
        <v>6170</v>
      </c>
    </row>
    <row r="1263" spans="1:11">
      <c r="A1263" s="550" t="s">
        <v>5993</v>
      </c>
      <c r="B1263" s="550" t="s">
        <v>6313</v>
      </c>
      <c r="C1263" s="550" t="s">
        <v>6171</v>
      </c>
    </row>
    <row r="1264" spans="1:11" ht="25.5">
      <c r="A1264" s="550" t="s">
        <v>5994</v>
      </c>
      <c r="B1264" s="293" t="s">
        <v>6314</v>
      </c>
      <c r="C1264" s="550" t="s">
        <v>6442</v>
      </c>
    </row>
    <row r="1265" spans="1:3" ht="25.5">
      <c r="A1265" s="550" t="s">
        <v>6711</v>
      </c>
      <c r="B1265" s="670" t="s">
        <v>6314</v>
      </c>
      <c r="C1265" s="678" t="s">
        <v>6442</v>
      </c>
    </row>
    <row r="1266" spans="1:3" ht="25.5">
      <c r="A1266" s="551" t="s">
        <v>5995</v>
      </c>
      <c r="B1266" s="552" t="s">
        <v>6315</v>
      </c>
      <c r="C1266" s="551" t="s">
        <v>6172</v>
      </c>
    </row>
    <row r="1267" spans="1:3" ht="25.5">
      <c r="A1267" s="551" t="s">
        <v>5996</v>
      </c>
      <c r="B1267" s="552" t="s">
        <v>6316</v>
      </c>
      <c r="C1267" s="551" t="s">
        <v>6173</v>
      </c>
    </row>
    <row r="1268" spans="1:3" ht="38.25">
      <c r="A1268" s="551" t="s">
        <v>5997</v>
      </c>
      <c r="B1268" s="293" t="s">
        <v>6317</v>
      </c>
      <c r="C1268" s="521" t="s">
        <v>6174</v>
      </c>
    </row>
    <row r="1269" spans="1:3">
      <c r="A1269" s="551" t="s">
        <v>6010</v>
      </c>
      <c r="B1269" s="293" t="s">
        <v>6318</v>
      </c>
      <c r="C1269" s="521" t="s">
        <v>6175</v>
      </c>
    </row>
    <row r="1270" spans="1:3">
      <c r="A1270" s="551"/>
      <c r="B1270" s="551"/>
      <c r="C1270" s="521"/>
    </row>
    <row r="1271" spans="1:3">
      <c r="A1271" s="551" t="s">
        <v>5998</v>
      </c>
      <c r="B1271" s="293" t="s">
        <v>6319</v>
      </c>
      <c r="C1271" s="521" t="s">
        <v>6176</v>
      </c>
    </row>
    <row r="1272" spans="1:3">
      <c r="A1272" s="551" t="s">
        <v>5999</v>
      </c>
      <c r="B1272" s="537" t="s">
        <v>6320</v>
      </c>
      <c r="C1272" s="521" t="s">
        <v>6177</v>
      </c>
    </row>
    <row r="1273" spans="1:3">
      <c r="A1273" s="551" t="str">
        <f>"Wartość bilansowa na "&amp;dzb</f>
        <v>Wartość bilansowa na 31.12.2024</v>
      </c>
      <c r="B1273" s="538" t="str">
        <f>"Bilanzwert zum "&amp;dzb</f>
        <v>Bilanzwert zum 31.12.2024</v>
      </c>
      <c r="C1273" s="521" t="s">
        <v>6178</v>
      </c>
    </row>
    <row r="1274" spans="1:3">
      <c r="A1274" s="551" t="s">
        <v>6001</v>
      </c>
      <c r="B1274" s="537" t="s">
        <v>6321</v>
      </c>
      <c r="C1274" s="521" t="s">
        <v>6179</v>
      </c>
    </row>
    <row r="1275" spans="1:3">
      <c r="A1275" s="551" t="s">
        <v>6003</v>
      </c>
      <c r="B1275" s="293" t="s">
        <v>6322</v>
      </c>
      <c r="C1275" s="521" t="s">
        <v>6180</v>
      </c>
    </row>
    <row r="1276" spans="1:3">
      <c r="A1276" s="551" t="s">
        <v>6004</v>
      </c>
      <c r="B1276" s="293" t="s">
        <v>6323</v>
      </c>
      <c r="C1276" s="521" t="s">
        <v>6181</v>
      </c>
    </row>
    <row r="1277" spans="1:3">
      <c r="A1277" s="551" t="s">
        <v>6005</v>
      </c>
      <c r="B1277" s="293" t="s">
        <v>6324</v>
      </c>
      <c r="C1277" s="521" t="s">
        <v>4509</v>
      </c>
    </row>
    <row r="1278" spans="1:3">
      <c r="A1278" s="551" t="s">
        <v>6006</v>
      </c>
      <c r="B1278" s="293" t="s">
        <v>6325</v>
      </c>
      <c r="C1278" s="521" t="s">
        <v>6182</v>
      </c>
    </row>
    <row r="1279" spans="1:3">
      <c r="A1279" s="551" t="s">
        <v>6007</v>
      </c>
      <c r="B1279" s="293" t="s">
        <v>6326</v>
      </c>
      <c r="C1279" s="521" t="s">
        <v>6183</v>
      </c>
    </row>
    <row r="1280" spans="1:3">
      <c r="A1280" s="551" t="s">
        <v>6008</v>
      </c>
      <c r="B1280" s="293" t="s">
        <v>6327</v>
      </c>
      <c r="C1280" s="521" t="s">
        <v>6184</v>
      </c>
    </row>
    <row r="1281" spans="1:3">
      <c r="A1281" s="551" t="s">
        <v>6009</v>
      </c>
      <c r="B1281" s="293" t="s">
        <v>6328</v>
      </c>
      <c r="C1281" s="521" t="s">
        <v>6185</v>
      </c>
    </row>
    <row r="1282" spans="1:3">
      <c r="A1282" s="291" t="s">
        <v>5548</v>
      </c>
      <c r="B1282" s="293" t="s">
        <v>5750</v>
      </c>
      <c r="C1282" s="521" t="s">
        <v>5675</v>
      </c>
    </row>
    <row r="1283" spans="1:3" ht="25.5">
      <c r="A1283" s="291" t="s">
        <v>6013</v>
      </c>
      <c r="B1283" s="537" t="s">
        <v>6329</v>
      </c>
      <c r="C1283" s="521" t="s">
        <v>6186</v>
      </c>
    </row>
    <row r="1284" spans="1:3" ht="25.5">
      <c r="A1284" s="291" t="s">
        <v>6712</v>
      </c>
      <c r="B1284" s="674" t="s">
        <v>6329</v>
      </c>
      <c r="C1284" s="677" t="s">
        <v>6186</v>
      </c>
    </row>
    <row r="1285" spans="1:3">
      <c r="A1285" s="503" t="s">
        <v>6015</v>
      </c>
      <c r="B1285" s="538" t="s">
        <v>6330</v>
      </c>
      <c r="C1285" s="521" t="s">
        <v>6187</v>
      </c>
    </row>
    <row r="1286" spans="1:3" ht="25.5">
      <c r="A1286" s="503" t="s">
        <v>6016</v>
      </c>
      <c r="B1286" s="538" t="s">
        <v>6331</v>
      </c>
      <c r="C1286" s="521" t="s">
        <v>6188</v>
      </c>
    </row>
    <row r="1287" spans="1:3">
      <c r="A1287" s="503" t="s">
        <v>6014</v>
      </c>
      <c r="B1287" s="538" t="s">
        <v>6332</v>
      </c>
      <c r="C1287" s="521" t="s">
        <v>6189</v>
      </c>
    </row>
    <row r="1288" spans="1:3" ht="25.5">
      <c r="A1288" s="503" t="s">
        <v>6017</v>
      </c>
      <c r="B1288" s="538" t="s">
        <v>6333</v>
      </c>
      <c r="C1288" s="521" t="s">
        <v>6190</v>
      </c>
    </row>
    <row r="1289" spans="1:3" ht="54" customHeight="1">
      <c r="A1289" s="291" t="s">
        <v>6018</v>
      </c>
      <c r="B1289" s="537" t="s">
        <v>6334</v>
      </c>
      <c r="C1289" s="521" t="s">
        <v>6191</v>
      </c>
    </row>
    <row r="1290" spans="1:3" ht="54" customHeight="1">
      <c r="A1290" s="291" t="s">
        <v>6713</v>
      </c>
      <c r="B1290" s="674" t="s">
        <v>6334</v>
      </c>
      <c r="C1290" s="677" t="s">
        <v>6191</v>
      </c>
    </row>
    <row r="1291" spans="1:3" ht="54" customHeight="1">
      <c r="A1291" s="291" t="s">
        <v>6019</v>
      </c>
      <c r="B1291" s="293" t="s">
        <v>6335</v>
      </c>
      <c r="C1291" s="521" t="s">
        <v>6192</v>
      </c>
    </row>
    <row r="1292" spans="1:3" ht="54" customHeight="1">
      <c r="A1292" s="291" t="s">
        <v>6714</v>
      </c>
      <c r="B1292" s="670" t="s">
        <v>6335</v>
      </c>
      <c r="C1292" s="677" t="s">
        <v>6192</v>
      </c>
    </row>
    <row r="1293" spans="1:3" ht="63.75">
      <c r="A1293" s="291" t="s">
        <v>6020</v>
      </c>
      <c r="B1293" s="537" t="s">
        <v>6337</v>
      </c>
      <c r="C1293" s="521" t="s">
        <v>6193</v>
      </c>
    </row>
    <row r="1294" spans="1:3" ht="51">
      <c r="A1294" s="291" t="s">
        <v>6020</v>
      </c>
      <c r="B1294" s="537" t="s">
        <v>6338</v>
      </c>
      <c r="C1294" s="521" t="s">
        <v>6193</v>
      </c>
    </row>
    <row r="1295" spans="1:3">
      <c r="A1295" s="291" t="s">
        <v>5549</v>
      </c>
      <c r="B1295" s="293" t="s">
        <v>5751</v>
      </c>
      <c r="C1295" s="521" t="s">
        <v>5676</v>
      </c>
    </row>
    <row r="1296" spans="1:3" ht="51">
      <c r="A1296" s="291" t="s">
        <v>6496</v>
      </c>
      <c r="B1296" s="293" t="s">
        <v>6497</v>
      </c>
      <c r="C1296" s="521" t="s">
        <v>6498</v>
      </c>
    </row>
    <row r="1297" spans="1:3" ht="51">
      <c r="A1297" s="291" t="s">
        <v>6715</v>
      </c>
      <c r="B1297" s="670" t="s">
        <v>6497</v>
      </c>
      <c r="C1297" s="677" t="s">
        <v>6498</v>
      </c>
    </row>
    <row r="1298" spans="1:3" ht="51">
      <c r="A1298" s="631" t="s">
        <v>6496</v>
      </c>
      <c r="B1298" s="293" t="s">
        <v>6574</v>
      </c>
      <c r="C1298" s="521" t="s">
        <v>6573</v>
      </c>
    </row>
    <row r="1299" spans="1:3">
      <c r="A1299" s="631"/>
      <c r="B1299" s="293"/>
      <c r="C1299" s="521"/>
    </row>
    <row r="1300" spans="1:3" ht="25.5">
      <c r="A1300" s="503" t="s">
        <v>6024</v>
      </c>
      <c r="B1300" s="552" t="s">
        <v>6339</v>
      </c>
      <c r="C1300" s="523" t="s">
        <v>6194</v>
      </c>
    </row>
    <row r="1301" spans="1:3" ht="25.5">
      <c r="A1301" s="503" t="s">
        <v>6021</v>
      </c>
      <c r="B1301" s="552" t="s">
        <v>6340</v>
      </c>
      <c r="C1301" s="523" t="s">
        <v>6195</v>
      </c>
    </row>
    <row r="1302" spans="1:3" ht="25.5">
      <c r="A1302" s="503" t="s">
        <v>6022</v>
      </c>
      <c r="B1302" s="552" t="s">
        <v>6341</v>
      </c>
      <c r="C1302" s="523" t="s">
        <v>6196</v>
      </c>
    </row>
    <row r="1303" spans="1:3" ht="25.5">
      <c r="A1303" s="503" t="s">
        <v>6023</v>
      </c>
      <c r="B1303" s="552" t="s">
        <v>6342</v>
      </c>
      <c r="C1303" s="523" t="s">
        <v>6197</v>
      </c>
    </row>
    <row r="1304" spans="1:3">
      <c r="A1304" s="291" t="s">
        <v>6025</v>
      </c>
      <c r="B1304" s="537" t="s">
        <v>6343</v>
      </c>
      <c r="C1304" s="521" t="s">
        <v>6198</v>
      </c>
    </row>
    <row r="1305" spans="1:3" ht="76.5">
      <c r="A1305" s="291" t="s">
        <v>6026</v>
      </c>
      <c r="B1305" s="537" t="s">
        <v>6344</v>
      </c>
      <c r="C1305" s="521" t="s">
        <v>6199</v>
      </c>
    </row>
    <row r="1306" spans="1:3" ht="25.5">
      <c r="A1306" s="291" t="s">
        <v>6027</v>
      </c>
      <c r="B1306" s="537" t="s">
        <v>6350</v>
      </c>
      <c r="C1306" s="521" t="s">
        <v>6200</v>
      </c>
    </row>
    <row r="1307" spans="1:3" ht="25.5">
      <c r="A1307" s="291" t="s">
        <v>6027</v>
      </c>
      <c r="B1307" s="537" t="s">
        <v>6351</v>
      </c>
      <c r="C1307" s="521" t="s">
        <v>6200</v>
      </c>
    </row>
    <row r="1308" spans="1:3" ht="38.25">
      <c r="A1308" s="503" t="s">
        <v>6030</v>
      </c>
      <c r="B1308" s="552" t="s">
        <v>6345</v>
      </c>
      <c r="C1308" s="523" t="s">
        <v>6201</v>
      </c>
    </row>
    <row r="1309" spans="1:3">
      <c r="A1309" s="503" t="s">
        <v>6031</v>
      </c>
      <c r="B1309" s="552" t="s">
        <v>6346</v>
      </c>
      <c r="C1309" s="523" t="s">
        <v>6202</v>
      </c>
    </row>
    <row r="1310" spans="1:3" ht="38.25">
      <c r="A1310" s="503" t="s">
        <v>6029</v>
      </c>
      <c r="B1310" s="552" t="s">
        <v>6347</v>
      </c>
      <c r="C1310" s="523" t="s">
        <v>6203</v>
      </c>
    </row>
    <row r="1311" spans="1:3" ht="25.5">
      <c r="A1311" s="503" t="s">
        <v>6028</v>
      </c>
      <c r="B1311" s="552" t="s">
        <v>6348</v>
      </c>
      <c r="C1311" s="523" t="s">
        <v>6204</v>
      </c>
    </row>
    <row r="1312" spans="1:3" ht="63.75">
      <c r="A1312" s="635" t="s">
        <v>6548</v>
      </c>
      <c r="B1312" s="647" t="s">
        <v>6579</v>
      </c>
      <c r="C1312" s="635" t="s">
        <v>6559</v>
      </c>
    </row>
    <row r="1313" spans="1:3" ht="51">
      <c r="A1313" s="635" t="s">
        <v>6548</v>
      </c>
      <c r="B1313" s="647" t="s">
        <v>6580</v>
      </c>
      <c r="C1313" s="635" t="s">
        <v>6559</v>
      </c>
    </row>
    <row r="1314" spans="1:3">
      <c r="A1314" s="503" t="s">
        <v>6084</v>
      </c>
      <c r="B1314" s="503" t="s">
        <v>6349</v>
      </c>
      <c r="C1314" s="521" t="s">
        <v>6205</v>
      </c>
    </row>
    <row r="1315" spans="1:3" ht="51">
      <c r="A1315" s="635" t="s">
        <v>6560</v>
      </c>
      <c r="B1315" s="647" t="s">
        <v>6581</v>
      </c>
      <c r="C1315" s="635" t="s">
        <v>6561</v>
      </c>
    </row>
    <row r="1316" spans="1:3" ht="63.75">
      <c r="A1316" s="635" t="s">
        <v>6549</v>
      </c>
      <c r="B1316" s="647" t="s">
        <v>6582</v>
      </c>
      <c r="C1316" s="635" t="s">
        <v>6562</v>
      </c>
    </row>
    <row r="1317" spans="1:3" ht="63.75">
      <c r="A1317" s="635" t="s">
        <v>6554</v>
      </c>
      <c r="B1317" s="647" t="s">
        <v>6583</v>
      </c>
      <c r="C1317" s="635" t="s">
        <v>6563</v>
      </c>
    </row>
    <row r="1318" spans="1:3" ht="63.75">
      <c r="A1318" s="635" t="s">
        <v>6555</v>
      </c>
      <c r="B1318" s="647" t="s">
        <v>6584</v>
      </c>
      <c r="C1318" s="635" t="s">
        <v>6564</v>
      </c>
    </row>
    <row r="1319" spans="1:3" ht="51">
      <c r="A1319" s="635" t="s">
        <v>6556</v>
      </c>
      <c r="B1319" s="647" t="s">
        <v>6585</v>
      </c>
      <c r="C1319" s="635" t="s">
        <v>6565</v>
      </c>
    </row>
    <row r="1320" spans="1:3">
      <c r="A1320" s="635"/>
      <c r="B1320" s="503"/>
      <c r="C1320" s="521"/>
    </row>
    <row r="1321" spans="1:3">
      <c r="A1321" s="635"/>
      <c r="B1321" s="503"/>
      <c r="C1321" s="521"/>
    </row>
    <row r="1322" spans="1:3" ht="51">
      <c r="A1322" s="635" t="s">
        <v>6551</v>
      </c>
      <c r="B1322" s="647" t="s">
        <v>6586</v>
      </c>
      <c r="C1322" s="635" t="s">
        <v>6566</v>
      </c>
    </row>
    <row r="1323" spans="1:3">
      <c r="A1323" s="503" t="s">
        <v>6088</v>
      </c>
      <c r="B1323" s="553" t="s">
        <v>6353</v>
      </c>
      <c r="C1323" s="521" t="s">
        <v>6206</v>
      </c>
    </row>
    <row r="1324" spans="1:3">
      <c r="A1324" s="503" t="s">
        <v>659</v>
      </c>
      <c r="B1324" s="553" t="s">
        <v>6354</v>
      </c>
      <c r="C1324" s="521" t="s">
        <v>464</v>
      </c>
    </row>
    <row r="1325" spans="1:3" ht="25.5">
      <c r="A1325" s="503" t="s">
        <v>6086</v>
      </c>
      <c r="B1325" s="535" t="s">
        <v>6355</v>
      </c>
      <c r="C1325" s="521" t="s">
        <v>6207</v>
      </c>
    </row>
    <row r="1326" spans="1:3" ht="25.5">
      <c r="A1326" s="503" t="s">
        <v>6087</v>
      </c>
      <c r="B1326" s="554" t="s">
        <v>6356</v>
      </c>
      <c r="C1326" s="521" t="s">
        <v>6208</v>
      </c>
    </row>
    <row r="1327" spans="1:3" ht="25.5">
      <c r="A1327" s="503" t="s">
        <v>6089</v>
      </c>
      <c r="B1327" s="538" t="s">
        <v>6357</v>
      </c>
      <c r="C1327" s="521" t="s">
        <v>6209</v>
      </c>
    </row>
    <row r="1328" spans="1:3" ht="25.5">
      <c r="A1328" s="503" t="s">
        <v>6090</v>
      </c>
      <c r="B1328" s="552" t="s">
        <v>6358</v>
      </c>
      <c r="C1328" s="521" t="s">
        <v>6210</v>
      </c>
    </row>
    <row r="1329" spans="1:3" ht="25.5">
      <c r="A1329" s="503" t="s">
        <v>6091</v>
      </c>
      <c r="B1329" s="552" t="s">
        <v>6359</v>
      </c>
      <c r="C1329" s="521" t="s">
        <v>6211</v>
      </c>
    </row>
    <row r="1330" spans="1:3" ht="13.5" thickBot="1">
      <c r="A1330" s="638" t="s">
        <v>879</v>
      </c>
      <c r="B1330" s="640"/>
      <c r="C1330" s="639"/>
    </row>
    <row r="1331" spans="1:3">
      <c r="A1331" s="291" t="s">
        <v>1257</v>
      </c>
      <c r="B1331" s="522" t="s">
        <v>1052</v>
      </c>
      <c r="C1331" s="291" t="s">
        <v>1114</v>
      </c>
    </row>
    <row r="1332" spans="1:3" ht="25.5">
      <c r="A1332" s="291" t="s">
        <v>1945</v>
      </c>
      <c r="B1332" s="489" t="s">
        <v>1946</v>
      </c>
      <c r="C1332" s="291" t="s">
        <v>1947</v>
      </c>
    </row>
    <row r="1333" spans="1:3">
      <c r="A1333" s="291" t="s">
        <v>506</v>
      </c>
      <c r="B1333" s="489" t="s">
        <v>1112</v>
      </c>
      <c r="C1333" s="291" t="s">
        <v>302</v>
      </c>
    </row>
    <row r="1334" spans="1:3">
      <c r="A1334" s="291" t="s">
        <v>937</v>
      </c>
      <c r="B1334" s="489" t="s">
        <v>1113</v>
      </c>
      <c r="C1334" s="291" t="s">
        <v>303</v>
      </c>
    </row>
    <row r="1335" spans="1:3" ht="25.5">
      <c r="A1335" s="291" t="s">
        <v>1948</v>
      </c>
      <c r="B1335" s="489" t="s">
        <v>1949</v>
      </c>
      <c r="C1335" s="291" t="s">
        <v>1950</v>
      </c>
    </row>
    <row r="1336" spans="1:3" ht="25.5">
      <c r="A1336" s="291" t="s">
        <v>1951</v>
      </c>
      <c r="B1336" s="489" t="s">
        <v>1952</v>
      </c>
      <c r="C1336" s="291" t="s">
        <v>1953</v>
      </c>
    </row>
    <row r="1337" spans="1:3" ht="25.5">
      <c r="A1337" s="291" t="s">
        <v>1954</v>
      </c>
      <c r="B1337" s="489" t="s">
        <v>1955</v>
      </c>
      <c r="C1337" s="291" t="s">
        <v>1956</v>
      </c>
    </row>
    <row r="1338" spans="1:3" ht="25.5">
      <c r="A1338" s="291" t="s">
        <v>1957</v>
      </c>
      <c r="B1338" s="293" t="s">
        <v>1959</v>
      </c>
      <c r="C1338" s="291" t="s">
        <v>1958</v>
      </c>
    </row>
    <row r="1339" spans="1:3" ht="25.5">
      <c r="A1339" s="291" t="s">
        <v>1960</v>
      </c>
      <c r="B1339" s="489" t="s">
        <v>1961</v>
      </c>
      <c r="C1339" s="291" t="s">
        <v>1962</v>
      </c>
    </row>
    <row r="1340" spans="1:3" ht="38.25">
      <c r="A1340" s="291" t="s">
        <v>1963</v>
      </c>
      <c r="B1340" s="489" t="s">
        <v>1964</v>
      </c>
      <c r="C1340" s="555" t="s">
        <v>6214</v>
      </c>
    </row>
    <row r="1341" spans="1:3" ht="25.5">
      <c r="A1341" s="291" t="s">
        <v>1965</v>
      </c>
      <c r="B1341" s="293" t="s">
        <v>1966</v>
      </c>
      <c r="C1341" s="293" t="s">
        <v>6215</v>
      </c>
    </row>
    <row r="1342" spans="1:3" ht="25.5">
      <c r="A1342" s="291" t="s">
        <v>1967</v>
      </c>
      <c r="B1342" s="293" t="s">
        <v>2311</v>
      </c>
      <c r="C1342" s="291" t="s">
        <v>6216</v>
      </c>
    </row>
    <row r="1343" spans="1:3" ht="102">
      <c r="A1343" s="291" t="s">
        <v>2116</v>
      </c>
      <c r="B1343" s="293" t="s">
        <v>2387</v>
      </c>
      <c r="C1343" s="293" t="s">
        <v>6217</v>
      </c>
    </row>
    <row r="1344" spans="1:3" ht="25.5">
      <c r="A1344" s="291" t="s">
        <v>2117</v>
      </c>
      <c r="B1344" s="293" t="s">
        <v>2118</v>
      </c>
      <c r="C1344" s="293" t="s">
        <v>6218</v>
      </c>
    </row>
    <row r="1345" spans="1:6">
      <c r="A1345" s="291" t="s">
        <v>2120</v>
      </c>
      <c r="B1345" s="293" t="s">
        <v>2119</v>
      </c>
      <c r="C1345" s="293" t="s">
        <v>6219</v>
      </c>
    </row>
    <row r="1346" spans="1:6" ht="51">
      <c r="A1346" s="291" t="s">
        <v>2121</v>
      </c>
      <c r="B1346" s="293" t="s">
        <v>2312</v>
      </c>
      <c r="C1346" s="293" t="s">
        <v>6220</v>
      </c>
    </row>
    <row r="1347" spans="1:6" ht="25.5">
      <c r="A1347" s="291" t="s">
        <v>2122</v>
      </c>
      <c r="B1347" s="293" t="s">
        <v>2123</v>
      </c>
      <c r="C1347" s="293" t="s">
        <v>6221</v>
      </c>
    </row>
    <row r="1348" spans="1:6" ht="38.25">
      <c r="A1348" s="291" t="s">
        <v>6422</v>
      </c>
      <c r="B1348" s="293" t="s">
        <v>6423</v>
      </c>
      <c r="C1348" s="293" t="s">
        <v>6424</v>
      </c>
      <c r="D1348" s="556"/>
      <c r="E1348" s="557"/>
      <c r="F1348" s="558"/>
    </row>
    <row r="1349" spans="1:6">
      <c r="A1349" s="291" t="s">
        <v>2124</v>
      </c>
      <c r="B1349" s="293" t="s">
        <v>2313</v>
      </c>
      <c r="C1349" s="293" t="s">
        <v>6222</v>
      </c>
    </row>
    <row r="1350" spans="1:6" ht="38.25">
      <c r="A1350" s="291" t="s">
        <v>2203</v>
      </c>
      <c r="B1350" s="291" t="s">
        <v>2388</v>
      </c>
      <c r="C1350" s="293" t="s">
        <v>6223</v>
      </c>
    </row>
    <row r="1351" spans="1:6" ht="51">
      <c r="A1351" s="291" t="s">
        <v>2483</v>
      </c>
      <c r="B1351" s="291" t="s">
        <v>2873</v>
      </c>
      <c r="C1351" s="293" t="s">
        <v>6224</v>
      </c>
    </row>
    <row r="1352" spans="1:6" ht="165.75">
      <c r="A1352" s="291" t="s">
        <v>2426</v>
      </c>
      <c r="B1352" s="293" t="s">
        <v>2389</v>
      </c>
      <c r="C1352" s="293" t="s">
        <v>6225</v>
      </c>
    </row>
    <row r="1353" spans="1:6" ht="51">
      <c r="A1353" s="291" t="s">
        <v>2126</v>
      </c>
      <c r="B1353" s="293" t="s">
        <v>2390</v>
      </c>
      <c r="C1353" s="293" t="s">
        <v>6226</v>
      </c>
    </row>
    <row r="1354" spans="1:6" ht="25.5">
      <c r="A1354" s="291" t="s">
        <v>2127</v>
      </c>
      <c r="B1354" s="293" t="s">
        <v>2128</v>
      </c>
      <c r="C1354" s="293" t="s">
        <v>6227</v>
      </c>
    </row>
    <row r="1355" spans="1:6" ht="38.25">
      <c r="A1355" s="291" t="s">
        <v>2136</v>
      </c>
      <c r="B1355" s="293" t="s">
        <v>2391</v>
      </c>
      <c r="C1355" s="293" t="s">
        <v>6228</v>
      </c>
    </row>
    <row r="1356" spans="1:6" ht="76.5">
      <c r="A1356" s="291" t="s">
        <v>2129</v>
      </c>
      <c r="B1356" s="293" t="s">
        <v>2130</v>
      </c>
      <c r="C1356" s="293" t="s">
        <v>6229</v>
      </c>
    </row>
    <row r="1357" spans="1:6" ht="89.25">
      <c r="A1357" s="291" t="s">
        <v>2131</v>
      </c>
      <c r="B1357" s="293" t="s">
        <v>2314</v>
      </c>
      <c r="C1357" s="293" t="s">
        <v>6230</v>
      </c>
    </row>
    <row r="1358" spans="1:6" ht="38.25">
      <c r="A1358" s="291" t="s">
        <v>2132</v>
      </c>
      <c r="B1358" s="293" t="s">
        <v>2315</v>
      </c>
      <c r="C1358" s="293" t="s">
        <v>6231</v>
      </c>
    </row>
    <row r="1359" spans="1:6" ht="25.5">
      <c r="A1359" s="291" t="s">
        <v>2133</v>
      </c>
      <c r="B1359" s="293" t="s">
        <v>2316</v>
      </c>
      <c r="C1359" s="293" t="s">
        <v>6232</v>
      </c>
      <c r="D1359" s="520"/>
    </row>
    <row r="1360" spans="1:6">
      <c r="A1360" s="291" t="s">
        <v>2134</v>
      </c>
      <c r="B1360" s="293" t="s">
        <v>2135</v>
      </c>
      <c r="C1360" s="293" t="s">
        <v>6233</v>
      </c>
      <c r="D1360" s="520"/>
    </row>
    <row r="1361" spans="1:3" ht="25.5">
      <c r="A1361" s="291" t="s">
        <v>2187</v>
      </c>
      <c r="B1361" s="293" t="s">
        <v>2188</v>
      </c>
      <c r="C1361" s="291" t="s">
        <v>2189</v>
      </c>
    </row>
    <row r="1362" spans="1:3" ht="38.25">
      <c r="A1362" s="291" t="s">
        <v>1968</v>
      </c>
      <c r="B1362" s="489" t="s">
        <v>1969</v>
      </c>
      <c r="C1362" s="293" t="s">
        <v>6234</v>
      </c>
    </row>
    <row r="1363" spans="1:3" ht="25.5">
      <c r="A1363" s="291" t="s">
        <v>1970</v>
      </c>
      <c r="B1363" s="293" t="s">
        <v>2317</v>
      </c>
      <c r="C1363" s="291" t="s">
        <v>2006</v>
      </c>
    </row>
    <row r="1364" spans="1:3" ht="13.5" thickBot="1">
      <c r="A1364" s="645" t="s">
        <v>518</v>
      </c>
      <c r="B1364" s="638"/>
      <c r="C1364" s="639"/>
    </row>
    <row r="1365" spans="1:3">
      <c r="A1365" s="291" t="s">
        <v>516</v>
      </c>
      <c r="B1365" s="489" t="s">
        <v>496</v>
      </c>
      <c r="C1365" s="291" t="s">
        <v>437</v>
      </c>
    </row>
    <row r="1366" spans="1:3" ht="25.5">
      <c r="A1366" s="291" t="s">
        <v>1971</v>
      </c>
      <c r="B1366" s="293" t="s">
        <v>2318</v>
      </c>
      <c r="C1366" s="291" t="s">
        <v>1972</v>
      </c>
    </row>
    <row r="1367" spans="1:3" ht="13.5" thickBot="1">
      <c r="A1367" s="645" t="s">
        <v>742</v>
      </c>
      <c r="B1367" s="638"/>
      <c r="C1367" s="639"/>
    </row>
    <row r="1368" spans="1:3" ht="25.5">
      <c r="A1368" s="487" t="s">
        <v>1056</v>
      </c>
      <c r="B1368" s="489" t="s">
        <v>1025</v>
      </c>
      <c r="C1368" s="487" t="s">
        <v>24</v>
      </c>
    </row>
    <row r="1369" spans="1:3" ht="25.5">
      <c r="A1369" s="291" t="s">
        <v>743</v>
      </c>
      <c r="B1369" s="489" t="s">
        <v>1057</v>
      </c>
      <c r="C1369" s="291" t="s">
        <v>1259</v>
      </c>
    </row>
    <row r="1370" spans="1:3" ht="25.5">
      <c r="A1370" s="291" t="s">
        <v>744</v>
      </c>
      <c r="B1370" s="489" t="s">
        <v>140</v>
      </c>
      <c r="C1370" s="291" t="s">
        <v>2013</v>
      </c>
    </row>
    <row r="1371" spans="1:3">
      <c r="A1371" s="291" t="s">
        <v>195</v>
      </c>
      <c r="B1371" s="489" t="s">
        <v>1058</v>
      </c>
      <c r="C1371" s="291" t="s">
        <v>1115</v>
      </c>
    </row>
    <row r="1372" spans="1:3">
      <c r="A1372" s="291" t="s">
        <v>745</v>
      </c>
      <c r="B1372" s="489" t="s">
        <v>1059</v>
      </c>
      <c r="C1372" s="291" t="s">
        <v>1116</v>
      </c>
    </row>
    <row r="1373" spans="1:3">
      <c r="A1373" s="291" t="s">
        <v>746</v>
      </c>
      <c r="B1373" s="489" t="s">
        <v>1060</v>
      </c>
      <c r="C1373" s="291" t="s">
        <v>1117</v>
      </c>
    </row>
    <row r="1374" spans="1:3">
      <c r="A1374" s="291" t="s">
        <v>747</v>
      </c>
      <c r="B1374" s="489" t="s">
        <v>1061</v>
      </c>
      <c r="C1374" s="291" t="s">
        <v>1118</v>
      </c>
    </row>
    <row r="1375" spans="1:3">
      <c r="A1375" s="291" t="s">
        <v>745</v>
      </c>
      <c r="B1375" s="489" t="s">
        <v>1059</v>
      </c>
      <c r="C1375" s="291" t="s">
        <v>1119</v>
      </c>
    </row>
    <row r="1376" spans="1:3">
      <c r="A1376" s="291" t="s">
        <v>746</v>
      </c>
      <c r="B1376" s="489" t="s">
        <v>1062</v>
      </c>
      <c r="C1376" s="291" t="s">
        <v>1117</v>
      </c>
    </row>
    <row r="1377" spans="1:5">
      <c r="A1377" s="291" t="s">
        <v>840</v>
      </c>
      <c r="B1377" s="489" t="s">
        <v>1063</v>
      </c>
      <c r="C1377" s="291" t="s">
        <v>2007</v>
      </c>
    </row>
    <row r="1378" spans="1:5">
      <c r="A1378" s="291" t="s">
        <v>745</v>
      </c>
      <c r="B1378" s="489" t="s">
        <v>1059</v>
      </c>
      <c r="C1378" s="291" t="s">
        <v>1116</v>
      </c>
    </row>
    <row r="1379" spans="1:5">
      <c r="A1379" s="291" t="s">
        <v>746</v>
      </c>
      <c r="B1379" s="489" t="s">
        <v>1062</v>
      </c>
      <c r="C1379" s="291" t="s">
        <v>1117</v>
      </c>
    </row>
    <row r="1380" spans="1:5">
      <c r="A1380" s="291" t="s">
        <v>841</v>
      </c>
      <c r="B1380" s="489" t="s">
        <v>1026</v>
      </c>
      <c r="C1380" s="291" t="s">
        <v>1120</v>
      </c>
      <c r="E1380" s="520"/>
    </row>
    <row r="1381" spans="1:5">
      <c r="A1381" s="291" t="s">
        <v>842</v>
      </c>
      <c r="B1381" s="489" t="s">
        <v>1064</v>
      </c>
      <c r="C1381" s="291" t="s">
        <v>1089</v>
      </c>
    </row>
    <row r="1382" spans="1:5" ht="25.5">
      <c r="A1382" s="291" t="s">
        <v>543</v>
      </c>
      <c r="B1382" s="489" t="s">
        <v>1027</v>
      </c>
      <c r="C1382" s="291" t="s">
        <v>25</v>
      </c>
    </row>
    <row r="1383" spans="1:5">
      <c r="A1383" s="291" t="s">
        <v>843</v>
      </c>
      <c r="B1383" s="489" t="s">
        <v>1065</v>
      </c>
      <c r="C1383" s="291" t="s">
        <v>1090</v>
      </c>
    </row>
    <row r="1384" spans="1:5">
      <c r="A1384" s="291" t="s">
        <v>426</v>
      </c>
      <c r="B1384" s="489" t="s">
        <v>1066</v>
      </c>
      <c r="C1384" s="291" t="s">
        <v>1915</v>
      </c>
    </row>
    <row r="1385" spans="1:5" ht="38.25">
      <c r="A1385" s="291" t="s">
        <v>748</v>
      </c>
      <c r="B1385" s="489" t="s">
        <v>152</v>
      </c>
      <c r="C1385" s="291" t="s">
        <v>1916</v>
      </c>
    </row>
    <row r="1386" spans="1:5" ht="25.5">
      <c r="A1386" s="291" t="s">
        <v>2072</v>
      </c>
      <c r="B1386" s="293" t="s">
        <v>2074</v>
      </c>
      <c r="C1386" s="291" t="s">
        <v>2073</v>
      </c>
      <c r="D1386" s="520"/>
    </row>
    <row r="1387" spans="1:5" ht="25.5">
      <c r="A1387" s="291" t="s">
        <v>1254</v>
      </c>
      <c r="B1387" s="293" t="s">
        <v>2319</v>
      </c>
      <c r="C1387" s="291" t="s">
        <v>1903</v>
      </c>
    </row>
    <row r="1388" spans="1:5">
      <c r="A1388" s="291" t="s">
        <v>519</v>
      </c>
      <c r="B1388" s="489" t="s">
        <v>141</v>
      </c>
      <c r="C1388" s="291" t="s">
        <v>1905</v>
      </c>
    </row>
    <row r="1389" spans="1:5">
      <c r="A1389" s="291" t="s">
        <v>601</v>
      </c>
      <c r="B1389" s="489" t="s">
        <v>142</v>
      </c>
      <c r="C1389" s="291" t="s">
        <v>1906</v>
      </c>
    </row>
    <row r="1390" spans="1:5" ht="25.5">
      <c r="A1390" s="291" t="s">
        <v>849</v>
      </c>
      <c r="B1390" s="489" t="s">
        <v>3</v>
      </c>
      <c r="C1390" s="291" t="s">
        <v>1309</v>
      </c>
    </row>
    <row r="1391" spans="1:5" ht="38.25">
      <c r="A1391" s="291" t="s">
        <v>749</v>
      </c>
      <c r="B1391" s="489" t="s">
        <v>1028</v>
      </c>
      <c r="C1391" s="291" t="s">
        <v>1091</v>
      </c>
    </row>
    <row r="1392" spans="1:5" ht="25.5">
      <c r="A1392" s="291" t="s">
        <v>886</v>
      </c>
      <c r="B1392" s="489" t="s">
        <v>4</v>
      </c>
      <c r="C1392" s="291" t="s">
        <v>5810</v>
      </c>
    </row>
    <row r="1393" spans="1:3" ht="25.5">
      <c r="A1393" s="291" t="s">
        <v>750</v>
      </c>
      <c r="B1393" s="489" t="s">
        <v>5</v>
      </c>
      <c r="C1393" s="291" t="s">
        <v>5811</v>
      </c>
    </row>
    <row r="1394" spans="1:3">
      <c r="A1394" s="291" t="s">
        <v>2433</v>
      </c>
      <c r="B1394" s="293" t="s">
        <v>2230</v>
      </c>
      <c r="C1394" s="291" t="s">
        <v>2427</v>
      </c>
    </row>
    <row r="1395" spans="1:3" ht="25.5">
      <c r="A1395" s="291" t="s">
        <v>887</v>
      </c>
      <c r="B1395" s="489" t="s">
        <v>6</v>
      </c>
      <c r="C1395" s="291" t="s">
        <v>1907</v>
      </c>
    </row>
    <row r="1396" spans="1:3" ht="25.5">
      <c r="A1396" s="291" t="s">
        <v>427</v>
      </c>
      <c r="B1396" s="293" t="s">
        <v>2320</v>
      </c>
      <c r="C1396" s="291" t="s">
        <v>1092</v>
      </c>
    </row>
    <row r="1397" spans="1:3">
      <c r="A1397" s="291" t="s">
        <v>919</v>
      </c>
      <c r="B1397" s="489" t="s">
        <v>1331</v>
      </c>
      <c r="C1397" s="291" t="s">
        <v>943</v>
      </c>
    </row>
    <row r="1398" spans="1:3">
      <c r="A1398" s="291" t="s">
        <v>888</v>
      </c>
      <c r="B1398" s="489" t="s">
        <v>7</v>
      </c>
      <c r="C1398" s="291" t="s">
        <v>1093</v>
      </c>
    </row>
    <row r="1399" spans="1:3" ht="25.5">
      <c r="A1399" s="291" t="s">
        <v>889</v>
      </c>
      <c r="B1399" s="489" t="s">
        <v>1029</v>
      </c>
      <c r="C1399" s="489" t="s">
        <v>6487</v>
      </c>
    </row>
    <row r="1400" spans="1:3">
      <c r="A1400" s="291" t="s">
        <v>890</v>
      </c>
      <c r="B1400" s="489" t="s">
        <v>8</v>
      </c>
      <c r="C1400" s="291" t="s">
        <v>5793</v>
      </c>
    </row>
    <row r="1401" spans="1:3" ht="25.5">
      <c r="A1401" s="291" t="s">
        <v>116</v>
      </c>
      <c r="B1401" s="489" t="s">
        <v>2241</v>
      </c>
      <c r="C1401" s="291" t="s">
        <v>430</v>
      </c>
    </row>
    <row r="1402" spans="1:3" ht="25.5">
      <c r="A1402" s="291" t="s">
        <v>6394</v>
      </c>
      <c r="B1402" s="293" t="s">
        <v>6393</v>
      </c>
      <c r="C1402" s="291" t="s">
        <v>6392</v>
      </c>
    </row>
    <row r="1403" spans="1:3">
      <c r="A1403" s="291" t="s">
        <v>6395</v>
      </c>
      <c r="B1403" s="293" t="s">
        <v>6396</v>
      </c>
      <c r="C1403" s="291" t="s">
        <v>6397</v>
      </c>
    </row>
    <row r="1404" spans="1:3">
      <c r="A1404" s="291" t="s">
        <v>6399</v>
      </c>
      <c r="B1404" s="293" t="s">
        <v>6400</v>
      </c>
      <c r="C1404" s="291" t="s">
        <v>6401</v>
      </c>
    </row>
    <row r="1405" spans="1:3">
      <c r="A1405" s="291" t="s">
        <v>458</v>
      </c>
      <c r="B1405" s="293" t="s">
        <v>2242</v>
      </c>
      <c r="C1405" s="291" t="s">
        <v>431</v>
      </c>
    </row>
    <row r="1406" spans="1:3" ht="25.5">
      <c r="A1406" s="291" t="s">
        <v>751</v>
      </c>
      <c r="B1406" s="293" t="s">
        <v>2321</v>
      </c>
      <c r="C1406" s="291" t="s">
        <v>1095</v>
      </c>
    </row>
    <row r="1407" spans="1:3">
      <c r="A1407" s="291" t="s">
        <v>1101</v>
      </c>
      <c r="B1407" s="489" t="s">
        <v>1387</v>
      </c>
      <c r="C1407" s="291" t="s">
        <v>1096</v>
      </c>
    </row>
    <row r="1408" spans="1:3" ht="25.5">
      <c r="A1408" s="291" t="s">
        <v>892</v>
      </c>
      <c r="B1408" s="489" t="s">
        <v>1030</v>
      </c>
      <c r="C1408" s="291" t="s">
        <v>1529</v>
      </c>
    </row>
    <row r="1409" spans="1:3" ht="38.25">
      <c r="A1409" s="291" t="s">
        <v>2143</v>
      </c>
      <c r="B1409" s="517" t="s">
        <v>6458</v>
      </c>
      <c r="C1409" s="291" t="s">
        <v>5787</v>
      </c>
    </row>
    <row r="1410" spans="1:3" ht="25.5">
      <c r="A1410" s="291" t="s">
        <v>893</v>
      </c>
      <c r="B1410" s="489" t="s">
        <v>10</v>
      </c>
      <c r="C1410" s="291" t="s">
        <v>1530</v>
      </c>
    </row>
    <row r="1411" spans="1:3">
      <c r="A1411" s="291" t="s">
        <v>894</v>
      </c>
      <c r="B1411" s="489" t="s">
        <v>11</v>
      </c>
      <c r="C1411" s="291" t="s">
        <v>1531</v>
      </c>
    </row>
    <row r="1412" spans="1:3">
      <c r="A1412" s="291" t="s">
        <v>888</v>
      </c>
      <c r="B1412" s="489" t="s">
        <v>7</v>
      </c>
      <c r="C1412" s="291" t="s">
        <v>1093</v>
      </c>
    </row>
    <row r="1413" spans="1:3" ht="38.25">
      <c r="A1413" s="291" t="s">
        <v>752</v>
      </c>
      <c r="B1413" s="489" t="s">
        <v>143</v>
      </c>
      <c r="C1413" s="291" t="s">
        <v>1532</v>
      </c>
    </row>
    <row r="1414" spans="1:3">
      <c r="A1414" s="291" t="s">
        <v>119</v>
      </c>
      <c r="B1414" s="489" t="s">
        <v>12</v>
      </c>
      <c r="C1414" s="291" t="s">
        <v>801</v>
      </c>
    </row>
    <row r="1415" spans="1:3" ht="25.5">
      <c r="A1415" s="291" t="s">
        <v>895</v>
      </c>
      <c r="B1415" s="489" t="s">
        <v>13</v>
      </c>
      <c r="C1415" s="291" t="s">
        <v>5792</v>
      </c>
    </row>
    <row r="1416" spans="1:3">
      <c r="A1416" s="291" t="s">
        <v>117</v>
      </c>
      <c r="B1416" s="293" t="s">
        <v>2243</v>
      </c>
      <c r="C1416" s="291" t="s">
        <v>432</v>
      </c>
    </row>
    <row r="1417" spans="1:3" ht="38.25">
      <c r="A1417" s="291" t="s">
        <v>1315</v>
      </c>
      <c r="B1417" s="293" t="s">
        <v>2322</v>
      </c>
      <c r="C1417" s="291" t="s">
        <v>1533</v>
      </c>
    </row>
    <row r="1418" spans="1:3" ht="25.5">
      <c r="A1418" s="291" t="s">
        <v>896</v>
      </c>
      <c r="B1418" s="489" t="s">
        <v>1031</v>
      </c>
      <c r="C1418" s="291" t="s">
        <v>1534</v>
      </c>
    </row>
    <row r="1419" spans="1:3" ht="25.5">
      <c r="A1419" s="291" t="s">
        <v>897</v>
      </c>
      <c r="B1419" s="489" t="s">
        <v>14</v>
      </c>
      <c r="C1419" s="291" t="s">
        <v>1535</v>
      </c>
    </row>
    <row r="1420" spans="1:3">
      <c r="A1420" s="291" t="s">
        <v>765</v>
      </c>
      <c r="B1420" s="489" t="s">
        <v>1343</v>
      </c>
      <c r="C1420" s="291" t="s">
        <v>766</v>
      </c>
    </row>
    <row r="1421" spans="1:3">
      <c r="A1421" s="291" t="s">
        <v>898</v>
      </c>
      <c r="B1421" s="489" t="s">
        <v>15</v>
      </c>
      <c r="C1421" s="291" t="s">
        <v>1536</v>
      </c>
    </row>
    <row r="1422" spans="1:3" ht="25.5">
      <c r="A1422" s="291" t="s">
        <v>753</v>
      </c>
      <c r="B1422" s="489" t="s">
        <v>1032</v>
      </c>
      <c r="C1422" s="291" t="s">
        <v>1537</v>
      </c>
    </row>
    <row r="1423" spans="1:3" ht="38.25">
      <c r="A1423" s="291" t="s">
        <v>696</v>
      </c>
      <c r="B1423" s="489" t="s">
        <v>16</v>
      </c>
      <c r="C1423" s="291" t="s">
        <v>1538</v>
      </c>
    </row>
    <row r="1424" spans="1:3" ht="38.25">
      <c r="A1424" s="291" t="s">
        <v>754</v>
      </c>
      <c r="B1424" s="489" t="s">
        <v>1033</v>
      </c>
      <c r="C1424" s="291" t="s">
        <v>368</v>
      </c>
    </row>
    <row r="1425" spans="1:5" ht="25.5">
      <c r="A1425" s="291" t="s">
        <v>697</v>
      </c>
      <c r="B1425" s="489" t="s">
        <v>1034</v>
      </c>
      <c r="C1425" s="291" t="s">
        <v>1539</v>
      </c>
    </row>
    <row r="1426" spans="1:5" ht="25.5">
      <c r="A1426" s="291" t="s">
        <v>755</v>
      </c>
      <c r="B1426" s="489" t="s">
        <v>17</v>
      </c>
      <c r="C1426" s="291" t="s">
        <v>1540</v>
      </c>
      <c r="D1426" s="520"/>
    </row>
    <row r="1427" spans="1:5" ht="25.5">
      <c r="A1427" s="291" t="s">
        <v>698</v>
      </c>
      <c r="B1427" s="489" t="s">
        <v>18</v>
      </c>
      <c r="C1427" s="291" t="s">
        <v>1541</v>
      </c>
    </row>
    <row r="1428" spans="1:5" ht="25.5">
      <c r="A1428" s="291" t="s">
        <v>699</v>
      </c>
      <c r="B1428" s="489" t="s">
        <v>1035</v>
      </c>
      <c r="C1428" s="291" t="s">
        <v>1310</v>
      </c>
    </row>
    <row r="1429" spans="1:5" ht="25.5">
      <c r="A1429" s="291" t="s">
        <v>372</v>
      </c>
      <c r="B1429" s="489" t="s">
        <v>1036</v>
      </c>
      <c r="C1429" s="291" t="s">
        <v>26</v>
      </c>
      <c r="D1429" s="69"/>
    </row>
    <row r="1430" spans="1:5" ht="25.5">
      <c r="A1430" s="291" t="s">
        <v>700</v>
      </c>
      <c r="B1430" s="489" t="s">
        <v>1037</v>
      </c>
      <c r="C1430" s="291" t="s">
        <v>1542</v>
      </c>
      <c r="D1430" s="70"/>
    </row>
    <row r="1431" spans="1:5">
      <c r="A1431" s="291" t="s">
        <v>701</v>
      </c>
      <c r="B1431" s="517" t="s">
        <v>5730</v>
      </c>
      <c r="C1431" s="291" t="s">
        <v>41</v>
      </c>
    </row>
    <row r="1432" spans="1:5" ht="25.5">
      <c r="A1432" s="291" t="s">
        <v>2428</v>
      </c>
      <c r="B1432" s="293" t="s">
        <v>2393</v>
      </c>
      <c r="C1432" s="284" t="s">
        <v>2448</v>
      </c>
    </row>
    <row r="1433" spans="1:5" ht="38.25">
      <c r="A1433" s="291" t="s">
        <v>2429</v>
      </c>
      <c r="B1433" s="517" t="s">
        <v>6459</v>
      </c>
      <c r="C1433" s="284" t="s">
        <v>2449</v>
      </c>
    </row>
    <row r="1434" spans="1:5" ht="25.5">
      <c r="A1434" s="291" t="s">
        <v>702</v>
      </c>
      <c r="B1434" s="293" t="s">
        <v>2392</v>
      </c>
      <c r="C1434" s="291" t="s">
        <v>1286</v>
      </c>
    </row>
    <row r="1435" spans="1:5">
      <c r="A1435" s="291" t="s">
        <v>703</v>
      </c>
      <c r="B1435" s="489" t="s">
        <v>1051</v>
      </c>
      <c r="C1435" s="291" t="s">
        <v>1543</v>
      </c>
    </row>
    <row r="1436" spans="1:5" ht="25.5">
      <c r="A1436" s="291" t="s">
        <v>756</v>
      </c>
      <c r="B1436" s="489" t="s">
        <v>1038</v>
      </c>
      <c r="C1436" s="291" t="s">
        <v>1544</v>
      </c>
    </row>
    <row r="1437" spans="1:5" ht="25.5">
      <c r="A1437" s="291" t="s">
        <v>68</v>
      </c>
      <c r="B1437" s="293" t="s">
        <v>2323</v>
      </c>
      <c r="C1437" s="291" t="s">
        <v>1545</v>
      </c>
      <c r="D1437" s="95"/>
      <c r="E1437" s="292"/>
    </row>
    <row r="1438" spans="1:5" ht="25.5">
      <c r="A1438" s="291" t="s">
        <v>123</v>
      </c>
      <c r="B1438" s="293" t="s">
        <v>2324</v>
      </c>
      <c r="C1438" s="291" t="s">
        <v>1262</v>
      </c>
      <c r="D1438" s="559"/>
    </row>
    <row r="1439" spans="1:5" ht="25.5">
      <c r="A1439" s="560" t="s">
        <v>6402</v>
      </c>
      <c r="B1439" s="284" t="s">
        <v>6404</v>
      </c>
      <c r="C1439" s="291" t="s">
        <v>6407</v>
      </c>
      <c r="D1439" s="95"/>
      <c r="E1439" s="511"/>
    </row>
    <row r="1440" spans="1:5" ht="25.5">
      <c r="A1440" s="560" t="s">
        <v>6403</v>
      </c>
      <c r="B1440" s="284" t="s">
        <v>6405</v>
      </c>
      <c r="C1440" s="291" t="s">
        <v>6406</v>
      </c>
    </row>
    <row r="1441" spans="1:5" ht="38.25">
      <c r="A1441" s="285" t="s">
        <v>6408</v>
      </c>
      <c r="B1441" s="286" t="s">
        <v>6409</v>
      </c>
      <c r="C1441" s="559" t="s">
        <v>6410</v>
      </c>
    </row>
    <row r="1442" spans="1:5" ht="38.25">
      <c r="A1442" s="291" t="s">
        <v>6413</v>
      </c>
      <c r="B1442" s="293" t="s">
        <v>6412</v>
      </c>
      <c r="C1442" s="291" t="s">
        <v>6411</v>
      </c>
    </row>
    <row r="1443" spans="1:5">
      <c r="A1443" s="285" t="s">
        <v>1149</v>
      </c>
      <c r="B1443" s="286" t="s">
        <v>1039</v>
      </c>
      <c r="C1443" s="559" t="s">
        <v>1546</v>
      </c>
      <c r="D1443" s="559"/>
    </row>
    <row r="1444" spans="1:5">
      <c r="A1444" s="560" t="s">
        <v>935</v>
      </c>
      <c r="B1444" s="284" t="s">
        <v>2344</v>
      </c>
      <c r="C1444" s="291" t="s">
        <v>1246</v>
      </c>
      <c r="D1444" s="559"/>
      <c r="E1444" s="559"/>
    </row>
    <row r="1445" spans="1:5" ht="25.5">
      <c r="A1445" s="560" t="s">
        <v>1150</v>
      </c>
      <c r="B1445" s="561" t="s">
        <v>1053</v>
      </c>
      <c r="C1445" s="291" t="s">
        <v>27</v>
      </c>
      <c r="D1445" s="559"/>
    </row>
    <row r="1446" spans="1:5" ht="25.5">
      <c r="A1446" s="560" t="s">
        <v>1151</v>
      </c>
      <c r="B1446" s="561" t="s">
        <v>1054</v>
      </c>
      <c r="C1446" s="291" t="s">
        <v>28</v>
      </c>
      <c r="D1446" s="559"/>
    </row>
    <row r="1447" spans="1:5">
      <c r="A1447" s="285" t="s">
        <v>970</v>
      </c>
      <c r="B1447" s="286" t="s">
        <v>665</v>
      </c>
      <c r="C1447" s="559" t="s">
        <v>465</v>
      </c>
    </row>
    <row r="1448" spans="1:5">
      <c r="A1448" s="285" t="s">
        <v>1260</v>
      </c>
      <c r="B1448" s="286" t="s">
        <v>1040</v>
      </c>
      <c r="C1448" s="559" t="s">
        <v>1547</v>
      </c>
    </row>
    <row r="1449" spans="1:5" ht="25.5">
      <c r="A1449" s="562" t="s">
        <v>1152</v>
      </c>
      <c r="B1449" s="286" t="s">
        <v>2325</v>
      </c>
      <c r="C1449" s="559" t="s">
        <v>1261</v>
      </c>
    </row>
    <row r="1450" spans="1:5">
      <c r="A1450" s="562" t="s">
        <v>124</v>
      </c>
      <c r="B1450" s="286" t="s">
        <v>1434</v>
      </c>
      <c r="C1450" s="559" t="s">
        <v>1548</v>
      </c>
    </row>
    <row r="1451" spans="1:5" ht="38.25">
      <c r="A1451" s="563" t="s">
        <v>1153</v>
      </c>
      <c r="B1451" s="561" t="s">
        <v>1041</v>
      </c>
      <c r="C1451" s="291" t="s">
        <v>1549</v>
      </c>
      <c r="D1451" s="520"/>
    </row>
    <row r="1452" spans="1:5" ht="51">
      <c r="A1452" s="563" t="s">
        <v>97</v>
      </c>
      <c r="B1452" s="561" t="s">
        <v>1042</v>
      </c>
      <c r="C1452" s="291" t="s">
        <v>1550</v>
      </c>
      <c r="D1452" s="520"/>
    </row>
    <row r="1453" spans="1:5" ht="63.75">
      <c r="A1453" s="563" t="s">
        <v>1154</v>
      </c>
      <c r="B1453" s="284" t="s">
        <v>2394</v>
      </c>
      <c r="C1453" s="291" t="s">
        <v>29</v>
      </c>
    </row>
    <row r="1454" spans="1:5" ht="25.5">
      <c r="A1454" s="563" t="s">
        <v>95</v>
      </c>
      <c r="B1454" s="284" t="s">
        <v>2326</v>
      </c>
      <c r="C1454" s="291" t="s">
        <v>2008</v>
      </c>
    </row>
    <row r="1455" spans="1:5" ht="25.5">
      <c r="A1455" s="563" t="s">
        <v>96</v>
      </c>
      <c r="B1455" s="284" t="s">
        <v>2327</v>
      </c>
      <c r="C1455" s="291" t="s">
        <v>370</v>
      </c>
      <c r="D1455" s="559"/>
    </row>
    <row r="1456" spans="1:5" ht="25.5">
      <c r="A1456" s="563" t="s">
        <v>1155</v>
      </c>
      <c r="B1456" s="561" t="s">
        <v>722</v>
      </c>
      <c r="C1456" s="291" t="s">
        <v>369</v>
      </c>
      <c r="D1456" s="559"/>
    </row>
    <row r="1457" spans="1:4" ht="38.25">
      <c r="A1457" s="563" t="s">
        <v>757</v>
      </c>
      <c r="B1457" s="522" t="s">
        <v>1043</v>
      </c>
      <c r="C1457" s="291" t="s">
        <v>2004</v>
      </c>
      <c r="D1457" s="559"/>
    </row>
    <row r="1458" spans="1:4">
      <c r="A1458" s="563" t="s">
        <v>419</v>
      </c>
      <c r="B1458" s="561" t="s">
        <v>1338</v>
      </c>
      <c r="C1458" s="291" t="s">
        <v>760</v>
      </c>
    </row>
    <row r="1459" spans="1:4">
      <c r="A1459" s="562" t="s">
        <v>970</v>
      </c>
      <c r="B1459" s="286" t="s">
        <v>665</v>
      </c>
      <c r="C1459" s="559" t="s">
        <v>465</v>
      </c>
    </row>
    <row r="1460" spans="1:4">
      <c r="A1460" s="562" t="s">
        <v>891</v>
      </c>
      <c r="B1460" s="286" t="s">
        <v>9</v>
      </c>
      <c r="C1460" s="559" t="s">
        <v>1094</v>
      </c>
    </row>
    <row r="1461" spans="1:4" ht="25.5">
      <c r="A1461" s="562" t="s">
        <v>758</v>
      </c>
      <c r="B1461" s="286" t="s">
        <v>2395</v>
      </c>
      <c r="C1461" s="559" t="s">
        <v>1551</v>
      </c>
    </row>
    <row r="1462" spans="1:4">
      <c r="A1462" s="563" t="s">
        <v>1156</v>
      </c>
      <c r="B1462" s="561" t="s">
        <v>1435</v>
      </c>
      <c r="C1462" s="291" t="s">
        <v>1552</v>
      </c>
    </row>
    <row r="1463" spans="1:4">
      <c r="A1463" s="563" t="s">
        <v>1157</v>
      </c>
      <c r="B1463" s="561" t="s">
        <v>1436</v>
      </c>
      <c r="C1463" s="291" t="s">
        <v>1553</v>
      </c>
      <c r="D1463" s="503"/>
    </row>
    <row r="1464" spans="1:4">
      <c r="A1464" s="563" t="s">
        <v>1158</v>
      </c>
      <c r="B1464" s="561" t="s">
        <v>1437</v>
      </c>
      <c r="C1464" s="291" t="s">
        <v>1554</v>
      </c>
      <c r="D1464" s="503"/>
    </row>
    <row r="1465" spans="1:4">
      <c r="A1465" s="563" t="s">
        <v>1088</v>
      </c>
      <c r="B1465" s="561" t="s">
        <v>720</v>
      </c>
      <c r="C1465" s="291" t="s">
        <v>1555</v>
      </c>
      <c r="D1465" s="559"/>
    </row>
    <row r="1466" spans="1:4">
      <c r="A1466" s="563" t="s">
        <v>1159</v>
      </c>
      <c r="B1466" s="561" t="s">
        <v>1044</v>
      </c>
      <c r="C1466" s="503" t="s">
        <v>1263</v>
      </c>
      <c r="D1466" s="559"/>
    </row>
    <row r="1467" spans="1:4">
      <c r="A1467" s="563" t="s">
        <v>1160</v>
      </c>
      <c r="B1467" s="561" t="s">
        <v>719</v>
      </c>
      <c r="C1467" s="503" t="s">
        <v>1264</v>
      </c>
    </row>
    <row r="1468" spans="1:4">
      <c r="A1468" s="563" t="s">
        <v>1161</v>
      </c>
      <c r="B1468" s="561" t="s">
        <v>1045</v>
      </c>
      <c r="C1468" s="503" t="s">
        <v>1265</v>
      </c>
      <c r="D1468" s="564"/>
    </row>
    <row r="1469" spans="1:4" ht="25.5">
      <c r="A1469" s="562" t="s">
        <v>1162</v>
      </c>
      <c r="B1469" s="286" t="s">
        <v>1046</v>
      </c>
      <c r="C1469" s="559" t="s">
        <v>1556</v>
      </c>
      <c r="D1469" s="559"/>
    </row>
    <row r="1470" spans="1:4" ht="25.5">
      <c r="A1470" s="562" t="s">
        <v>1163</v>
      </c>
      <c r="B1470" s="286" t="s">
        <v>144</v>
      </c>
      <c r="C1470" s="559" t="s">
        <v>1557</v>
      </c>
    </row>
    <row r="1471" spans="1:4" ht="25.5">
      <c r="A1471" s="563" t="s">
        <v>1164</v>
      </c>
      <c r="B1471" s="561" t="s">
        <v>721</v>
      </c>
      <c r="C1471" s="291" t="s">
        <v>1558</v>
      </c>
    </row>
    <row r="1472" spans="1:4" ht="25.5">
      <c r="A1472" s="562" t="s">
        <v>89</v>
      </c>
      <c r="B1472" s="286" t="s">
        <v>2328</v>
      </c>
      <c r="C1472" s="559" t="s">
        <v>5796</v>
      </c>
    </row>
    <row r="1473" spans="1:3" ht="25.5">
      <c r="A1473" s="562" t="s">
        <v>90</v>
      </c>
      <c r="B1473" s="286" t="s">
        <v>2396</v>
      </c>
      <c r="C1473" s="559" t="s">
        <v>5797</v>
      </c>
    </row>
    <row r="1474" spans="1:3" ht="13.5" thickBot="1">
      <c r="A1474" s="638" t="s">
        <v>904</v>
      </c>
      <c r="B1474" s="640"/>
      <c r="C1474" s="639"/>
    </row>
    <row r="1475" spans="1:3" ht="25.5">
      <c r="A1475" s="291" t="s">
        <v>1266</v>
      </c>
      <c r="B1475" s="489" t="s">
        <v>320</v>
      </c>
      <c r="C1475" s="291" t="s">
        <v>2009</v>
      </c>
    </row>
    <row r="1476" spans="1:3" ht="25.5">
      <c r="A1476" s="291" t="str">
        <f>"ZA OKRES OD " &amp;dzbo &amp;" DO " &amp;dzb</f>
        <v>ZA OKRES OD 19.10.2023 DO 31.12.2024</v>
      </c>
      <c r="B1476" s="489" t="str">
        <f>"FÜR DEN ZEITRAUM VOM " &amp;dzbo &amp;" BIS ZUM " &amp;dzb</f>
        <v>FÜR DEN ZEITRAUM VOM 19.10.2023 BIS ZUM 31.12.2024</v>
      </c>
      <c r="C1476" s="291" t="str">
        <f>"FOR THE PERIOD FROM " &amp;dzbo &amp;" TO " &amp;dzb</f>
        <v>FOR THE PERIOD FROM 19.10.2023 TO 31.12.2024</v>
      </c>
    </row>
    <row r="1477" spans="1:3">
      <c r="A1477" s="291" t="s">
        <v>880</v>
      </c>
      <c r="B1477" s="291" t="s">
        <v>1052</v>
      </c>
      <c r="C1477" s="291" t="s">
        <v>1559</v>
      </c>
    </row>
    <row r="1478" spans="1:3">
      <c r="A1478" s="291" t="s">
        <v>881</v>
      </c>
      <c r="B1478" s="291" t="s">
        <v>723</v>
      </c>
      <c r="C1478" s="291" t="s">
        <v>1560</v>
      </c>
    </row>
    <row r="1479" spans="1:3">
      <c r="A1479" s="291" t="s">
        <v>770</v>
      </c>
      <c r="B1479" s="291" t="s">
        <v>724</v>
      </c>
      <c r="C1479" s="291" t="s">
        <v>1561</v>
      </c>
    </row>
    <row r="1480" spans="1:3">
      <c r="A1480" s="291" t="s">
        <v>882</v>
      </c>
      <c r="B1480" s="291" t="s">
        <v>153</v>
      </c>
      <c r="C1480" s="291" t="s">
        <v>1562</v>
      </c>
    </row>
    <row r="1481" spans="1:3">
      <c r="A1481" s="291" t="s">
        <v>883</v>
      </c>
      <c r="B1481" s="291" t="s">
        <v>154</v>
      </c>
      <c r="C1481" s="291" t="s">
        <v>1563</v>
      </c>
    </row>
    <row r="1482" spans="1:3">
      <c r="A1482" s="291" t="s">
        <v>884</v>
      </c>
      <c r="B1482" s="291" t="s">
        <v>155</v>
      </c>
      <c r="C1482" s="291" t="s">
        <v>1564</v>
      </c>
    </row>
    <row r="1483" spans="1:3">
      <c r="A1483" s="291" t="s">
        <v>885</v>
      </c>
      <c r="B1483" s="291" t="s">
        <v>156</v>
      </c>
      <c r="C1483" s="291" t="s">
        <v>1565</v>
      </c>
    </row>
    <row r="1484" spans="1:3" ht="25.5">
      <c r="A1484" s="291" t="s">
        <v>593</v>
      </c>
      <c r="B1484" s="291" t="s">
        <v>157</v>
      </c>
      <c r="C1484" s="291" t="s">
        <v>1566</v>
      </c>
    </row>
    <row r="1485" spans="1:3" ht="38.25">
      <c r="A1485" s="291" t="s">
        <v>2215</v>
      </c>
      <c r="B1485" s="293" t="s">
        <v>2329</v>
      </c>
      <c r="C1485" s="291" t="s">
        <v>2216</v>
      </c>
    </row>
    <row r="1486" spans="1:3" ht="25.5">
      <c r="A1486" s="291" t="s">
        <v>2217</v>
      </c>
      <c r="B1486" s="293" t="s">
        <v>2218</v>
      </c>
      <c r="C1486" s="291" t="s">
        <v>2219</v>
      </c>
    </row>
    <row r="1487" spans="1:3" ht="38.25">
      <c r="A1487" s="291" t="s">
        <v>1770</v>
      </c>
      <c r="B1487" s="293" t="s">
        <v>1784</v>
      </c>
      <c r="C1487" s="291" t="s">
        <v>1896</v>
      </c>
    </row>
    <row r="1488" spans="1:3" ht="25.5">
      <c r="A1488" s="291" t="s">
        <v>1771</v>
      </c>
      <c r="B1488" s="293" t="s">
        <v>1801</v>
      </c>
      <c r="C1488" s="291" t="s">
        <v>1897</v>
      </c>
    </row>
    <row r="1489" spans="1:4">
      <c r="A1489" s="291" t="s">
        <v>258</v>
      </c>
      <c r="B1489" s="291" t="s">
        <v>1243</v>
      </c>
      <c r="C1489" s="291" t="s">
        <v>1267</v>
      </c>
    </row>
    <row r="1490" spans="1:4">
      <c r="A1490" s="291" t="s">
        <v>594</v>
      </c>
      <c r="B1490" s="291" t="s">
        <v>158</v>
      </c>
      <c r="C1490" s="291" t="s">
        <v>1567</v>
      </c>
    </row>
    <row r="1491" spans="1:4" ht="25.5">
      <c r="A1491" s="291" t="s">
        <v>595</v>
      </c>
      <c r="B1491" s="291" t="s">
        <v>159</v>
      </c>
      <c r="C1491" s="291" t="s">
        <v>108</v>
      </c>
    </row>
    <row r="1492" spans="1:4" ht="25.5">
      <c r="A1492" s="291" t="str">
        <f>"Siedzibą Spółki "&amp;GA!H19 &amp;" " &amp;siedziba &amp;" " &amp;kod &amp;", ul. "&amp;adres</f>
        <v>Siedzibą Spółki jest Warszawa 02-595, ul. ul. Puławska 99</v>
      </c>
      <c r="B1492" s="291" t="str">
        <f>"Sitz der Gesellschaft ist " &amp;siedziba&amp;" " &amp;kod &amp;", ul. " &amp;adres</f>
        <v>Sitz der Gesellschaft ist Warszawa 02-595, ul. ul. Puławska 99</v>
      </c>
      <c r="C1492" s="291" t="str">
        <f>"The registered office of the Company is "&amp;siedziba&amp;" " &amp;kod &amp;", ul." &amp;adres</f>
        <v>The registered office of the Company is Warszawa 02-595, ul.ul. Puławska 99</v>
      </c>
    </row>
    <row r="1493" spans="1:4">
      <c r="A1493" s="291" t="s">
        <v>596</v>
      </c>
      <c r="B1493" s="291" t="s">
        <v>1327</v>
      </c>
      <c r="C1493" s="291" t="s">
        <v>109</v>
      </c>
    </row>
    <row r="1494" spans="1:4">
      <c r="A1494" s="291" t="s">
        <v>852</v>
      </c>
      <c r="B1494" s="291" t="s">
        <v>160</v>
      </c>
      <c r="C1494" s="291" t="s">
        <v>110</v>
      </c>
    </row>
    <row r="1495" spans="1:4" ht="25.5">
      <c r="A1495" s="291" t="s">
        <v>623</v>
      </c>
      <c r="B1495" s="291" t="s">
        <v>145</v>
      </c>
      <c r="C1495" s="291" t="s">
        <v>732</v>
      </c>
    </row>
    <row r="1496" spans="1:4">
      <c r="A1496" s="291" t="s">
        <v>905</v>
      </c>
      <c r="B1496" s="291" t="s">
        <v>161</v>
      </c>
      <c r="C1496" s="291" t="s">
        <v>733</v>
      </c>
    </row>
    <row r="1497" spans="1:4">
      <c r="A1497" s="291" t="s">
        <v>975</v>
      </c>
      <c r="B1497" s="291" t="s">
        <v>162</v>
      </c>
      <c r="C1497" s="291" t="s">
        <v>734</v>
      </c>
    </row>
    <row r="1498" spans="1:4">
      <c r="A1498" s="291" t="s">
        <v>853</v>
      </c>
      <c r="B1498" s="291" t="s">
        <v>163</v>
      </c>
      <c r="C1498" s="291" t="s">
        <v>1268</v>
      </c>
    </row>
    <row r="1499" spans="1:4" ht="25.5">
      <c r="A1499" s="291" t="s">
        <v>854</v>
      </c>
      <c r="B1499" s="291" t="s">
        <v>1617</v>
      </c>
      <c r="C1499" s="291" t="s">
        <v>621</v>
      </c>
      <c r="D1499" s="520"/>
    </row>
    <row r="1500" spans="1:4">
      <c r="A1500" s="291" t="s">
        <v>855</v>
      </c>
      <c r="B1500" s="291" t="s">
        <v>164</v>
      </c>
      <c r="C1500" s="291" t="s">
        <v>1269</v>
      </c>
    </row>
    <row r="1501" spans="1:4">
      <c r="A1501" s="291" t="s">
        <v>856</v>
      </c>
      <c r="B1501" s="291" t="s">
        <v>165</v>
      </c>
      <c r="C1501" s="291" t="s">
        <v>735</v>
      </c>
    </row>
    <row r="1502" spans="1:4">
      <c r="A1502" s="291" t="s">
        <v>857</v>
      </c>
      <c r="B1502" s="291" t="s">
        <v>166</v>
      </c>
      <c r="C1502" s="291" t="s">
        <v>736</v>
      </c>
    </row>
    <row r="1503" spans="1:4" ht="25.5">
      <c r="A1503" s="291" t="s">
        <v>858</v>
      </c>
      <c r="B1503" s="291" t="s">
        <v>167</v>
      </c>
      <c r="C1503" s="291" t="s">
        <v>510</v>
      </c>
    </row>
    <row r="1504" spans="1:4" ht="25.5">
      <c r="A1504" s="291" t="s">
        <v>1130</v>
      </c>
      <c r="B1504" s="291" t="s">
        <v>147</v>
      </c>
      <c r="C1504" s="291" t="s">
        <v>511</v>
      </c>
    </row>
    <row r="1505" spans="1:4" ht="25.5">
      <c r="A1505" s="291" t="s">
        <v>1131</v>
      </c>
      <c r="B1505" s="291" t="s">
        <v>146</v>
      </c>
      <c r="C1505" s="291" t="s">
        <v>1285</v>
      </c>
    </row>
    <row r="1506" spans="1:4" ht="25.5">
      <c r="A1506" s="291" t="s">
        <v>1132</v>
      </c>
      <c r="B1506" s="291" t="s">
        <v>168</v>
      </c>
      <c r="C1506" s="291" t="s">
        <v>737</v>
      </c>
    </row>
    <row r="1507" spans="1:4" ht="25.5">
      <c r="A1507" s="291" t="s">
        <v>1133</v>
      </c>
      <c r="B1507" s="291" t="s">
        <v>169</v>
      </c>
      <c r="C1507" s="291" t="s">
        <v>738</v>
      </c>
    </row>
    <row r="1508" spans="1:4">
      <c r="A1508" s="291" t="s">
        <v>859</v>
      </c>
      <c r="B1508" s="291" t="s">
        <v>170</v>
      </c>
      <c r="C1508" s="291" t="s">
        <v>739</v>
      </c>
    </row>
    <row r="1509" spans="1:4">
      <c r="A1509" s="291" t="s">
        <v>860</v>
      </c>
      <c r="B1509" s="291" t="s">
        <v>171</v>
      </c>
      <c r="C1509" s="291" t="s">
        <v>740</v>
      </c>
    </row>
    <row r="1510" spans="1:4">
      <c r="A1510" s="291" t="s">
        <v>861</v>
      </c>
      <c r="B1510" s="291" t="s">
        <v>606</v>
      </c>
      <c r="C1510" s="291" t="s">
        <v>2005</v>
      </c>
    </row>
    <row r="1511" spans="1:4">
      <c r="A1511" s="291" t="s">
        <v>862</v>
      </c>
      <c r="B1511" s="291" t="s">
        <v>172</v>
      </c>
      <c r="C1511" s="291" t="s">
        <v>741</v>
      </c>
    </row>
    <row r="1512" spans="1:4">
      <c r="A1512" s="291" t="s">
        <v>863</v>
      </c>
      <c r="B1512" s="291" t="s">
        <v>173</v>
      </c>
      <c r="C1512" s="291" t="s">
        <v>470</v>
      </c>
    </row>
    <row r="1513" spans="1:4">
      <c r="A1513" s="291" t="s">
        <v>864</v>
      </c>
      <c r="B1513" s="291" t="s">
        <v>607</v>
      </c>
      <c r="C1513" s="291" t="s">
        <v>1311</v>
      </c>
      <c r="D1513" s="520"/>
    </row>
    <row r="1514" spans="1:4">
      <c r="A1514" s="291" t="s">
        <v>865</v>
      </c>
      <c r="B1514" s="291" t="s">
        <v>174</v>
      </c>
      <c r="C1514" s="291" t="s">
        <v>471</v>
      </c>
    </row>
    <row r="1515" spans="1:4" ht="25.5">
      <c r="A1515" s="291" t="s">
        <v>866</v>
      </c>
      <c r="B1515" s="291" t="s">
        <v>608</v>
      </c>
      <c r="C1515" s="291" t="s">
        <v>472</v>
      </c>
    </row>
    <row r="1516" spans="1:4">
      <c r="A1516" s="291" t="s">
        <v>976</v>
      </c>
      <c r="B1516" s="291" t="s">
        <v>175</v>
      </c>
      <c r="C1516" s="291" t="s">
        <v>473</v>
      </c>
    </row>
    <row r="1517" spans="1:4" ht="25.5">
      <c r="A1517" s="291" t="s">
        <v>867</v>
      </c>
      <c r="B1517" s="291" t="s">
        <v>1047</v>
      </c>
      <c r="C1517" s="291" t="s">
        <v>1918</v>
      </c>
    </row>
    <row r="1518" spans="1:4">
      <c r="A1518" s="291" t="s">
        <v>125</v>
      </c>
      <c r="B1518" s="291" t="s">
        <v>176</v>
      </c>
      <c r="C1518" s="291" t="s">
        <v>474</v>
      </c>
    </row>
    <row r="1519" spans="1:4" ht="25.5">
      <c r="A1519" s="291" t="s">
        <v>512</v>
      </c>
      <c r="B1519" s="291" t="s">
        <v>177</v>
      </c>
      <c r="C1519" s="291" t="s">
        <v>475</v>
      </c>
    </row>
    <row r="1520" spans="1:4">
      <c r="A1520" s="291" t="s">
        <v>868</v>
      </c>
      <c r="B1520" s="291" t="s">
        <v>178</v>
      </c>
      <c r="C1520" s="291" t="s">
        <v>476</v>
      </c>
    </row>
    <row r="1521" spans="1:6" ht="25.5">
      <c r="A1521" s="291" t="s">
        <v>869</v>
      </c>
      <c r="B1521" s="291" t="s">
        <v>609</v>
      </c>
      <c r="C1521" s="291" t="s">
        <v>477</v>
      </c>
    </row>
    <row r="1522" spans="1:6">
      <c r="A1522" s="291" t="s">
        <v>977</v>
      </c>
      <c r="B1522" s="291" t="s">
        <v>179</v>
      </c>
      <c r="C1522" s="291" t="s">
        <v>478</v>
      </c>
    </row>
    <row r="1523" spans="1:6">
      <c r="A1523" s="291" t="s">
        <v>870</v>
      </c>
      <c r="B1523" s="291" t="s">
        <v>180</v>
      </c>
      <c r="C1523" s="291" t="s">
        <v>479</v>
      </c>
    </row>
    <row r="1524" spans="1:6">
      <c r="A1524" s="291" t="s">
        <v>871</v>
      </c>
      <c r="B1524" s="291" t="s">
        <v>181</v>
      </c>
      <c r="C1524" s="291" t="s">
        <v>480</v>
      </c>
    </row>
    <row r="1525" spans="1:6" ht="25.5">
      <c r="A1525" s="291" t="s">
        <v>1270</v>
      </c>
      <c r="B1525" s="291" t="s">
        <v>610</v>
      </c>
      <c r="C1525" s="291" t="s">
        <v>481</v>
      </c>
    </row>
    <row r="1526" spans="1:6">
      <c r="A1526" s="291" t="s">
        <v>872</v>
      </c>
      <c r="B1526" s="291" t="s">
        <v>182</v>
      </c>
      <c r="C1526" s="291" t="s">
        <v>482</v>
      </c>
    </row>
    <row r="1527" spans="1:6" ht="25.5">
      <c r="A1527" s="291" t="s">
        <v>513</v>
      </c>
      <c r="B1527" s="291" t="s">
        <v>611</v>
      </c>
      <c r="C1527" s="291" t="s">
        <v>483</v>
      </c>
      <c r="D1527" s="565"/>
      <c r="E1527" s="565"/>
      <c r="F1527" s="565"/>
    </row>
    <row r="1528" spans="1:6">
      <c r="A1528" s="291" t="s">
        <v>873</v>
      </c>
      <c r="B1528" s="291" t="s">
        <v>183</v>
      </c>
      <c r="C1528" s="291" t="s">
        <v>484</v>
      </c>
    </row>
    <row r="1529" spans="1:6" ht="25.5">
      <c r="A1529" s="291" t="s">
        <v>717</v>
      </c>
      <c r="B1529" s="291" t="s">
        <v>1596</v>
      </c>
      <c r="C1529" s="291" t="s">
        <v>622</v>
      </c>
    </row>
    <row r="1530" spans="1:6">
      <c r="A1530" s="291" t="s">
        <v>874</v>
      </c>
      <c r="B1530" s="291" t="s">
        <v>605</v>
      </c>
      <c r="C1530" s="291" t="s">
        <v>485</v>
      </c>
    </row>
    <row r="1531" spans="1:6" ht="25.5">
      <c r="A1531" s="291" t="s">
        <v>978</v>
      </c>
      <c r="B1531" s="291" t="s">
        <v>184</v>
      </c>
      <c r="C1531" s="291" t="s">
        <v>486</v>
      </c>
    </row>
    <row r="1532" spans="1:6">
      <c r="A1532" s="291" t="s">
        <v>718</v>
      </c>
      <c r="B1532" s="291" t="s">
        <v>185</v>
      </c>
      <c r="C1532" s="291" t="s">
        <v>487</v>
      </c>
    </row>
    <row r="1533" spans="1:6">
      <c r="A1533" s="291" t="s">
        <v>875</v>
      </c>
      <c r="B1533" s="291" t="s">
        <v>186</v>
      </c>
      <c r="C1533" s="291" t="s">
        <v>488</v>
      </c>
    </row>
    <row r="1534" spans="1:6" ht="25.5">
      <c r="A1534" s="291" t="s">
        <v>876</v>
      </c>
      <c r="B1534" s="291" t="s">
        <v>187</v>
      </c>
      <c r="C1534" s="291" t="s">
        <v>489</v>
      </c>
    </row>
    <row r="1535" spans="1:6">
      <c r="A1535" s="291" t="s">
        <v>878</v>
      </c>
      <c r="B1535" s="291" t="s">
        <v>188</v>
      </c>
      <c r="C1535" s="291" t="s">
        <v>490</v>
      </c>
    </row>
    <row r="1536" spans="1:6" ht="51">
      <c r="A1536" s="291" t="s">
        <v>979</v>
      </c>
      <c r="B1536" s="291" t="s">
        <v>148</v>
      </c>
      <c r="C1536" s="291" t="s">
        <v>491</v>
      </c>
    </row>
    <row r="1537" spans="1:4" ht="38.25">
      <c r="A1537" s="291" t="s">
        <v>1467</v>
      </c>
      <c r="B1537" s="291" t="s">
        <v>1049</v>
      </c>
      <c r="C1537" s="566" t="s">
        <v>1468</v>
      </c>
    </row>
    <row r="1538" spans="1:4">
      <c r="A1538" s="291" t="s">
        <v>980</v>
      </c>
      <c r="B1538" s="291" t="s">
        <v>189</v>
      </c>
      <c r="C1538" s="567" t="s">
        <v>492</v>
      </c>
    </row>
    <row r="1539" spans="1:4" ht="38.25">
      <c r="A1539" s="291" t="s">
        <v>30</v>
      </c>
      <c r="B1539" s="291" t="s">
        <v>149</v>
      </c>
      <c r="C1539" s="566" t="s">
        <v>493</v>
      </c>
      <c r="D1539" s="503"/>
    </row>
    <row r="1540" spans="1:4" ht="25.5">
      <c r="A1540" s="567" t="s">
        <v>1469</v>
      </c>
      <c r="B1540" s="566" t="s">
        <v>1050</v>
      </c>
      <c r="C1540" s="567" t="s">
        <v>1470</v>
      </c>
      <c r="D1540" s="503"/>
    </row>
    <row r="1541" spans="1:4">
      <c r="A1541" s="291" t="s">
        <v>877</v>
      </c>
      <c r="B1541" s="291" t="s">
        <v>190</v>
      </c>
      <c r="C1541" s="291" t="s">
        <v>494</v>
      </c>
      <c r="D1541" s="503"/>
    </row>
    <row r="1542" spans="1:4" ht="51">
      <c r="A1542" s="291" t="s">
        <v>126</v>
      </c>
      <c r="B1542" s="291" t="s">
        <v>1048</v>
      </c>
      <c r="C1542" s="291" t="s">
        <v>1908</v>
      </c>
      <c r="D1542" s="503"/>
    </row>
    <row r="1543" spans="1:4">
      <c r="A1543" s="291" t="s">
        <v>127</v>
      </c>
      <c r="B1543" s="291" t="s">
        <v>627</v>
      </c>
      <c r="C1543" s="503" t="s">
        <v>1909</v>
      </c>
      <c r="D1543" s="503"/>
    </row>
    <row r="1544" spans="1:4" ht="25.5">
      <c r="A1544" s="291" t="s">
        <v>128</v>
      </c>
      <c r="B1544" s="291" t="s">
        <v>628</v>
      </c>
      <c r="C1544" s="503" t="s">
        <v>1910</v>
      </c>
    </row>
    <row r="1545" spans="1:4">
      <c r="A1545" s="291" t="s">
        <v>129</v>
      </c>
      <c r="B1545" s="291" t="s">
        <v>318</v>
      </c>
      <c r="C1545" s="503" t="s">
        <v>1911</v>
      </c>
    </row>
    <row r="1546" spans="1:4" ht="25.5">
      <c r="A1546" s="291" t="s">
        <v>31</v>
      </c>
      <c r="B1546" s="291" t="s">
        <v>319</v>
      </c>
      <c r="C1546" s="503" t="s">
        <v>100</v>
      </c>
    </row>
    <row r="1547" spans="1:4">
      <c r="A1547" s="291" t="s">
        <v>130</v>
      </c>
      <c r="B1547" s="291" t="s">
        <v>612</v>
      </c>
      <c r="C1547" s="503" t="s">
        <v>101</v>
      </c>
    </row>
    <row r="1548" spans="1:4" ht="25.5">
      <c r="A1548" s="291" t="s">
        <v>5588</v>
      </c>
      <c r="B1548" s="293" t="s">
        <v>5867</v>
      </c>
      <c r="C1548" s="291" t="s">
        <v>5589</v>
      </c>
    </row>
    <row r="1549" spans="1:4" ht="25.5">
      <c r="A1549" s="291" t="s">
        <v>6704</v>
      </c>
      <c r="B1549" s="293" t="s">
        <v>6705</v>
      </c>
      <c r="C1549" s="291" t="s">
        <v>5818</v>
      </c>
    </row>
    <row r="1550" spans="1:4" ht="25.5">
      <c r="A1550" s="291" t="s">
        <v>6702</v>
      </c>
      <c r="B1550" s="293" t="s">
        <v>6703</v>
      </c>
      <c r="C1550" s="291" t="s">
        <v>5818</v>
      </c>
    </row>
    <row r="1551" spans="1:4">
      <c r="A1551" s="291" t="s">
        <v>1744</v>
      </c>
      <c r="B1551" s="293" t="s">
        <v>2330</v>
      </c>
      <c r="C1551" s="291" t="s">
        <v>1887</v>
      </c>
    </row>
    <row r="1552" spans="1:4" ht="25.5">
      <c r="A1552" s="291" t="s">
        <v>1745</v>
      </c>
      <c r="B1552" s="489" t="s">
        <v>1598</v>
      </c>
      <c r="C1552" s="291" t="s">
        <v>1888</v>
      </c>
    </row>
    <row r="1553" spans="1:3">
      <c r="A1553" s="291" t="s">
        <v>1746</v>
      </c>
      <c r="B1553" s="489" t="s">
        <v>1747</v>
      </c>
      <c r="C1553" s="291" t="s">
        <v>1889</v>
      </c>
    </row>
    <row r="1554" spans="1:3">
      <c r="A1554" s="291" t="s">
        <v>1748</v>
      </c>
      <c r="B1554" s="489" t="s">
        <v>1599</v>
      </c>
      <c r="C1554" s="291" t="s">
        <v>1890</v>
      </c>
    </row>
    <row r="1555" spans="1:3">
      <c r="A1555" s="291" t="s">
        <v>1749</v>
      </c>
      <c r="B1555" s="489" t="s">
        <v>1600</v>
      </c>
      <c r="C1555" s="291" t="s">
        <v>1891</v>
      </c>
    </row>
    <row r="1556" spans="1:3">
      <c r="A1556" s="291" t="s">
        <v>1750</v>
      </c>
      <c r="B1556" s="293" t="s">
        <v>2397</v>
      </c>
      <c r="C1556" s="291" t="s">
        <v>1892</v>
      </c>
    </row>
    <row r="1557" spans="1:3">
      <c r="A1557" s="291" t="s">
        <v>1751</v>
      </c>
      <c r="B1557" s="293" t="s">
        <v>2398</v>
      </c>
      <c r="C1557" s="291" t="s">
        <v>1932</v>
      </c>
    </row>
    <row r="1561" spans="1:3">
      <c r="B1561" s="291"/>
    </row>
    <row r="1563" spans="1:3" ht="51">
      <c r="A1563" s="291" t="s">
        <v>1671</v>
      </c>
      <c r="B1563" s="293" t="s">
        <v>1597</v>
      </c>
      <c r="C1563" s="291" t="s">
        <v>1803</v>
      </c>
    </row>
    <row r="1564" spans="1:3" ht="51">
      <c r="A1564" s="291" t="s">
        <v>6237</v>
      </c>
      <c r="B1564" s="293" t="s">
        <v>6238</v>
      </c>
      <c r="C1564" s="291" t="s">
        <v>6239</v>
      </c>
    </row>
    <row r="1565" spans="1:3" ht="51">
      <c r="A1565" s="291" t="s">
        <v>6240</v>
      </c>
      <c r="B1565" s="293" t="s">
        <v>6241</v>
      </c>
      <c r="C1565" s="291" t="s">
        <v>6242</v>
      </c>
    </row>
    <row r="1566" spans="1:3" ht="51">
      <c r="A1566" s="291" t="s">
        <v>1672</v>
      </c>
      <c r="B1566" s="293" t="s">
        <v>1601</v>
      </c>
      <c r="C1566" s="291" t="s">
        <v>1804</v>
      </c>
    </row>
    <row r="1567" spans="1:3" ht="51">
      <c r="A1567" s="291" t="s">
        <v>1673</v>
      </c>
      <c r="B1567" s="293" t="s">
        <v>2399</v>
      </c>
      <c r="C1567" s="291" t="s">
        <v>1805</v>
      </c>
    </row>
    <row r="1568" spans="1:3" ht="51">
      <c r="A1568" s="291" t="s">
        <v>1674</v>
      </c>
      <c r="B1568" s="293" t="s">
        <v>1602</v>
      </c>
      <c r="C1568" s="291" t="s">
        <v>1806</v>
      </c>
    </row>
    <row r="1569" spans="1:3" ht="89.25">
      <c r="A1569" s="291" t="s">
        <v>1675</v>
      </c>
      <c r="B1569" s="293" t="s">
        <v>1603</v>
      </c>
      <c r="C1569" s="291" t="s">
        <v>1921</v>
      </c>
    </row>
    <row r="1570" spans="1:3" ht="63.75">
      <c r="A1570" s="291" t="s">
        <v>1676</v>
      </c>
      <c r="B1570" s="293" t="s">
        <v>2400</v>
      </c>
      <c r="C1570" s="291" t="s">
        <v>1807</v>
      </c>
    </row>
    <row r="1571" spans="1:3" ht="51">
      <c r="A1571" s="291" t="s">
        <v>1677</v>
      </c>
      <c r="B1571" s="293" t="s">
        <v>1604</v>
      </c>
      <c r="C1571" s="291" t="s">
        <v>1922</v>
      </c>
    </row>
    <row r="1572" spans="1:3">
      <c r="A1572" s="291" t="s">
        <v>1678</v>
      </c>
      <c r="B1572" s="293" t="s">
        <v>1973</v>
      </c>
      <c r="C1572" s="291" t="s">
        <v>1808</v>
      </c>
    </row>
    <row r="1573" spans="1:3" ht="25.5">
      <c r="A1573" s="291" t="s">
        <v>1679</v>
      </c>
      <c r="B1573" s="293" t="s">
        <v>1974</v>
      </c>
      <c r="C1573" s="291" t="s">
        <v>1809</v>
      </c>
    </row>
    <row r="1574" spans="1:3">
      <c r="A1574" s="291" t="s">
        <v>1680</v>
      </c>
      <c r="B1574" s="293" t="s">
        <v>2401</v>
      </c>
      <c r="C1574" s="291" t="s">
        <v>1810</v>
      </c>
    </row>
    <row r="1575" spans="1:3" ht="25.5">
      <c r="A1575" s="291" t="s">
        <v>1681</v>
      </c>
      <c r="B1575" s="293" t="s">
        <v>1975</v>
      </c>
      <c r="C1575" s="291" t="s">
        <v>1811</v>
      </c>
    </row>
    <row r="1576" spans="1:3" ht="25.5">
      <c r="A1576" s="291" t="s">
        <v>1682</v>
      </c>
      <c r="B1576" s="293" t="s">
        <v>1976</v>
      </c>
      <c r="C1576" s="291" t="s">
        <v>1812</v>
      </c>
    </row>
    <row r="1577" spans="1:3" ht="25.5">
      <c r="A1577" s="291" t="s">
        <v>1683</v>
      </c>
      <c r="B1577" s="293" t="s">
        <v>2331</v>
      </c>
      <c r="C1577" s="291" t="s">
        <v>1813</v>
      </c>
    </row>
    <row r="1578" spans="1:3" ht="25.5">
      <c r="A1578" s="291" t="s">
        <v>1684</v>
      </c>
      <c r="B1578" s="293" t="s">
        <v>1977</v>
      </c>
      <c r="C1578" s="291" t="s">
        <v>1814</v>
      </c>
    </row>
    <row r="1579" spans="1:3" ht="51">
      <c r="A1579" s="291" t="s">
        <v>1685</v>
      </c>
      <c r="B1579" s="293" t="s">
        <v>1605</v>
      </c>
      <c r="C1579" s="291" t="s">
        <v>1815</v>
      </c>
    </row>
    <row r="1580" spans="1:3">
      <c r="A1580" s="291" t="s">
        <v>1680</v>
      </c>
      <c r="B1580" s="293" t="s">
        <v>2401</v>
      </c>
      <c r="C1580" s="291" t="s">
        <v>1810</v>
      </c>
    </row>
    <row r="1581" spans="1:3" ht="25.5">
      <c r="A1581" s="291" t="s">
        <v>1681</v>
      </c>
      <c r="B1581" s="293" t="s">
        <v>1975</v>
      </c>
      <c r="C1581" s="291" t="s">
        <v>1811</v>
      </c>
    </row>
    <row r="1582" spans="1:3" ht="25.5">
      <c r="A1582" s="291" t="s">
        <v>1682</v>
      </c>
      <c r="B1582" s="293" t="s">
        <v>1976</v>
      </c>
      <c r="C1582" s="291" t="s">
        <v>1812</v>
      </c>
    </row>
    <row r="1583" spans="1:3" ht="25.5">
      <c r="A1583" s="291" t="s">
        <v>1686</v>
      </c>
      <c r="B1583" s="293" t="s">
        <v>2332</v>
      </c>
      <c r="C1583" s="291" t="s">
        <v>1816</v>
      </c>
    </row>
    <row r="1584" spans="1:3" ht="25.5">
      <c r="A1584" s="291" t="s">
        <v>1687</v>
      </c>
      <c r="B1584" s="293" t="s">
        <v>1978</v>
      </c>
      <c r="C1584" s="291" t="s">
        <v>1817</v>
      </c>
    </row>
    <row r="1585" spans="1:3" ht="38.25">
      <c r="A1585" s="291" t="s">
        <v>1688</v>
      </c>
      <c r="B1585" s="293" t="s">
        <v>1979</v>
      </c>
      <c r="C1585" s="291" t="s">
        <v>1818</v>
      </c>
    </row>
    <row r="1586" spans="1:3" ht="25.5">
      <c r="A1586" s="291" t="s">
        <v>1689</v>
      </c>
      <c r="B1586" s="293" t="s">
        <v>2333</v>
      </c>
      <c r="C1586" s="291" t="s">
        <v>1819</v>
      </c>
    </row>
    <row r="1587" spans="1:3" ht="38.25">
      <c r="A1587" s="291" t="s">
        <v>1690</v>
      </c>
      <c r="B1587" s="293" t="s">
        <v>2402</v>
      </c>
      <c r="C1587" s="291" t="s">
        <v>1820</v>
      </c>
    </row>
    <row r="1588" spans="1:3" ht="51">
      <c r="A1588" s="291" t="s">
        <v>1980</v>
      </c>
      <c r="B1588" s="293" t="s">
        <v>2403</v>
      </c>
      <c r="C1588" s="291" t="s">
        <v>1821</v>
      </c>
    </row>
    <row r="1589" spans="1:3" ht="51">
      <c r="A1589" s="291" t="s">
        <v>1691</v>
      </c>
      <c r="B1589" s="293" t="s">
        <v>1608</v>
      </c>
      <c r="C1589" s="291" t="s">
        <v>1923</v>
      </c>
    </row>
    <row r="1590" spans="1:3" ht="38.25">
      <c r="A1590" s="291" t="s">
        <v>1692</v>
      </c>
      <c r="B1590" s="293" t="s">
        <v>1624</v>
      </c>
      <c r="C1590" s="291" t="s">
        <v>1822</v>
      </c>
    </row>
    <row r="1591" spans="1:3" ht="25.5">
      <c r="A1591" s="291" t="s">
        <v>1693</v>
      </c>
      <c r="B1591" s="293" t="s">
        <v>1609</v>
      </c>
      <c r="C1591" s="291" t="s">
        <v>1823</v>
      </c>
    </row>
    <row r="1592" spans="1:3" ht="51">
      <c r="A1592" s="291" t="s">
        <v>1694</v>
      </c>
      <c r="B1592" s="293" t="s">
        <v>1610</v>
      </c>
      <c r="C1592" s="291" t="s">
        <v>1824</v>
      </c>
    </row>
    <row r="1593" spans="1:3" ht="38.25">
      <c r="A1593" s="291" t="s">
        <v>1695</v>
      </c>
      <c r="B1593" s="293" t="s">
        <v>1611</v>
      </c>
      <c r="C1593" s="291" t="s">
        <v>1825</v>
      </c>
    </row>
    <row r="1594" spans="1:3" ht="25.5">
      <c r="A1594" s="291" t="s">
        <v>1696</v>
      </c>
      <c r="B1594" s="293" t="s">
        <v>1612</v>
      </c>
      <c r="C1594" s="291" t="s">
        <v>1826</v>
      </c>
    </row>
    <row r="1595" spans="1:3">
      <c r="A1595" s="291" t="s">
        <v>2199</v>
      </c>
      <c r="B1595" s="293" t="s">
        <v>2200</v>
      </c>
      <c r="C1595" s="291" t="s">
        <v>2201</v>
      </c>
    </row>
    <row r="1596" spans="1:3">
      <c r="B1596" s="293"/>
    </row>
    <row r="1597" spans="1:3">
      <c r="B1597" s="293"/>
    </row>
    <row r="1598" spans="1:3">
      <c r="B1598" s="293"/>
    </row>
    <row r="1599" spans="1:3" ht="25.5">
      <c r="A1599" s="291" t="s">
        <v>1697</v>
      </c>
      <c r="B1599" s="293" t="s">
        <v>2334</v>
      </c>
      <c r="C1599" s="291" t="s">
        <v>1827</v>
      </c>
    </row>
    <row r="1600" spans="1:3">
      <c r="A1600" s="291" t="s">
        <v>1698</v>
      </c>
      <c r="B1600" s="293" t="s">
        <v>1618</v>
      </c>
      <c r="C1600" s="291" t="s">
        <v>1828</v>
      </c>
    </row>
    <row r="1601" spans="1:3">
      <c r="A1601" s="291" t="s">
        <v>1699</v>
      </c>
      <c r="B1601" s="293" t="s">
        <v>1619</v>
      </c>
      <c r="C1601" s="291" t="s">
        <v>1829</v>
      </c>
    </row>
    <row r="1602" spans="1:3">
      <c r="A1602" s="291" t="s">
        <v>1700</v>
      </c>
      <c r="B1602" s="293" t="s">
        <v>1620</v>
      </c>
      <c r="C1602" s="291" t="s">
        <v>1830</v>
      </c>
    </row>
    <row r="1603" spans="1:3" ht="25.5">
      <c r="A1603" s="291" t="s">
        <v>1701</v>
      </c>
      <c r="B1603" s="293" t="s">
        <v>1621</v>
      </c>
      <c r="C1603" s="291" t="s">
        <v>1831</v>
      </c>
    </row>
    <row r="1604" spans="1:3">
      <c r="A1604" s="291" t="s">
        <v>1702</v>
      </c>
      <c r="B1604" s="293" t="s">
        <v>1045</v>
      </c>
      <c r="C1604" s="291" t="s">
        <v>1832</v>
      </c>
    </row>
    <row r="1605" spans="1:3" ht="38.25">
      <c r="A1605" s="291" t="s">
        <v>2153</v>
      </c>
      <c r="B1605" s="517" t="s">
        <v>6460</v>
      </c>
      <c r="C1605" s="291" t="s">
        <v>2430</v>
      </c>
    </row>
    <row r="1606" spans="1:3" ht="25.5">
      <c r="A1606" s="291" t="s">
        <v>2177</v>
      </c>
      <c r="B1606" s="293" t="s">
        <v>2404</v>
      </c>
      <c r="C1606" s="291" t="s">
        <v>2431</v>
      </c>
    </row>
    <row r="1607" spans="1:3" ht="25.5">
      <c r="A1607" s="291" t="s">
        <v>1703</v>
      </c>
      <c r="B1607" s="293" t="s">
        <v>2335</v>
      </c>
      <c r="C1607" s="291" t="s">
        <v>1833</v>
      </c>
    </row>
    <row r="1608" spans="1:3">
      <c r="A1608" s="291" t="s">
        <v>835</v>
      </c>
      <c r="B1608" s="293" t="s">
        <v>665</v>
      </c>
      <c r="C1608" s="291" t="s">
        <v>1834</v>
      </c>
    </row>
    <row r="1609" spans="1:3">
      <c r="A1609" s="291" t="s">
        <v>1704</v>
      </c>
      <c r="B1609" s="293" t="s">
        <v>1628</v>
      </c>
      <c r="C1609" s="291" t="s">
        <v>1924</v>
      </c>
    </row>
    <row r="1610" spans="1:3">
      <c r="A1610" s="291" t="s">
        <v>1705</v>
      </c>
      <c r="B1610" s="293" t="s">
        <v>1629</v>
      </c>
      <c r="C1610" s="291" t="s">
        <v>1835</v>
      </c>
    </row>
    <row r="1611" spans="1:3">
      <c r="A1611" s="291" t="s">
        <v>1706</v>
      </c>
      <c r="B1611" s="293" t="s">
        <v>1630</v>
      </c>
      <c r="C1611" s="291" t="s">
        <v>1836</v>
      </c>
    </row>
    <row r="1612" spans="1:3">
      <c r="A1612" s="291" t="s">
        <v>1707</v>
      </c>
      <c r="B1612" s="293" t="s">
        <v>1631</v>
      </c>
      <c r="C1612" s="291" t="s">
        <v>1837</v>
      </c>
    </row>
    <row r="1613" spans="1:3" ht="25.5">
      <c r="A1613" s="291" t="s">
        <v>1708</v>
      </c>
      <c r="B1613" s="293" t="s">
        <v>1632</v>
      </c>
      <c r="C1613" s="291" t="s">
        <v>1838</v>
      </c>
    </row>
    <row r="1614" spans="1:3">
      <c r="A1614" s="291" t="s">
        <v>1709</v>
      </c>
      <c r="B1614" s="293" t="s">
        <v>1016</v>
      </c>
      <c r="C1614" s="291" t="s">
        <v>1839</v>
      </c>
    </row>
    <row r="1615" spans="1:3">
      <c r="A1615" s="291" t="s">
        <v>1710</v>
      </c>
      <c r="B1615" s="293" t="s">
        <v>1633</v>
      </c>
      <c r="C1615" s="291" t="s">
        <v>1840</v>
      </c>
    </row>
    <row r="1616" spans="1:3">
      <c r="A1616" s="291" t="s">
        <v>1711</v>
      </c>
      <c r="B1616" s="293" t="s">
        <v>1634</v>
      </c>
      <c r="C1616" s="291" t="s">
        <v>1841</v>
      </c>
    </row>
    <row r="1617" spans="1:3">
      <c r="A1617" s="291" t="s">
        <v>1712</v>
      </c>
      <c r="B1617" s="293" t="s">
        <v>1635</v>
      </c>
      <c r="C1617" s="291" t="s">
        <v>1842</v>
      </c>
    </row>
    <row r="1618" spans="1:3">
      <c r="A1618" s="291" t="s">
        <v>1752</v>
      </c>
      <c r="B1618" s="293" t="s">
        <v>1641</v>
      </c>
      <c r="C1618" s="291" t="s">
        <v>1925</v>
      </c>
    </row>
    <row r="1619" spans="1:3">
      <c r="A1619" s="291" t="s">
        <v>1713</v>
      </c>
      <c r="B1619" s="293" t="s">
        <v>1639</v>
      </c>
      <c r="C1619" s="291" t="s">
        <v>1843</v>
      </c>
    </row>
    <row r="1620" spans="1:3">
      <c r="A1620" s="291" t="s">
        <v>1714</v>
      </c>
      <c r="B1620" s="293" t="s">
        <v>2405</v>
      </c>
      <c r="C1620" s="291" t="s">
        <v>1844</v>
      </c>
    </row>
    <row r="1621" spans="1:3">
      <c r="A1621" s="291" t="s">
        <v>1715</v>
      </c>
      <c r="B1621" s="293" t="s">
        <v>1063</v>
      </c>
      <c r="C1621" s="291" t="s">
        <v>1845</v>
      </c>
    </row>
    <row r="1622" spans="1:3" ht="25.5">
      <c r="A1622" s="291" t="s">
        <v>1716</v>
      </c>
      <c r="B1622" s="293" t="s">
        <v>1640</v>
      </c>
      <c r="C1622" s="291" t="s">
        <v>1846</v>
      </c>
    </row>
    <row r="1623" spans="1:3">
      <c r="A1623" s="291" t="s">
        <v>1717</v>
      </c>
      <c r="B1623" s="293" t="s">
        <v>1981</v>
      </c>
      <c r="C1623" s="291" t="s">
        <v>1847</v>
      </c>
    </row>
    <row r="1624" spans="1:3" ht="25.5">
      <c r="A1624" s="291" t="s">
        <v>1718</v>
      </c>
      <c r="B1624" s="293" t="s">
        <v>1638</v>
      </c>
      <c r="C1624" s="291" t="s">
        <v>1848</v>
      </c>
    </row>
    <row r="1625" spans="1:3">
      <c r="A1625" s="291" t="s">
        <v>1719</v>
      </c>
      <c r="B1625" s="293" t="s">
        <v>670</v>
      </c>
      <c r="C1625" s="291" t="s">
        <v>1849</v>
      </c>
    </row>
    <row r="1626" spans="1:3" ht="25.5">
      <c r="A1626" s="291" t="s">
        <v>1720</v>
      </c>
      <c r="B1626" s="293" t="s">
        <v>1637</v>
      </c>
      <c r="C1626" s="291" t="s">
        <v>1850</v>
      </c>
    </row>
    <row r="1627" spans="1:3">
      <c r="A1627" s="291" t="s">
        <v>1721</v>
      </c>
      <c r="B1627" s="293" t="s">
        <v>1636</v>
      </c>
      <c r="C1627" s="291" t="s">
        <v>1851</v>
      </c>
    </row>
    <row r="1628" spans="1:3">
      <c r="A1628" s="291" t="s">
        <v>1722</v>
      </c>
      <c r="B1628" s="293" t="s">
        <v>1407</v>
      </c>
      <c r="C1628" s="291" t="s">
        <v>1852</v>
      </c>
    </row>
    <row r="1629" spans="1:3">
      <c r="A1629" s="291" t="s">
        <v>1723</v>
      </c>
      <c r="B1629" s="293" t="s">
        <v>1643</v>
      </c>
      <c r="C1629" s="291" t="s">
        <v>1853</v>
      </c>
    </row>
    <row r="1630" spans="1:3">
      <c r="A1630" s="291" t="s">
        <v>1724</v>
      </c>
      <c r="B1630" s="293" t="s">
        <v>1644</v>
      </c>
      <c r="C1630" s="291" t="s">
        <v>1854</v>
      </c>
    </row>
    <row r="1631" spans="1:3">
      <c r="A1631" s="291" t="s">
        <v>1725</v>
      </c>
      <c r="B1631" s="293" t="s">
        <v>1645</v>
      </c>
      <c r="C1631" s="291" t="s">
        <v>1855</v>
      </c>
    </row>
    <row r="1632" spans="1:3">
      <c r="A1632" s="291" t="s">
        <v>1726</v>
      </c>
      <c r="B1632" s="293" t="s">
        <v>1642</v>
      </c>
      <c r="C1632" s="291" t="s">
        <v>1856</v>
      </c>
    </row>
    <row r="1633" spans="1:6" ht="51">
      <c r="A1633" s="291" t="s">
        <v>1727</v>
      </c>
      <c r="B1633" s="293" t="s">
        <v>2406</v>
      </c>
      <c r="C1633" s="291" t="s">
        <v>1857</v>
      </c>
    </row>
    <row r="1634" spans="1:6" ht="178.5">
      <c r="A1634" s="514" t="str">
        <f>"Zgodnie z art. 30 ust. 1 UoR składniki aktywów i pasywów wyrażone w walutach obcych"&amp;" zostały wycenione na dzień bilansowy po obowiązujących na ten dzień średnich kursach ustalonych dla określonych walut przez Narodowy Bank Polski."&amp;IF(GA!C22&lt;&gt;"jedna"," Walutami, które"," Walutą, którą")&amp;" należało objąć w spółce wyceną na dzień "&amp;dzb&amp;"r. "&amp;IF(GA!C22&lt;&gt;"jedna","były: ",IF(GA!D22="EUR","było ","był "))&amp;VLOOKUP(GA!D22,GA!$L$51:$P$54,4,0)&amp;IF(GA!C22="dwie",", "&amp;VLOOKUP(GA!E22,GA!$L$51:$P$54,4,0),IF(GA!C22="trzy",", "&amp;VLOOKUP(GA!E22,GA!$L$51:$P$54,4,0),"")&amp;IF(GA!C22="trzy",", "&amp;VLOOKUP(GA!F22,GA!$L$51:$P$54,4,0),""))&amp;". Podstawą wyceny była tabela A kursów średnich nr "&amp;GA!M55&amp;" z dnia "&amp;TEXT(GA!M56,"dd.mm.rrrr")&amp;" r., według której kurs średni "&amp;GA!D22&amp;" wynosił "&amp;VLOOKUP(GA!D22,GA!$L$51:$P$54,2,0)&amp;" PLN"&amp;IF(GA!C22="dwie",", "&amp;GA!E22&amp;" wynosił "&amp;VLOOKUP(GA!E22,GA!$L$51:$P$54,2,0)&amp;" PLN",IF(GA!C22="trzy",", "&amp;GA!E22&amp;" wynosił "&amp;VLOOKUP(GA!E22,GA!$L$51:$P$54,2,0)&amp;" PLN",""))&amp;IF(GA!C22="trzy",", "&amp;GA!F22&amp;" wynosił "&amp;VLOOKUP(GA!F22,GA!$L$51:$P$54,2,0)&amp;" PLN","")&amp;"."</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B1634" s="650" t="str">
        <f>"Gemäß Art. 30 Abs. 1 RLG-PL wurden die in Fremdwährung ausgedrückten Aktiva und Passiva zum Bilanzstichtag nach den für die betreffenden Währungen"&amp;"  festgelegten Mittelkursen der Polnischen Nationalbank vom Bilanzstichtag bewertet."&amp;IF(GA!C22&lt;&gt;"jedna"," Zu den Währungen,"," Währung,")&amp;" die in der Gesellschaft zum "&amp;dzb&amp;" zu bewerten "&amp;IF(GA!C22&lt;&gt;"jedna","waren, gehörten ",IF(GA!D22="EUR","war: ","war: "))&amp;VLOOKUP(GA!D22,GA!$L$51:$P$54,5,0)&amp;IF(GA!C22="dwie",", "&amp;VLOOKUP(GA!E22,GA!$L$51:$P$54,5,0),IF(GA!C22="trzy",", "&amp;VLOOKUP(GA!E22,GA!$L$51:$P$54,5,0),"")&amp;IF(GA!C22="trzy",", "&amp;VLOOKUP(GA!F22,GA!$L$51:$P$54,5,0),""))&amp;". Die Grundlage der Bewertung war die Tabelle A der Mittelkurse Nr. "&amp;GA!M55&amp;" vom "&amp;TEXT(GA!M56,"dd.mm.rrrr")&amp;", laut der "&amp;IF(GA!C22&lt;&gt;"jedna","der ","sich der ")&amp;GA!D22&amp;"-Mittelkurs "&amp;IF(GA!C22&lt;&gt;"jedna","","auf ")&amp;VLOOKUP(GA!D22,GA!$L$51:$P$54,2,0)&amp;" PLN"&amp;IF(GA!C22="dwie"," und der "&amp;GA!E22&amp;"-Mittelkurs "&amp;VLOOKUP(GA!E22,GA!$L$51:$P$54,2,0)&amp;" PLN",IF(GA!C22="trzy",", der "&amp;GA!E22&amp;"-Mittelkurs "&amp;VLOOKUP(GA!E22,GA!$L$51:$P$54,2,0)&amp;" PLN",""))&amp;IF(GA!C22="trzy"," und der "&amp;GA!F22&amp;"-Mittelkurs "&amp;VLOOKUP(GA!F22,GA!$L$51:$P$54,2,0)&amp;" PLN","")&amp;IF(GA!C22&lt;&gt;"jedna"," betrug."," belief.")</f>
        <v>Gemäß Art. 30 Abs. 1 RLG-PL wurden die in Fremdwährung ausgedrückten Aktiva und Passiva zum Bilanzstichtag nach den für die betreffenden Währungen  festgelegten Mittelkursen der Polnischen Nationalbank vom Bilanzstichtag bewertet. Zu den Währungen, die in der Gesellschaft zum 31.12.2024 zu bewerten waren, gehörten Euro (EUR), amerikanischer Dollar (USD). Die Grundlage der Bewertung war die Tabelle A der Mittelkurse Nr. 252/A/NBP/2024 vom 31.12.2024, laut der der EUR-Mittelkurs 4,273 PLN und der USD-Mittelkurs 4,1012 PLN betrug.</v>
      </c>
      <c r="C1634" s="514" t="str">
        <f>"Pursuant to Article 30(1) of the Accounting Act, the assets and equity and liabilities denominated in a foreign currency were "&amp;"valued as of the balance sheet date at the average exchange rates of a given currency by published the National Bank of Poland, valid on the valuation day."&amp;IF(GA!C22&lt;&gt;"jedna"," The currencies"," The currency")&amp;" subject to the valuation as of "&amp;dzb&amp;IF(GA!C22&lt;&gt;"jedna"," were: ",IF(GA!D22="EUR"," was "," was "))&amp;VLOOKUP(GA!D22,GA!$L$51:$P$54,4,0)&amp;IF(GA!C22="dwie",", "&amp;VLOOKUP(GA!E22,GA!$L$51:$Q$54,6,0),IF(GA!C22="trzy",", "&amp;VLOOKUP(GA!E22,GA!$L$51:$Q$54,6,0),"")&amp;IF(GA!C22="trzy",", "&amp;VLOOKUP(GA!F22,GA!$L$51:$P$54,5,0),""))&amp;". The valuation was based on the average exchange rates table A no. "&amp;GA!M55&amp;" of "&amp;TEXT(GA!M56,"dd.mm.rrrr")&amp;", according to which the average exchange rate of "&amp;GA!D22&amp;" was PLN "&amp;VLOOKUP(GA!D22,GA!$L$51:$P$54,2,0)&amp;IF(GA!C22="dwie",", and the average exchange rate of "&amp;GA!E22&amp;" was PLN "&amp;VLOOKUP(GA!E22,GA!$L$51:$P$54,2,0),IF(GA!C22="trzy",", the average exchange rate of "&amp;GA!E22&amp;" was PLN "&amp;VLOOKUP(GA!E22,GA!$L$51:$P$54,2,0),""))&amp;IF(GA!C22="trzy"," and the average exchange rate of "&amp;GA!F22&amp;" was PLN "&amp;VLOOKUP(GA!F22,GA!$L$51:$P$54,2,0),"")&amp;"."</f>
        <v>Pursuant to Article 30(1) of the Accounting Act, the assets and equity and liabilities denominated in a foreign currency were valued as of the balance sheet date at the average exchange rates of a given currency by published the National Bank of Poland, valid on the valuation day. The currencies subject to the valuation as of 31.12.2024 were: euro (EUR), US dollar (USD). The valuation was based on the average exchange rates table A no. 252/A/NBP/2024 of 31.12.2024, according to which the average exchange rate of EUR was PLN 4,273, and the average exchange rate of USD was PLN 4,1012.</v>
      </c>
      <c r="F1634" s="683"/>
    </row>
    <row r="1635" spans="1:6" ht="127.5">
      <c r="A1635" s="514" t="str">
        <f>"Na dzień bilansowy "&amp;pdz&amp;" składniki aktywów i pasywów wyrażone w "&amp;IF(GA!C22&lt;&gt;"jedna","walutach obcych","walucie obecej")&amp;" zostały wycenione po obowiązujących na ten dzień średnich kursach ustalonych dla określonych walut przez Narodowy Bank Polski."&amp;" Podstawą wyceny była tabela A kursów średnich nr "&amp;GA!N55&amp;" z dnia "&amp;TEXT(GA!N56,"dd.mm.rrrr")&amp;" r., według której kurs średni "&amp;GA!D22&amp;" wynosił "&amp;VLOOKUP(GA!D22,GA!$L$51:$P$54,3,0)&amp;" PLN"&amp;IF(GA!C22="dwie",", "&amp;GA!E22&amp;" wynosił "&amp;VLOOKUP(GA!E22,GA!$L$51:$P$54,3,0)&amp;" PLN",IF(GA!C22="trzy",", "&amp;GA!E22&amp;" wynosił "&amp;VLOOKUP(GA!E22,GA!$L$51:$P$54,3,0)&amp;" PLN",""))&amp;IF(GA!C22="trzy",", "&amp;GA!F22&amp;" wynosił "&amp;VLOOKUP(GA!F22,GA!$L$51:$P$54,3,0)&amp;" PLN","")&amp;"."</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B1635" s="514" t="str">
        <f>"Die in Fremdwährung ausgedrückten Aktiva und Passiva wurden zum Bilanzstichtag, dem "&amp;pdz&amp;", nach dem für die betreffende Währung festgelegten Mittelkurs der Polnischen Nationalbank bewertet."&amp;" Die Grundlage der Bewertung war die Tabelle A der Mittelkurse Nr. "&amp;GA!N55&amp;" vom "&amp;TEXT(GA!N56,"dd.mm.rrrr")&amp;", laut der "&amp;IF(GA!C22&lt;&gt;"jedna","der ","sich der ")&amp;GA!D22&amp;"-Mittelkurs "&amp;IF(GA!C22&lt;&gt;"jedna","","auf ")&amp;VLOOKUP(GA!D22,GA!$L$51:$P$54,3,0)&amp;" PLN"&amp;IF(GA!C22="dwie"," und der "&amp;GA!E22&amp;"-Mittelkurs "&amp;VLOOKUP(GA!E22,GA!$L$51:$P$54,3,0)&amp;" PLN",IF(GA!C22="trzy",", der "&amp;GA!E22&amp;"-Mittelkurs "&amp;VLOOKUP(GA!E22,GA!$L$51:$P$54,3,0)&amp;" PLN",""))&amp;IF(GA!C22="trzy"," und der "&amp;GA!F22&amp;"-Mittelkurs "&amp;VLOOKUP(GA!F22,GA!$L$51:$P$54,3,0)&amp;" PLN","")&amp;IF(GA!C22&lt;&gt;"jedna"," betrug."," belief.")</f>
        <v>Die in Fremdwährung ausgedrückten Aktiva und Passiva wurden zum Bilanzstichtag, dem 31.12.2023, nach dem für die betreffende Währung festgelegten Mittelkurs der Polnischen Nationalbank bewertet. Die Grundlage der Bewertung war die Tabelle A der Mittelkurse Nr. 251/A/NBP/2023 vom 29.12.2023, laut der der EUR-Mittelkurs 4,348 PLN und der USD-Mittelkurs 3,935 PLN betrug.</v>
      </c>
      <c r="C1635" s="514" t="str">
        <f>"As of the balance sheet date of "&amp;pdz&amp;", assets and equity and liabilities denominated in foreign currency were valued at the average exchange rate determined by the National Bank of Poland for a given currency as of that date. "&amp;"The valuation was based on the average exchange rates table A no. "&amp;GA!N55&amp;" of "&amp;TEXT(GA!N56,"dd.mm.rrrr")&amp;", according to which the average exchange rate of "&amp;GA!D22&amp;" was PLN "&amp;VLOOKUP(GA!D22,GA!$L$51:$P$54,3,0)&amp;IF(GA!C22="dwie",", and the average exchange rate of "&amp;GA!E22&amp;" was PLN "&amp;VLOOKUP(GA!E22,GA!$L$51:$P$54,3,0),IF(GA!C22="trzy",", the average exchange rate of "&amp;GA!E22&amp;" was PLN "&amp;VLOOKUP(GA!E22,GA!$L$51:$P$54,3,0),""))&amp;IF(GA!C22="trzy"," and the average exchange rate of "&amp;GA!F22&amp;" was PLN "&amp;VLOOKUP(GA!F22,GA!$L$51:$P$54,3,0),"")&amp;"."</f>
        <v>As of the balance sheet date of 31.12.2023, assets and equity and liabilities denominated in foreign currency were valued at the average exchange rate determined by the National Bank of Poland for a given currency as of that date. The valuation was based on the average exchange rates table A no. 251/A/NBP/2023 of 29.12.2023, according to which the average exchange rate of EUR was PLN 4,348, and the average exchange rate of USD was PLN 3,935.</v>
      </c>
      <c r="F1635" s="683"/>
    </row>
    <row r="1636" spans="1:6">
      <c r="A1636" s="291" t="s">
        <v>112</v>
      </c>
      <c r="B1636" s="293" t="s">
        <v>388</v>
      </c>
      <c r="C1636" s="291" t="s">
        <v>1858</v>
      </c>
    </row>
    <row r="1637" spans="1:6">
      <c r="A1637" s="291" t="s">
        <v>1728</v>
      </c>
      <c r="B1637" s="293" t="s">
        <v>1646</v>
      </c>
      <c r="C1637" s="291" t="s">
        <v>1859</v>
      </c>
    </row>
    <row r="1638" spans="1:6">
      <c r="A1638" s="291" t="s">
        <v>1753</v>
      </c>
      <c r="B1638" s="293" t="s">
        <v>1647</v>
      </c>
      <c r="C1638" s="291" t="s">
        <v>1860</v>
      </c>
    </row>
    <row r="1639" spans="1:6">
      <c r="A1639" s="291" t="s">
        <v>1754</v>
      </c>
      <c r="B1639" s="293" t="s">
        <v>1648</v>
      </c>
      <c r="C1639" s="291" t="s">
        <v>1861</v>
      </c>
    </row>
    <row r="1640" spans="1:6">
      <c r="A1640" s="291" t="s">
        <v>1755</v>
      </c>
      <c r="B1640" s="293" t="s">
        <v>1649</v>
      </c>
      <c r="C1640" s="291" t="s">
        <v>1862</v>
      </c>
    </row>
    <row r="1641" spans="1:6">
      <c r="A1641" s="291" t="s">
        <v>1756</v>
      </c>
      <c r="B1641" s="293" t="s">
        <v>1650</v>
      </c>
      <c r="C1641" s="291" t="s">
        <v>1863</v>
      </c>
    </row>
    <row r="1642" spans="1:6">
      <c r="A1642" s="291" t="s">
        <v>1757</v>
      </c>
      <c r="B1642" s="293" t="s">
        <v>1651</v>
      </c>
      <c r="C1642" s="291" t="s">
        <v>1864</v>
      </c>
    </row>
    <row r="1643" spans="1:6">
      <c r="A1643" s="291" t="s">
        <v>1758</v>
      </c>
      <c r="B1643" s="293" t="s">
        <v>1652</v>
      </c>
      <c r="C1643" s="291" t="s">
        <v>1865</v>
      </c>
    </row>
    <row r="1644" spans="1:6">
      <c r="A1644" s="291" t="s">
        <v>1729</v>
      </c>
      <c r="B1644" s="489" t="s">
        <v>1653</v>
      </c>
      <c r="C1644" s="291" t="s">
        <v>1866</v>
      </c>
    </row>
    <row r="1645" spans="1:6">
      <c r="A1645" s="291" t="s">
        <v>1759</v>
      </c>
      <c r="B1645" s="489" t="s">
        <v>1654</v>
      </c>
      <c r="C1645" s="291" t="s">
        <v>1867</v>
      </c>
    </row>
    <row r="1646" spans="1:6" ht="76.5">
      <c r="A1646" s="291" t="str">
        <f>"Informacje o nazwie i siedzibie jednostki  sporządzającej skonsolidowane sprawozdanie finansowe na "&amp;'nota 7'!Q81&amp;" szczeblu grupy kapitałowej, w skład której wchodzi spółka jako jednostka zależna, oraz miejscu, w którym sprawozdanie to jest dostępne"</f>
        <v>Informacje o nazwie i siedzibie jednostki  sporządzającej skonsolidowane sprawozdanie finansowe na najwyższym szczeblu grupy kapitałowej, w skład której wchodzi spółka jako jednostka zależna, oraz miejscu, w którym sprawozdanie to jest dostępne</v>
      </c>
      <c r="B1646" s="293" t="str">
        <f>"Informationen über den Namen und Sitz der Gesellschaft, die den Konzernabschluss auf der "&amp;IF('nota 7'!R81=2,"höchsten","niedrigsten")&amp;" Ebene des Konzerns, zu dem die Gesellschaft als Tochterunternehmen gehört, erstellt sowie den Ort, an dem dieser Konzernabschluss vorliegt"</f>
        <v>Informationen über den Namen und Sitz der Gesellschaft, die den Konzernabschluss auf der höchsten Ebene des Konzerns, zu dem die Gesellschaft als Tochterunternehmen gehört, erstellt sowie den Ort, an dem dieser Konzernabschluss vorliegt</v>
      </c>
      <c r="C1646" s="291" t="str">
        <f>"Information on the name and the registered office of the entity preparing the consolidated financial statements at the "&amp;IF('nota 7'!R81=2,"top","lowest")&amp;" level of the group which comprises the Company as the related party, as well as on where the financial statements are available"</f>
        <v>Information on the name and the registered office of the entity preparing the consolidated financial statements at the top level of the group which comprises the Company as the related party, as well as on where the financial statements are available</v>
      </c>
    </row>
    <row r="1647" spans="1:6" ht="63.75">
      <c r="A1647" s="291" t="s">
        <v>6938</v>
      </c>
      <c r="B1647" s="293" t="s">
        <v>6939</v>
      </c>
      <c r="C1647" s="291" t="str">
        <f>"The consolidated financial statements at the "&amp;IF('nota 7'!R81=2,"top","lowest")&amp;" level of the group are prepared by xxx with its registered office in xxx."</f>
        <v>The consolidated financial statements at the top level of the group are prepared by xxx with its registered office in xxx.</v>
      </c>
    </row>
    <row r="1648" spans="1:6" ht="63.75">
      <c r="A1648" s="291" t="s">
        <v>2443</v>
      </c>
      <c r="B1648" s="291" t="s">
        <v>2407</v>
      </c>
      <c r="C1648" s="291" t="s">
        <v>4609</v>
      </c>
    </row>
    <row r="1649" spans="1:3" ht="25.5">
      <c r="A1649" s="293" t="s">
        <v>1760</v>
      </c>
      <c r="B1649" s="293" t="s">
        <v>2336</v>
      </c>
      <c r="C1649" s="293" t="s">
        <v>1868</v>
      </c>
    </row>
    <row r="1650" spans="1:3">
      <c r="A1650" s="291" t="s">
        <v>967</v>
      </c>
      <c r="B1650" s="293" t="s">
        <v>692</v>
      </c>
      <c r="C1650" s="291" t="s">
        <v>1869</v>
      </c>
    </row>
    <row r="1651" spans="1:3">
      <c r="A1651" s="291" t="s">
        <v>1730</v>
      </c>
      <c r="B1651" s="293" t="s">
        <v>1655</v>
      </c>
      <c r="C1651" s="291" t="s">
        <v>1870</v>
      </c>
    </row>
    <row r="1652" spans="1:3">
      <c r="A1652" s="291" t="s">
        <v>1731</v>
      </c>
      <c r="B1652" s="293" t="s">
        <v>2408</v>
      </c>
      <c r="C1652" s="291" t="s">
        <v>1871</v>
      </c>
    </row>
    <row r="1653" spans="1:3" ht="25.5">
      <c r="A1653" s="291" t="s">
        <v>1732</v>
      </c>
      <c r="B1653" s="293" t="s">
        <v>2337</v>
      </c>
      <c r="C1653" s="291" t="s">
        <v>1872</v>
      </c>
    </row>
    <row r="1654" spans="1:3">
      <c r="A1654" s="291" t="s">
        <v>1761</v>
      </c>
      <c r="B1654" s="293" t="s">
        <v>1622</v>
      </c>
      <c r="C1654" s="291" t="s">
        <v>1873</v>
      </c>
    </row>
    <row r="1655" spans="1:3">
      <c r="A1655" s="291" t="s">
        <v>1762</v>
      </c>
      <c r="B1655" s="293" t="s">
        <v>1623</v>
      </c>
      <c r="C1655" s="291" t="s">
        <v>1874</v>
      </c>
    </row>
    <row r="1656" spans="1:3" ht="38.25">
      <c r="A1656" s="291" t="s">
        <v>1766</v>
      </c>
      <c r="B1656" s="293" t="s">
        <v>2338</v>
      </c>
      <c r="C1656" s="291" t="s">
        <v>1875</v>
      </c>
    </row>
    <row r="1657" spans="1:3" ht="51">
      <c r="A1657" s="291" t="s">
        <v>1733</v>
      </c>
      <c r="B1657" s="293" t="s">
        <v>2339</v>
      </c>
      <c r="C1657" s="291" t="s">
        <v>1876</v>
      </c>
    </row>
    <row r="1658" spans="1:3" ht="76.5">
      <c r="A1658" s="291" t="s">
        <v>1734</v>
      </c>
      <c r="B1658" s="293" t="s">
        <v>1656</v>
      </c>
      <c r="C1658" s="291" t="s">
        <v>1926</v>
      </c>
    </row>
    <row r="1659" spans="1:3" ht="38.25">
      <c r="A1659" s="291" t="s">
        <v>1735</v>
      </c>
      <c r="B1659" s="293" t="s">
        <v>2434</v>
      </c>
      <c r="C1659" s="291" t="s">
        <v>1877</v>
      </c>
    </row>
    <row r="1660" spans="1:3" ht="38.25">
      <c r="A1660" s="291" t="s">
        <v>1736</v>
      </c>
      <c r="B1660" s="293" t="s">
        <v>2435</v>
      </c>
      <c r="C1660" s="291" t="s">
        <v>1877</v>
      </c>
    </row>
    <row r="1661" spans="1:3" ht="38.25">
      <c r="A1661" s="291" t="s">
        <v>1736</v>
      </c>
      <c r="B1661" s="293" t="s">
        <v>2436</v>
      </c>
      <c r="C1661" s="291" t="s">
        <v>1877</v>
      </c>
    </row>
    <row r="1662" spans="1:3">
      <c r="A1662" s="291" t="s">
        <v>1737</v>
      </c>
      <c r="B1662" s="293" t="s">
        <v>1657</v>
      </c>
      <c r="C1662" s="291" t="s">
        <v>1878</v>
      </c>
    </row>
    <row r="1663" spans="1:3">
      <c r="A1663" s="291" t="s">
        <v>1738</v>
      </c>
      <c r="B1663" s="293" t="s">
        <v>1658</v>
      </c>
      <c r="C1663" s="291" t="s">
        <v>1879</v>
      </c>
    </row>
    <row r="1664" spans="1:3">
      <c r="A1664" s="291" t="s">
        <v>1739</v>
      </c>
      <c r="B1664" s="293" t="s">
        <v>1659</v>
      </c>
      <c r="C1664" s="291" t="s">
        <v>1880</v>
      </c>
    </row>
    <row r="1665" spans="1:3" ht="38.25">
      <c r="A1665" s="291" t="s">
        <v>1740</v>
      </c>
      <c r="B1665" s="293" t="s">
        <v>1662</v>
      </c>
      <c r="C1665" s="291" t="s">
        <v>1881</v>
      </c>
    </row>
    <row r="1666" spans="1:3" ht="38.25">
      <c r="A1666" s="291" t="s">
        <v>1741</v>
      </c>
      <c r="B1666" s="293" t="s">
        <v>2409</v>
      </c>
      <c r="C1666" s="291" t="s">
        <v>1882</v>
      </c>
    </row>
    <row r="1667" spans="1:3" ht="25.5">
      <c r="A1667" s="291" t="str">
        <f>"Na dzień " &amp; dzb &amp; " w Spółce zatrudnione były/była …………… osoby/ osoba"</f>
        <v>Na dzień 31.12.2024 w Spółce zatrudnione były/była …………… osoby/ osoba</v>
      </c>
      <c r="B1667" s="489" t="str">
        <f>"Zum " &amp; dzb &amp; " beschäftigte die Gesellschaft …………… Personen/Person."</f>
        <v>Zum 31.12.2024 beschäftigte die Gesellschaft …………… Personen/Person.</v>
      </c>
      <c r="C1667" s="291" t="s">
        <v>2015</v>
      </c>
    </row>
    <row r="1668" spans="1:3" ht="89.25">
      <c r="A1668" s="291" t="s">
        <v>1742</v>
      </c>
      <c r="B1668" s="293" t="s">
        <v>1663</v>
      </c>
      <c r="C1668" s="291" t="s">
        <v>1883</v>
      </c>
    </row>
    <row r="1669" spans="1:3" ht="76.5">
      <c r="A1669" s="291" t="s">
        <v>1743</v>
      </c>
      <c r="B1669" s="293" t="s">
        <v>1664</v>
      </c>
      <c r="C1669" s="291" t="s">
        <v>5752</v>
      </c>
    </row>
    <row r="1670" spans="1:3">
      <c r="A1670" s="291" t="s">
        <v>1763</v>
      </c>
      <c r="B1670" s="489" t="s">
        <v>1660</v>
      </c>
      <c r="C1670" s="291" t="s">
        <v>1884</v>
      </c>
    </row>
    <row r="1671" spans="1:3">
      <c r="A1671" s="291" t="s">
        <v>1764</v>
      </c>
      <c r="B1671" s="489" t="s">
        <v>1661</v>
      </c>
      <c r="C1671" s="291" t="s">
        <v>1885</v>
      </c>
    </row>
    <row r="1672" spans="1:3">
      <c r="A1672" s="291" t="s">
        <v>852</v>
      </c>
      <c r="B1672" s="489" t="s">
        <v>1670</v>
      </c>
      <c r="C1672" s="291" t="s">
        <v>1886</v>
      </c>
    </row>
    <row r="1675" spans="1:3" ht="38.25">
      <c r="A1675" s="291" t="s">
        <v>1765</v>
      </c>
      <c r="B1675" s="293" t="s">
        <v>1799</v>
      </c>
      <c r="C1675" s="291" t="s">
        <v>1893</v>
      </c>
    </row>
    <row r="1676" spans="1:3" ht="38.25">
      <c r="A1676" s="291" t="s">
        <v>2014</v>
      </c>
      <c r="B1676" s="293" t="s">
        <v>1788</v>
      </c>
      <c r="C1676" s="291" t="s">
        <v>1894</v>
      </c>
    </row>
    <row r="1677" spans="1:3" ht="25.5">
      <c r="A1677" s="291" t="s">
        <v>1767</v>
      </c>
      <c r="B1677" s="293" t="s">
        <v>1780</v>
      </c>
      <c r="C1677" s="291" t="s">
        <v>1927</v>
      </c>
    </row>
    <row r="1678" spans="1:3">
      <c r="A1678" s="291" t="s">
        <v>1768</v>
      </c>
      <c r="B1678" s="293" t="s">
        <v>1781</v>
      </c>
      <c r="C1678" s="291" t="s">
        <v>1928</v>
      </c>
    </row>
    <row r="1679" spans="1:3">
      <c r="A1679" s="291" t="s">
        <v>1769</v>
      </c>
      <c r="B1679" s="293" t="s">
        <v>1782</v>
      </c>
      <c r="C1679" s="291" t="s">
        <v>1929</v>
      </c>
    </row>
    <row r="1680" spans="1:3" ht="25.5">
      <c r="A1680" s="291" t="s">
        <v>1773</v>
      </c>
      <c r="B1680" s="293" t="s">
        <v>1783</v>
      </c>
      <c r="C1680" s="291" t="s">
        <v>1895</v>
      </c>
    </row>
    <row r="1681" spans="1:3" ht="63.75">
      <c r="A1681" s="291" t="s">
        <v>1775</v>
      </c>
      <c r="B1681" s="293" t="s">
        <v>1800</v>
      </c>
      <c r="C1681" s="291" t="s">
        <v>1930</v>
      </c>
    </row>
    <row r="1682" spans="1:3" ht="76.5">
      <c r="A1682" s="291" t="s">
        <v>1776</v>
      </c>
      <c r="B1682" s="293" t="s">
        <v>2410</v>
      </c>
      <c r="C1682" s="291" t="s">
        <v>1931</v>
      </c>
    </row>
    <row r="1683" spans="1:3" ht="38.25">
      <c r="A1683" s="291" t="s">
        <v>1770</v>
      </c>
      <c r="B1683" s="293" t="s">
        <v>1784</v>
      </c>
      <c r="C1683" s="291" t="s">
        <v>1896</v>
      </c>
    </row>
    <row r="1684" spans="1:3" ht="25.5">
      <c r="A1684" s="291" t="s">
        <v>1771</v>
      </c>
      <c r="B1684" s="293" t="s">
        <v>1801</v>
      </c>
      <c r="C1684" s="291" t="s">
        <v>1897</v>
      </c>
    </row>
    <row r="1685" spans="1:3" ht="76.5">
      <c r="A1685" s="291" t="s">
        <v>1772</v>
      </c>
      <c r="B1685" s="293" t="s">
        <v>1802</v>
      </c>
      <c r="C1685" s="291" t="s">
        <v>1898</v>
      </c>
    </row>
    <row r="1686" spans="1:3" ht="76.5">
      <c r="A1686" s="291" t="s">
        <v>626</v>
      </c>
      <c r="B1686" s="293" t="s">
        <v>2411</v>
      </c>
      <c r="C1686" s="291" t="s">
        <v>1899</v>
      </c>
    </row>
    <row r="1688" spans="1:3">
      <c r="A1688" s="641" t="s">
        <v>2978</v>
      </c>
      <c r="B1688" s="642"/>
      <c r="C1688" s="643"/>
    </row>
    <row r="1689" spans="1:3" ht="25.5">
      <c r="A1689" s="568" t="s">
        <v>2461</v>
      </c>
      <c r="B1689" s="568" t="s">
        <v>2861</v>
      </c>
      <c r="C1689" s="521" t="s">
        <v>2904</v>
      </c>
    </row>
    <row r="1690" spans="1:3" ht="63.75">
      <c r="A1690" s="568" t="s">
        <v>2462</v>
      </c>
      <c r="B1690" s="568" t="s">
        <v>2862</v>
      </c>
      <c r="C1690" s="521" t="s">
        <v>2905</v>
      </c>
    </row>
    <row r="1691" spans="1:3" ht="38.25">
      <c r="A1691" s="568" t="s">
        <v>2640</v>
      </c>
      <c r="B1691" s="568" t="s">
        <v>2874</v>
      </c>
      <c r="C1691" s="521" t="s">
        <v>2906</v>
      </c>
    </row>
    <row r="1692" spans="1:3">
      <c r="A1692" s="568" t="s">
        <v>2641</v>
      </c>
      <c r="B1692" s="568" t="s">
        <v>2875</v>
      </c>
      <c r="C1692" s="521" t="s">
        <v>2907</v>
      </c>
    </row>
    <row r="1693" spans="1:3">
      <c r="A1693" s="568" t="s">
        <v>2642</v>
      </c>
      <c r="B1693" s="568" t="s">
        <v>2876</v>
      </c>
      <c r="C1693" s="521" t="s">
        <v>5795</v>
      </c>
    </row>
    <row r="1694" spans="1:3" ht="25.5">
      <c r="A1694" s="568" t="s">
        <v>2643</v>
      </c>
      <c r="B1694" s="568" t="s">
        <v>2877</v>
      </c>
      <c r="C1694" s="521" t="s">
        <v>2908</v>
      </c>
    </row>
    <row r="1695" spans="1:3" ht="25.5">
      <c r="A1695" s="568" t="s">
        <v>2463</v>
      </c>
      <c r="B1695" s="568" t="s">
        <v>2863</v>
      </c>
      <c r="C1695" s="521" t="s">
        <v>2909</v>
      </c>
    </row>
    <row r="1696" spans="1:3">
      <c r="A1696" s="568" t="s">
        <v>2644</v>
      </c>
      <c r="B1696" s="568" t="s">
        <v>2878</v>
      </c>
      <c r="C1696" s="521" t="s">
        <v>2910</v>
      </c>
    </row>
    <row r="1697" spans="1:3" ht="25.5">
      <c r="A1697" s="568" t="s">
        <v>2645</v>
      </c>
      <c r="B1697" s="568" t="s">
        <v>2879</v>
      </c>
      <c r="C1697" s="521" t="s">
        <v>2911</v>
      </c>
    </row>
    <row r="1698" spans="1:3" ht="25.5">
      <c r="A1698" s="568" t="s">
        <v>2646</v>
      </c>
      <c r="B1698" s="568" t="s">
        <v>2880</v>
      </c>
      <c r="C1698" s="521" t="s">
        <v>2912</v>
      </c>
    </row>
    <row r="1699" spans="1:3" ht="25.5">
      <c r="A1699" s="568" t="s">
        <v>2647</v>
      </c>
      <c r="B1699" s="568" t="s">
        <v>2881</v>
      </c>
      <c r="C1699" s="569" t="s">
        <v>2913</v>
      </c>
    </row>
    <row r="1700" spans="1:3">
      <c r="A1700" t="s">
        <v>6806</v>
      </c>
      <c r="B1700" t="s">
        <v>6807</v>
      </c>
      <c r="C1700" t="s">
        <v>6808</v>
      </c>
    </row>
    <row r="1701" spans="1:3">
      <c r="A1701" t="s">
        <v>6809</v>
      </c>
      <c r="B1701" t="s">
        <v>6810</v>
      </c>
      <c r="C1701" t="s">
        <v>6811</v>
      </c>
    </row>
    <row r="1702" spans="1:3" ht="76.5">
      <c r="A1702" s="568" t="s">
        <v>2648</v>
      </c>
      <c r="B1702" s="568" t="s">
        <v>2882</v>
      </c>
      <c r="C1702" s="521" t="s">
        <v>2914</v>
      </c>
    </row>
    <row r="1703" spans="1:3">
      <c r="A1703" s="568" t="s">
        <v>2649</v>
      </c>
      <c r="B1703" s="568" t="s">
        <v>2883</v>
      </c>
      <c r="C1703" s="521" t="s">
        <v>2915</v>
      </c>
    </row>
    <row r="1704" spans="1:3" ht="25.5">
      <c r="A1704" s="568" t="s">
        <v>2650</v>
      </c>
      <c r="B1704" s="568" t="s">
        <v>2884</v>
      </c>
      <c r="C1704" s="521" t="s">
        <v>2916</v>
      </c>
    </row>
    <row r="1705" spans="1:3" ht="38.25">
      <c r="A1705" s="568" t="s">
        <v>2464</v>
      </c>
      <c r="B1705" s="568" t="s">
        <v>2864</v>
      </c>
      <c r="C1705" s="521" t="s">
        <v>2917</v>
      </c>
    </row>
    <row r="1706" spans="1:3" ht="38.25">
      <c r="A1706" s="568" t="s">
        <v>2651</v>
      </c>
      <c r="B1706" s="568" t="s">
        <v>2885</v>
      </c>
      <c r="C1706" s="521" t="s">
        <v>2918</v>
      </c>
    </row>
    <row r="1707" spans="1:3" ht="25.5">
      <c r="A1707" s="568" t="s">
        <v>2652</v>
      </c>
      <c r="B1707" s="568" t="s">
        <v>2886</v>
      </c>
      <c r="C1707" s="521" t="s">
        <v>2919</v>
      </c>
    </row>
    <row r="1708" spans="1:3">
      <c r="A1708" t="s">
        <v>6812</v>
      </c>
      <c r="B1708" t="s">
        <v>6813</v>
      </c>
      <c r="C1708" t="s">
        <v>6814</v>
      </c>
    </row>
    <row r="1709" spans="1:3">
      <c r="A1709" t="s">
        <v>6815</v>
      </c>
      <c r="B1709" t="s">
        <v>6816</v>
      </c>
      <c r="C1709" t="s">
        <v>6817</v>
      </c>
    </row>
    <row r="1710" spans="1:3" ht="76.5">
      <c r="A1710" s="568" t="s">
        <v>2465</v>
      </c>
      <c r="B1710" s="568" t="s">
        <v>2887</v>
      </c>
      <c r="C1710" s="521" t="s">
        <v>2920</v>
      </c>
    </row>
    <row r="1711" spans="1:3" ht="25.5">
      <c r="A1711" s="568" t="s">
        <v>5920</v>
      </c>
      <c r="B1711" s="568" t="s">
        <v>5937</v>
      </c>
      <c r="C1711" s="521" t="s">
        <v>5919</v>
      </c>
    </row>
    <row r="1712" spans="1:3" ht="25.5">
      <c r="A1712" s="697" t="s">
        <v>6818</v>
      </c>
      <c r="B1712" s="697" t="s">
        <v>6819</v>
      </c>
      <c r="C1712" s="697" t="s">
        <v>6820</v>
      </c>
    </row>
    <row r="1713" spans="1:3" ht="25.5">
      <c r="A1713" s="568" t="s">
        <v>1720</v>
      </c>
      <c r="B1713" s="568" t="s">
        <v>1637</v>
      </c>
      <c r="C1713" s="521" t="s">
        <v>2921</v>
      </c>
    </row>
    <row r="1714" spans="1:3">
      <c r="A1714" s="568" t="s">
        <v>2653</v>
      </c>
      <c r="B1714" s="568" t="s">
        <v>2888</v>
      </c>
      <c r="C1714" s="521" t="s">
        <v>2922</v>
      </c>
    </row>
    <row r="1715" spans="1:3">
      <c r="A1715" s="568" t="s">
        <v>2654</v>
      </c>
      <c r="B1715" s="568" t="s">
        <v>2889</v>
      </c>
      <c r="C1715" s="521" t="s">
        <v>2923</v>
      </c>
    </row>
    <row r="1716" spans="1:3" ht="25.5">
      <c r="A1716" s="568" t="s">
        <v>2655</v>
      </c>
      <c r="B1716" s="568" t="s">
        <v>2890</v>
      </c>
      <c r="C1716" s="521" t="s">
        <v>2924</v>
      </c>
    </row>
    <row r="1717" spans="1:3" ht="25.5">
      <c r="A1717" s="697" t="s">
        <v>6821</v>
      </c>
      <c r="B1717" s="697" t="s">
        <v>6822</v>
      </c>
      <c r="C1717" t="s">
        <v>6823</v>
      </c>
    </row>
    <row r="1718" spans="1:3" ht="25.5">
      <c r="A1718" s="697" t="s">
        <v>6824</v>
      </c>
      <c r="B1718" s="697" t="s">
        <v>6825</v>
      </c>
      <c r="C1718" s="697" t="s">
        <v>6826</v>
      </c>
    </row>
    <row r="1719" spans="1:3" ht="25.5">
      <c r="A1719" s="697" t="s">
        <v>6827</v>
      </c>
      <c r="B1719" s="697" t="s">
        <v>6828</v>
      </c>
      <c r="C1719" s="697" t="s">
        <v>6829</v>
      </c>
    </row>
    <row r="1720" spans="1:3">
      <c r="A1720" s="568" t="s">
        <v>2656</v>
      </c>
      <c r="B1720" s="568" t="s">
        <v>2891</v>
      </c>
      <c r="C1720" s="521" t="s">
        <v>2925</v>
      </c>
    </row>
    <row r="1721" spans="1:3" ht="25.5">
      <c r="A1721" s="568" t="s">
        <v>2657</v>
      </c>
      <c r="B1721" s="568" t="s">
        <v>2892</v>
      </c>
      <c r="C1721" s="521" t="s">
        <v>2926</v>
      </c>
    </row>
    <row r="1722" spans="1:3">
      <c r="A1722" s="568" t="s">
        <v>2658</v>
      </c>
      <c r="B1722" s="568" t="s">
        <v>2893</v>
      </c>
      <c r="C1722" s="521" t="s">
        <v>2927</v>
      </c>
    </row>
    <row r="1723" spans="1:3">
      <c r="A1723" t="s">
        <v>6830</v>
      </c>
      <c r="B1723" t="s">
        <v>6831</v>
      </c>
      <c r="C1723" t="s">
        <v>6832</v>
      </c>
    </row>
    <row r="1724" spans="1:3" ht="38.25">
      <c r="A1724" s="568" t="s">
        <v>2466</v>
      </c>
      <c r="B1724" s="568" t="s">
        <v>2865</v>
      </c>
      <c r="C1724" s="521" t="s">
        <v>2928</v>
      </c>
    </row>
    <row r="1725" spans="1:3" ht="25.5">
      <c r="A1725" t="s">
        <v>6833</v>
      </c>
      <c r="B1725" s="697" t="s">
        <v>6834</v>
      </c>
      <c r="C1725" t="s">
        <v>6835</v>
      </c>
    </row>
    <row r="1726" spans="1:3">
      <c r="A1726" t="s">
        <v>5950</v>
      </c>
      <c r="B1726" t="s">
        <v>6836</v>
      </c>
      <c r="C1726" t="s">
        <v>1242</v>
      </c>
    </row>
    <row r="1727" spans="1:3">
      <c r="A1727" s="568" t="s">
        <v>397</v>
      </c>
      <c r="B1727" s="568" t="s">
        <v>1016</v>
      </c>
      <c r="C1727" s="521" t="s">
        <v>2929</v>
      </c>
    </row>
    <row r="1728" spans="1:3" ht="25.5">
      <c r="A1728" t="s">
        <v>6837</v>
      </c>
      <c r="B1728" s="697" t="s">
        <v>6838</v>
      </c>
      <c r="C1728" s="697" t="s">
        <v>6839</v>
      </c>
    </row>
    <row r="1729" spans="1:3" ht="25.5">
      <c r="A1729" t="s">
        <v>6827</v>
      </c>
      <c r="B1729" s="697" t="s">
        <v>6828</v>
      </c>
      <c r="C1729" s="697" t="s">
        <v>6829</v>
      </c>
    </row>
    <row r="1730" spans="1:3">
      <c r="A1730" s="568" t="s">
        <v>2659</v>
      </c>
      <c r="B1730" s="568" t="s">
        <v>2894</v>
      </c>
      <c r="C1730" s="521" t="s">
        <v>2930</v>
      </c>
    </row>
    <row r="1731" spans="1:3" ht="25.5">
      <c r="A1731" s="568" t="s">
        <v>2660</v>
      </c>
      <c r="B1731" s="568" t="s">
        <v>2895</v>
      </c>
      <c r="C1731" s="521" t="s">
        <v>2931</v>
      </c>
    </row>
    <row r="1732" spans="1:3" ht="25.5">
      <c r="A1732" s="568" t="s">
        <v>2661</v>
      </c>
      <c r="B1732" s="568" t="s">
        <v>2896</v>
      </c>
      <c r="C1732" s="521" t="s">
        <v>2932</v>
      </c>
    </row>
    <row r="1733" spans="1:3">
      <c r="A1733" s="568" t="s">
        <v>2662</v>
      </c>
      <c r="B1733" s="568" t="s">
        <v>2897</v>
      </c>
      <c r="C1733" s="521" t="s">
        <v>2933</v>
      </c>
    </row>
    <row r="1734" spans="1:3">
      <c r="A1734" s="568" t="s">
        <v>2663</v>
      </c>
      <c r="B1734" s="568" t="s">
        <v>2898</v>
      </c>
      <c r="C1734" s="521" t="s">
        <v>2934</v>
      </c>
    </row>
    <row r="1735" spans="1:3">
      <c r="A1735" s="568" t="s">
        <v>2664</v>
      </c>
      <c r="B1735" s="568" t="s">
        <v>2883</v>
      </c>
      <c r="C1735" s="521" t="s">
        <v>2915</v>
      </c>
    </row>
    <row r="1736" spans="1:3" ht="51">
      <c r="A1736" s="568" t="s">
        <v>2467</v>
      </c>
      <c r="B1736" s="568" t="s">
        <v>2866</v>
      </c>
      <c r="C1736" s="521" t="s">
        <v>2935</v>
      </c>
    </row>
    <row r="1737" spans="1:3" ht="25.5">
      <c r="A1737" s="568" t="s">
        <v>2665</v>
      </c>
      <c r="B1737" s="568" t="s">
        <v>2899</v>
      </c>
      <c r="C1737" s="521" t="s">
        <v>2936</v>
      </c>
    </row>
    <row r="1738" spans="1:3">
      <c r="A1738" s="568" t="s">
        <v>2666</v>
      </c>
      <c r="B1738" s="568" t="s">
        <v>2900</v>
      </c>
      <c r="C1738" s="521" t="s">
        <v>2937</v>
      </c>
    </row>
    <row r="1739" spans="1:3" ht="25.5">
      <c r="A1739" s="568" t="s">
        <v>2667</v>
      </c>
      <c r="B1739" s="568" t="s">
        <v>2901</v>
      </c>
      <c r="C1739" s="521" t="s">
        <v>2938</v>
      </c>
    </row>
    <row r="1740" spans="1:3" ht="25.5">
      <c r="A1740" s="568" t="s">
        <v>2668</v>
      </c>
      <c r="B1740" s="568" t="s">
        <v>2902</v>
      </c>
      <c r="C1740" s="521" t="s">
        <v>2939</v>
      </c>
    </row>
    <row r="1741" spans="1:3" ht="25.5">
      <c r="A1741" s="568" t="s">
        <v>2669</v>
      </c>
      <c r="B1741" s="568" t="s">
        <v>2903</v>
      </c>
      <c r="C1741" s="521" t="s">
        <v>2940</v>
      </c>
    </row>
    <row r="1742" spans="1:3">
      <c r="A1742" s="568" t="s">
        <v>2468</v>
      </c>
      <c r="B1742" s="568" t="s">
        <v>2867</v>
      </c>
      <c r="C1742" s="521" t="s">
        <v>2941</v>
      </c>
    </row>
    <row r="1743" spans="1:3" ht="25.5">
      <c r="A1743" s="568" t="s">
        <v>2469</v>
      </c>
      <c r="B1743" s="568" t="s">
        <v>2868</v>
      </c>
      <c r="C1743" s="521" t="s">
        <v>2942</v>
      </c>
    </row>
    <row r="1744" spans="1:3" ht="25.5">
      <c r="A1744" s="521" t="s">
        <v>5930</v>
      </c>
      <c r="B1744" s="291" t="s">
        <v>5931</v>
      </c>
      <c r="C1744" s="568" t="s">
        <v>5921</v>
      </c>
    </row>
    <row r="1745" spans="1:3" ht="25.5">
      <c r="A1745" s="568" t="s">
        <v>2470</v>
      </c>
      <c r="B1745" s="568" t="s">
        <v>2869</v>
      </c>
      <c r="C1745" s="521" t="s">
        <v>2943</v>
      </c>
    </row>
    <row r="1746" spans="1:3">
      <c r="A1746" s="568" t="s">
        <v>2472</v>
      </c>
      <c r="B1746" s="568" t="s">
        <v>2870</v>
      </c>
      <c r="C1746" s="521" t="s">
        <v>2944</v>
      </c>
    </row>
    <row r="1747" spans="1:3">
      <c r="A1747" s="291" t="s">
        <v>419</v>
      </c>
      <c r="B1747" s="293" t="s">
        <v>1338</v>
      </c>
      <c r="C1747" s="291" t="s">
        <v>760</v>
      </c>
    </row>
    <row r="1748" spans="1:3">
      <c r="A1748" s="641" t="s">
        <v>4466</v>
      </c>
      <c r="B1748" s="642"/>
      <c r="C1748" s="643"/>
    </row>
    <row r="1749" spans="1:3">
      <c r="A1749" s="568" t="s">
        <v>131</v>
      </c>
      <c r="B1749" s="568" t="s">
        <v>496</v>
      </c>
      <c r="C1749" s="521" t="s">
        <v>286</v>
      </c>
    </row>
    <row r="1750" spans="1:3">
      <c r="A1750" s="568" t="s">
        <v>4400</v>
      </c>
      <c r="B1750" s="568" t="s">
        <v>4422</v>
      </c>
      <c r="C1750" s="521" t="s">
        <v>4423</v>
      </c>
    </row>
    <row r="1751" spans="1:3">
      <c r="A1751" s="568" t="s">
        <v>4401</v>
      </c>
      <c r="B1751" s="568" t="s">
        <v>1328</v>
      </c>
      <c r="C1751" s="521" t="s">
        <v>4424</v>
      </c>
    </row>
    <row r="1752" spans="1:3" ht="38.25">
      <c r="A1752" s="568" t="s">
        <v>4402</v>
      </c>
      <c r="B1752" s="568" t="s">
        <v>4425</v>
      </c>
      <c r="C1752" s="521" t="s">
        <v>4426</v>
      </c>
    </row>
    <row r="1753" spans="1:3">
      <c r="A1753" s="568" t="s">
        <v>4403</v>
      </c>
      <c r="B1753" s="568" t="s">
        <v>4427</v>
      </c>
      <c r="C1753" s="521" t="s">
        <v>4428</v>
      </c>
    </row>
    <row r="1754" spans="1:3">
      <c r="A1754" s="568" t="s">
        <v>4404</v>
      </c>
      <c r="B1754" s="568" t="s">
        <v>4429</v>
      </c>
      <c r="C1754" s="521" t="s">
        <v>4430</v>
      </c>
    </row>
    <row r="1755" spans="1:3">
      <c r="A1755" s="568" t="s">
        <v>4405</v>
      </c>
      <c r="B1755" s="568" t="s">
        <v>4431</v>
      </c>
      <c r="C1755" s="521" t="s">
        <v>4432</v>
      </c>
    </row>
    <row r="1756" spans="1:3">
      <c r="A1756" s="523" t="s">
        <v>4467</v>
      </c>
      <c r="B1756" s="523" t="s">
        <v>4468</v>
      </c>
      <c r="C1756" s="523" t="s">
        <v>4469</v>
      </c>
    </row>
    <row r="1757" spans="1:3">
      <c r="A1757" s="568" t="s">
        <v>4406</v>
      </c>
      <c r="B1757" s="568" t="s">
        <v>4433</v>
      </c>
      <c r="C1757" s="521" t="s">
        <v>4434</v>
      </c>
    </row>
    <row r="1758" spans="1:3">
      <c r="A1758" s="568" t="s">
        <v>4407</v>
      </c>
      <c r="B1758" s="568" t="s">
        <v>4435</v>
      </c>
      <c r="C1758" s="521" t="s">
        <v>4436</v>
      </c>
    </row>
    <row r="1759" spans="1:3">
      <c r="A1759" s="568" t="s">
        <v>4408</v>
      </c>
      <c r="B1759" s="568" t="s">
        <v>4437</v>
      </c>
      <c r="C1759" s="521" t="s">
        <v>4438</v>
      </c>
    </row>
    <row r="1760" spans="1:3">
      <c r="A1760" s="568" t="s">
        <v>4409</v>
      </c>
      <c r="B1760" s="568" t="s">
        <v>4439</v>
      </c>
      <c r="C1760" s="521" t="s">
        <v>4440</v>
      </c>
    </row>
    <row r="1761" spans="1:3">
      <c r="A1761" s="523" t="s">
        <v>6419</v>
      </c>
      <c r="B1761" s="568" t="s">
        <v>4441</v>
      </c>
      <c r="C1761" s="521" t="s">
        <v>4442</v>
      </c>
    </row>
    <row r="1762" spans="1:3" ht="38.25">
      <c r="A1762" s="523" t="s">
        <v>5821</v>
      </c>
      <c r="B1762" s="568" t="s">
        <v>4443</v>
      </c>
      <c r="C1762" s="521" t="s">
        <v>4444</v>
      </c>
    </row>
    <row r="1763" spans="1:3">
      <c r="A1763" s="568" t="s">
        <v>4410</v>
      </c>
      <c r="B1763" s="568" t="s">
        <v>4445</v>
      </c>
      <c r="C1763" s="521" t="s">
        <v>1265</v>
      </c>
    </row>
    <row r="1764" spans="1:3">
      <c r="A1764" s="568" t="s">
        <v>970</v>
      </c>
      <c r="B1764" s="568" t="s">
        <v>665</v>
      </c>
      <c r="C1764" s="521" t="s">
        <v>465</v>
      </c>
    </row>
    <row r="1765" spans="1:3">
      <c r="A1765" s="568" t="s">
        <v>4411</v>
      </c>
      <c r="B1765" s="568" t="s">
        <v>4446</v>
      </c>
      <c r="C1765" s="521" t="s">
        <v>4447</v>
      </c>
    </row>
    <row r="1766" spans="1:3">
      <c r="A1766" s="568" t="s">
        <v>4412</v>
      </c>
      <c r="B1766" s="568" t="s">
        <v>4448</v>
      </c>
      <c r="C1766" s="521" t="s">
        <v>4449</v>
      </c>
    </row>
    <row r="1767" spans="1:3">
      <c r="A1767" s="568" t="s">
        <v>4413</v>
      </c>
      <c r="B1767" s="568" t="s">
        <v>1328</v>
      </c>
      <c r="C1767" s="521" t="s">
        <v>4424</v>
      </c>
    </row>
    <row r="1768" spans="1:3">
      <c r="A1768" s="568" t="s">
        <v>4414</v>
      </c>
      <c r="B1768" s="568" t="s">
        <v>4450</v>
      </c>
      <c r="C1768" s="521" t="s">
        <v>4451</v>
      </c>
    </row>
    <row r="1769" spans="1:3">
      <c r="A1769" s="568" t="s">
        <v>4415</v>
      </c>
      <c r="B1769" s="568" t="s">
        <v>4452</v>
      </c>
      <c r="C1769" s="521" t="s">
        <v>4453</v>
      </c>
    </row>
    <row r="1770" spans="1:3">
      <c r="A1770" s="568" t="s">
        <v>4416</v>
      </c>
      <c r="B1770" s="568" t="s">
        <v>4454</v>
      </c>
      <c r="C1770" s="521" t="s">
        <v>4455</v>
      </c>
    </row>
    <row r="1771" spans="1:3">
      <c r="A1771" s="568" t="s">
        <v>4417</v>
      </c>
      <c r="B1771" s="568" t="s">
        <v>4456</v>
      </c>
      <c r="C1771" s="521" t="s">
        <v>4457</v>
      </c>
    </row>
    <row r="1772" spans="1:3">
      <c r="A1772" s="568" t="s">
        <v>4418</v>
      </c>
      <c r="B1772" s="568" t="s">
        <v>4458</v>
      </c>
      <c r="C1772" s="521" t="s">
        <v>4459</v>
      </c>
    </row>
    <row r="1773" spans="1:3" ht="25.5">
      <c r="A1773" s="523" t="s">
        <v>5822</v>
      </c>
      <c r="B1773" s="568" t="s">
        <v>4460</v>
      </c>
      <c r="C1773" s="521" t="s">
        <v>4461</v>
      </c>
    </row>
    <row r="1774" spans="1:3" ht="25.5">
      <c r="A1774" s="568" t="s">
        <v>4419</v>
      </c>
      <c r="B1774" s="568" t="s">
        <v>4462</v>
      </c>
      <c r="C1774" s="521" t="s">
        <v>4463</v>
      </c>
    </row>
    <row r="1775" spans="1:3">
      <c r="A1775" s="523" t="s">
        <v>4641</v>
      </c>
      <c r="B1775" s="523" t="s">
        <v>4642</v>
      </c>
      <c r="C1775" s="523" t="s">
        <v>4643</v>
      </c>
    </row>
    <row r="1776" spans="1:3">
      <c r="A1776" s="568" t="s">
        <v>4410</v>
      </c>
      <c r="B1776" s="568" t="s">
        <v>4445</v>
      </c>
      <c r="C1776" s="521" t="s">
        <v>1265</v>
      </c>
    </row>
    <row r="1777" spans="1:3">
      <c r="A1777" s="568" t="s">
        <v>970</v>
      </c>
      <c r="B1777" s="568" t="s">
        <v>665</v>
      </c>
      <c r="C1777" s="521" t="s">
        <v>465</v>
      </c>
    </row>
    <row r="1778" spans="1:3">
      <c r="A1778" s="568" t="s">
        <v>4420</v>
      </c>
      <c r="B1778" s="568" t="s">
        <v>4464</v>
      </c>
      <c r="C1778" s="521" t="s">
        <v>4465</v>
      </c>
    </row>
    <row r="1780" spans="1:3">
      <c r="A1780" s="644"/>
      <c r="B1780" s="644" t="s">
        <v>6503</v>
      </c>
      <c r="C1780" s="644"/>
    </row>
    <row r="1781" spans="1:3" ht="25.5">
      <c r="A1781" s="627" t="s">
        <v>6501</v>
      </c>
      <c r="B1781" s="291" t="s">
        <v>6515</v>
      </c>
      <c r="C1781" s="293" t="s">
        <v>6509</v>
      </c>
    </row>
    <row r="1782" spans="1:3" ht="25.5">
      <c r="A1782" s="628" t="s">
        <v>6502</v>
      </c>
      <c r="B1782" s="291" t="s">
        <v>6516</v>
      </c>
      <c r="C1782" s="293" t="s">
        <v>6510</v>
      </c>
    </row>
    <row r="1783" spans="1:3">
      <c r="A1783" s="626" t="s">
        <v>6504</v>
      </c>
      <c r="B1783" s="291" t="s">
        <v>6517</v>
      </c>
      <c r="C1783" s="293" t="s">
        <v>6511</v>
      </c>
    </row>
    <row r="1784" spans="1:3" ht="25.5">
      <c r="A1784" s="291" t="s">
        <v>6505</v>
      </c>
      <c r="B1784" s="291" t="s">
        <v>6518</v>
      </c>
      <c r="C1784" s="293" t="s">
        <v>6512</v>
      </c>
    </row>
    <row r="1785" spans="1:3">
      <c r="A1785" s="291" t="s">
        <v>6506</v>
      </c>
      <c r="B1785" s="291" t="s">
        <v>6519</v>
      </c>
      <c r="C1785" s="293" t="s">
        <v>6513</v>
      </c>
    </row>
    <row r="1786" spans="1:3" ht="25.5">
      <c r="A1786" s="291" t="s">
        <v>6507</v>
      </c>
      <c r="B1786" s="291" t="s">
        <v>6520</v>
      </c>
      <c r="C1786" s="293" t="s">
        <v>6514</v>
      </c>
    </row>
    <row r="1787" spans="1:3" ht="25.5">
      <c r="A1787" s="291" t="s">
        <v>6508</v>
      </c>
      <c r="B1787" s="291" t="s">
        <v>6521</v>
      </c>
      <c r="C1787" s="293" t="s">
        <v>6522</v>
      </c>
    </row>
    <row r="1789" spans="1:3" ht="38.25">
      <c r="A1789" s="291" t="s">
        <v>6874</v>
      </c>
      <c r="B1789" s="293" t="s">
        <v>6875</v>
      </c>
      <c r="C1789" s="291" t="s">
        <v>6876</v>
      </c>
    </row>
  </sheetData>
  <autoFilter ref="A2:C1787" xr:uid="{00000000-0001-0000-3000-000000000000}"/>
  <mergeCells count="1">
    <mergeCell ref="A1:C1"/>
  </mergeCells>
  <phoneticPr fontId="12" type="noConversion"/>
  <printOptions gridLines="1"/>
  <pageMargins left="0.75" right="0.75" top="1" bottom="1" header="0.5" footer="0.5"/>
  <pageSetup paperSize="9" scale="66" orientation="portrait" r:id="rId1"/>
  <headerFooter alignWithMargins="0"/>
  <rowBreaks count="1" manualBreakCount="1">
    <brk id="1117"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40">
    <tabColor rgb="FFFFC000"/>
    <pageSetUpPr fitToPage="1"/>
  </sheetPr>
  <dimension ref="A1:AC304"/>
  <sheetViews>
    <sheetView showGridLines="0" view="pageBreakPreview" topLeftCell="A274" zoomScaleNormal="100" zoomScaleSheetLayoutView="100" workbookViewId="0">
      <selection activeCell="C278" sqref="C278:J278"/>
    </sheetView>
  </sheetViews>
  <sheetFormatPr defaultColWidth="9.140625" defaultRowHeight="12.75" customHeight="1"/>
  <cols>
    <col min="1" max="1" width="21.85546875" style="72" customWidth="1"/>
    <col min="2" max="2" width="9.28515625" style="72" customWidth="1"/>
    <col min="3" max="3" width="10.5703125" style="72" customWidth="1"/>
    <col min="4" max="4" width="9.28515625" style="72" customWidth="1"/>
    <col min="5" max="5" width="9.7109375" style="72" customWidth="1"/>
    <col min="6" max="11" width="9.28515625" style="72" customWidth="1"/>
    <col min="12" max="12" width="9.140625" style="75"/>
    <col min="13" max="13" width="10.28515625" style="72" customWidth="1"/>
    <col min="14" max="14" width="12" style="72" customWidth="1"/>
    <col min="15" max="15" width="14.5703125" style="72" customWidth="1"/>
    <col min="16" max="16" width="9.140625" style="72" customWidth="1"/>
    <col min="17" max="17" width="6.5703125" style="72" customWidth="1"/>
    <col min="18" max="18" width="4.28515625" style="72" customWidth="1"/>
    <col min="19" max="19" width="5.140625" style="72" customWidth="1"/>
    <col min="20" max="20" width="4" style="72" customWidth="1"/>
    <col min="21" max="21" width="4.7109375" style="72" customWidth="1"/>
    <col min="22" max="22" width="2.7109375" style="72" customWidth="1"/>
    <col min="23" max="23" width="4.85546875" style="72" customWidth="1"/>
    <col min="24" max="24" width="3.85546875" style="72" customWidth="1"/>
    <col min="25" max="27" width="3.7109375" style="72" customWidth="1"/>
    <col min="28" max="28" width="9.140625" style="72"/>
    <col min="29" max="29" width="9.140625" style="72" customWidth="1"/>
    <col min="30" max="16384" width="9.140625" style="72"/>
  </cols>
  <sheetData>
    <row r="1" spans="2:13" ht="12.75" customHeight="1">
      <c r="B1" s="765" t="s">
        <v>1257</v>
      </c>
      <c r="C1" s="765"/>
      <c r="D1" s="765"/>
      <c r="E1" s="765"/>
      <c r="F1" s="765"/>
      <c r="G1" s="765"/>
      <c r="H1" s="765"/>
      <c r="I1" s="765"/>
      <c r="J1" s="765"/>
      <c r="K1" s="765"/>
    </row>
    <row r="2" spans="2:13" ht="12.75" customHeight="1">
      <c r="B2" s="393" t="str">
        <f>nazwa_spolki</f>
        <v>Rhenus Digital Workforce Sp. z o.o.</v>
      </c>
      <c r="C2" s="392"/>
      <c r="D2" s="392"/>
      <c r="E2" s="392"/>
      <c r="F2" s="392"/>
      <c r="G2" s="392"/>
      <c r="H2" s="392"/>
      <c r="I2" s="392"/>
      <c r="J2" s="392"/>
      <c r="K2" s="392"/>
    </row>
    <row r="3" spans="2:13" ht="53.25" customHeight="1">
      <c r="B3" s="766" t="str">
        <f>tytul</f>
        <v>Sprawozdanie finansowe sporządzone za rok obrotowy 2024</v>
      </c>
      <c r="C3" s="766"/>
      <c r="D3" s="766"/>
      <c r="E3" s="766"/>
      <c r="F3" s="766"/>
      <c r="G3" s="766"/>
      <c r="H3" s="766"/>
      <c r="I3" s="766"/>
      <c r="J3" s="766"/>
      <c r="K3" s="766"/>
    </row>
    <row r="4" spans="2:13" ht="21" customHeight="1">
      <c r="B4" s="767" t="str">
        <f>CHOOSE(jezyk,n!A37,n!B37,n!C37,n!D37)</f>
        <v>WPROWADZENIE DO SPRAWOZDANIA FINANSOWEGO</v>
      </c>
      <c r="C4" s="767" t="s">
        <v>1361</v>
      </c>
      <c r="D4" s="767" t="s">
        <v>1004</v>
      </c>
      <c r="E4" s="767">
        <v>0</v>
      </c>
      <c r="F4" s="767">
        <v>0</v>
      </c>
      <c r="G4" s="767">
        <v>0</v>
      </c>
      <c r="H4" s="767">
        <v>0</v>
      </c>
      <c r="I4" s="767">
        <v>0</v>
      </c>
      <c r="J4" s="767">
        <v>0</v>
      </c>
      <c r="K4" s="767">
        <v>0</v>
      </c>
    </row>
    <row r="5" spans="2:13" ht="24.75" customHeight="1"/>
    <row r="6" spans="2:13">
      <c r="B6" s="76" t="s">
        <v>1448</v>
      </c>
      <c r="C6" s="762" t="str">
        <f>CHOOSE(jezyk,n!A84,n!B84,n!C84,n!D84)</f>
        <v>Dane identyfikujące jednostkę</v>
      </c>
      <c r="D6" s="762"/>
      <c r="E6" s="762"/>
      <c r="F6" s="762"/>
      <c r="G6" s="762"/>
      <c r="H6" s="762"/>
      <c r="I6" s="762"/>
      <c r="J6" s="762"/>
    </row>
    <row r="8" spans="2:13" s="77" customFormat="1" ht="24" customHeight="1">
      <c r="C8" s="746" t="str">
        <f>CHOOSE(jezyk,n!A85,n!B85,n!C85,n!D85)</f>
        <v>NIP:</v>
      </c>
      <c r="D8" s="746"/>
      <c r="E8" s="746"/>
      <c r="F8" s="760">
        <f>GA!H17</f>
        <v>7011174664</v>
      </c>
      <c r="G8" s="760"/>
      <c r="H8" s="760"/>
      <c r="I8" s="760"/>
      <c r="J8" s="760"/>
      <c r="K8" s="760"/>
      <c r="L8" s="78"/>
      <c r="M8" s="72"/>
    </row>
    <row r="9" spans="2:13" ht="24.75" customHeight="1">
      <c r="C9" s="746" t="str">
        <f>CHOOSE(jezyk,n!A86,n!B86,n!C86,n!D86)</f>
        <v>KRS:</v>
      </c>
      <c r="D9" s="746"/>
      <c r="E9" s="746"/>
      <c r="F9" s="761">
        <f>GA!H18</f>
        <v>1069165</v>
      </c>
      <c r="G9" s="761"/>
      <c r="H9" s="761"/>
      <c r="I9" s="761"/>
      <c r="J9" s="761"/>
      <c r="K9" s="761"/>
      <c r="L9" s="78"/>
    </row>
    <row r="10" spans="2:13" ht="12.75" customHeight="1">
      <c r="C10" s="769"/>
      <c r="D10" s="769"/>
      <c r="E10" s="769"/>
      <c r="F10" s="769"/>
      <c r="G10" s="769"/>
      <c r="H10" s="769"/>
      <c r="I10" s="769"/>
      <c r="J10" s="769"/>
    </row>
    <row r="11" spans="2:13" ht="12.75" customHeight="1">
      <c r="C11" s="72" t="str">
        <f>CHOOSE(jezyk,n!A87,n!B87,n!C87,n!D87)</f>
        <v>Nazwa pełna jednostki:</v>
      </c>
      <c r="D11" s="79"/>
      <c r="E11" s="79"/>
      <c r="F11" s="79"/>
      <c r="G11" s="79"/>
      <c r="H11" s="79"/>
      <c r="I11" s="79"/>
      <c r="J11" s="79"/>
      <c r="K11" s="79"/>
    </row>
    <row r="12" spans="2:13" ht="4.5" customHeight="1"/>
    <row r="13" spans="2:13" ht="12.75" customHeight="1">
      <c r="C13" s="770" t="str">
        <f>GA!D16</f>
        <v>Rhenus Digital Workforce Sp. z o.o.</v>
      </c>
      <c r="D13" s="770"/>
      <c r="E13" s="770"/>
      <c r="F13" s="770"/>
      <c r="G13" s="770"/>
      <c r="H13" s="770"/>
      <c r="I13" s="770"/>
      <c r="J13" s="770"/>
      <c r="K13" s="770"/>
    </row>
    <row r="14" spans="2:13" ht="12.75" customHeight="1">
      <c r="C14" s="770"/>
      <c r="D14" s="770"/>
      <c r="E14" s="770"/>
      <c r="F14" s="770"/>
      <c r="G14" s="770"/>
      <c r="H14" s="770"/>
      <c r="I14" s="770"/>
      <c r="J14" s="770"/>
      <c r="K14" s="770"/>
    </row>
    <row r="16" spans="2:13" ht="12.75" customHeight="1">
      <c r="B16" s="80" t="s">
        <v>2680</v>
      </c>
      <c r="C16" s="762" t="str">
        <f>CHOOSE(jezyk,n!A88,n!B88,n!C88,n!D88)</f>
        <v>Dane i adres siedziby</v>
      </c>
      <c r="D16" s="762"/>
      <c r="E16" s="762"/>
      <c r="F16" s="762"/>
      <c r="G16" s="762"/>
      <c r="H16" s="762"/>
      <c r="I16" s="762"/>
      <c r="J16" s="762"/>
    </row>
    <row r="17" spans="1:12" ht="12.75" customHeight="1">
      <c r="G17" s="79"/>
      <c r="H17" s="79"/>
      <c r="I17" s="79"/>
      <c r="J17" s="79"/>
    </row>
    <row r="18" spans="1:12" ht="12.75" customHeight="1">
      <c r="C18" s="79" t="str">
        <f>CHOOSE(jezyk,n!A89,n!B89,n!C89,n!D89)</f>
        <v>Ulica:</v>
      </c>
      <c r="D18" s="79"/>
      <c r="E18" s="747" t="s">
        <v>6929</v>
      </c>
      <c r="F18" s="747"/>
      <c r="G18" s="79"/>
      <c r="H18" s="79"/>
      <c r="I18" s="79"/>
      <c r="J18" s="79"/>
    </row>
    <row r="19" spans="1:12" ht="12.75" customHeight="1">
      <c r="B19" s="80"/>
      <c r="C19" s="79" t="str">
        <f>CHOOSE(jezyk,n!A90,n!B90,n!C90,n!D90)</f>
        <v>Nr domu:</v>
      </c>
      <c r="D19" s="424"/>
      <c r="E19" s="747">
        <v>99</v>
      </c>
      <c r="F19" s="747"/>
      <c r="G19" s="424"/>
      <c r="H19" s="424"/>
      <c r="I19" s="424"/>
      <c r="J19" s="424"/>
    </row>
    <row r="20" spans="1:12" ht="12.75" customHeight="1">
      <c r="B20" s="80"/>
      <c r="C20" s="79" t="str">
        <f>CHOOSE(jezyk,n!A91,n!B91,n!C91,n!D91)</f>
        <v>Nr lokalu:</v>
      </c>
      <c r="D20" s="424"/>
      <c r="E20" s="747" t="s">
        <v>533</v>
      </c>
      <c r="F20" s="747"/>
      <c r="G20" s="424"/>
      <c r="H20" s="424"/>
      <c r="I20" s="424"/>
      <c r="J20" s="424"/>
    </row>
    <row r="21" spans="1:12" ht="12.75" customHeight="1">
      <c r="C21" s="79" t="str">
        <f>CHOOSE(jezyk,n!A92,n!B92,n!C92,n!D92)</f>
        <v>Miejscowość:</v>
      </c>
      <c r="D21" s="79"/>
      <c r="E21" s="768" t="str">
        <f>GA!D19</f>
        <v>Warszawa</v>
      </c>
      <c r="F21" s="768"/>
    </row>
    <row r="22" spans="1:12" ht="12.75" customHeight="1">
      <c r="C22" s="79" t="str">
        <f>CHOOSE(jezyk,n!A93,n!B93,n!C93,n!D93)</f>
        <v>Kod pocztowy:</v>
      </c>
      <c r="E22" s="768" t="str">
        <f>GA!D18</f>
        <v>02-595</v>
      </c>
      <c r="F22" s="768"/>
    </row>
    <row r="23" spans="1:12" ht="12.75" customHeight="1">
      <c r="C23" s="79" t="str">
        <f>CHOOSE(jezyk,n!A94,n!B94,n!C94,n!D94)</f>
        <v>Poczta:</v>
      </c>
      <c r="E23" s="747" t="s">
        <v>6927</v>
      </c>
      <c r="F23" s="747"/>
    </row>
    <row r="24" spans="1:12" ht="12.75" customHeight="1">
      <c r="C24" s="79" t="str">
        <f>CHOOSE(jezyk,n!A95,n!B95,n!C95,n!D95)</f>
        <v>Gmina:</v>
      </c>
      <c r="D24" s="79"/>
      <c r="E24" s="747" t="s">
        <v>6930</v>
      </c>
      <c r="F24" s="747"/>
    </row>
    <row r="25" spans="1:12" ht="12.75" customHeight="1">
      <c r="C25" s="79" t="str">
        <f>CHOOSE(jezyk,n!A96,n!B96,n!C96,n!D96)</f>
        <v>Powiat:</v>
      </c>
      <c r="D25" s="79"/>
      <c r="E25" s="747" t="s">
        <v>6930</v>
      </c>
      <c r="F25" s="747"/>
    </row>
    <row r="26" spans="1:12" ht="12.75" customHeight="1">
      <c r="C26" s="79" t="str">
        <f>CHOOSE(jezyk,n!A97,n!B97,n!C97,n!D97)</f>
        <v>Województwo:</v>
      </c>
      <c r="D26" s="79"/>
      <c r="E26" s="747" t="s">
        <v>6914</v>
      </c>
      <c r="F26" s="747"/>
    </row>
    <row r="28" spans="1:12" ht="12.75" customHeight="1">
      <c r="B28" s="80" t="s">
        <v>2502</v>
      </c>
      <c r="C28" s="762" t="str">
        <f>CHOOSE(jezyk,n!A98,n!B98,n!C98,n!D98)</f>
        <v>Adres zagraniczny (opcjonalny)</v>
      </c>
      <c r="D28" s="762"/>
      <c r="E28" s="762"/>
      <c r="F28" s="762"/>
      <c r="G28" s="762"/>
      <c r="H28" s="762"/>
      <c r="I28" s="762"/>
      <c r="J28" s="762"/>
      <c r="L28" s="81" t="s">
        <v>6102</v>
      </c>
    </row>
    <row r="29" spans="1:12" ht="12.75" customHeight="1">
      <c r="C29" s="762"/>
      <c r="D29" s="762"/>
      <c r="E29" s="762"/>
      <c r="F29" s="762"/>
      <c r="G29" s="762"/>
      <c r="H29" s="762"/>
      <c r="I29" s="762"/>
      <c r="J29" s="762"/>
    </row>
    <row r="30" spans="1:12" ht="12.75" customHeight="1">
      <c r="C30" s="745" t="str">
        <f>CHOOSE(jezyk,n!A1131,n!B1131,n!C1131,n!D1129)</f>
        <v>Nie dotyczy</v>
      </c>
      <c r="D30" s="745"/>
      <c r="E30" s="745"/>
      <c r="F30" s="745"/>
      <c r="G30" s="745"/>
      <c r="H30" s="745"/>
      <c r="I30" s="745"/>
      <c r="J30" s="745"/>
    </row>
    <row r="31" spans="1:12" ht="12.75" hidden="1" customHeight="1">
      <c r="A31" s="124"/>
      <c r="C31" s="395"/>
      <c r="D31" s="395"/>
      <c r="E31" s="395"/>
      <c r="F31" s="395"/>
      <c r="G31" s="395"/>
      <c r="H31" s="395"/>
      <c r="I31" s="395"/>
      <c r="J31" s="395"/>
      <c r="L31" s="124"/>
    </row>
    <row r="32" spans="1:12" ht="12.75" hidden="1" customHeight="1">
      <c r="C32" s="79" t="str">
        <f>CHOOSE(jezyk,n!A99,n!B99,n!C99,n!D99)</f>
        <v>Kraj:</v>
      </c>
      <c r="D32" s="79"/>
      <c r="E32" s="747"/>
      <c r="F32" s="747"/>
      <c r="G32" s="84"/>
      <c r="H32" s="395"/>
      <c r="I32" s="395"/>
      <c r="J32" s="395"/>
      <c r="L32" s="72"/>
    </row>
    <row r="33" spans="2:25" ht="12.75" hidden="1" customHeight="1">
      <c r="C33" s="79" t="str">
        <f>CHOOSE(jezyk,n!A93,n!B93,n!C93,n!D93)</f>
        <v>Kod pocztowy:</v>
      </c>
      <c r="D33" s="424"/>
      <c r="E33" s="747"/>
      <c r="F33" s="747"/>
      <c r="G33" s="395"/>
      <c r="H33" s="395"/>
      <c r="I33" s="395"/>
      <c r="J33" s="395"/>
      <c r="L33" s="82" t="s">
        <v>6104</v>
      </c>
    </row>
    <row r="34" spans="2:25" ht="12.75" hidden="1" customHeight="1">
      <c r="C34" s="79" t="str">
        <f>CHOOSE(jezyk,n!A92,n!B92,n!C92,n!D92)</f>
        <v>Miejscowość:</v>
      </c>
      <c r="D34" s="79"/>
      <c r="E34" s="758"/>
      <c r="F34" s="747"/>
      <c r="G34" s="395"/>
      <c r="H34" s="395"/>
      <c r="I34" s="395"/>
      <c r="J34" s="395"/>
      <c r="L34" s="82"/>
    </row>
    <row r="35" spans="2:25" ht="12.75" hidden="1" customHeight="1">
      <c r="C35" s="79" t="str">
        <f>CHOOSE(jezyk,n!A89,n!B89,n!C89,n!D89)</f>
        <v>Ulica:</v>
      </c>
      <c r="E35" s="758"/>
      <c r="F35" s="747"/>
      <c r="G35" s="395"/>
      <c r="H35" s="395"/>
      <c r="I35" s="395"/>
      <c r="J35" s="395"/>
      <c r="L35" s="82" t="s">
        <v>6104</v>
      </c>
    </row>
    <row r="36" spans="2:25" ht="12.75" hidden="1" customHeight="1">
      <c r="C36" s="79" t="str">
        <f>CHOOSE(jezyk,n!A90,n!B90,n!C90,n!D90)</f>
        <v>Nr domu:</v>
      </c>
      <c r="E36" s="747"/>
      <c r="F36" s="747"/>
      <c r="G36" s="395"/>
      <c r="H36" s="395"/>
      <c r="I36" s="395"/>
      <c r="J36" s="395"/>
      <c r="L36" s="82" t="s">
        <v>6104</v>
      </c>
    </row>
    <row r="37" spans="2:25" ht="12.75" hidden="1" customHeight="1">
      <c r="C37" s="79" t="str">
        <f>CHOOSE(jezyk,n!A91,n!B91,n!C91,n!D91)</f>
        <v>Nr lokalu:</v>
      </c>
      <c r="D37" s="79"/>
      <c r="E37" s="747"/>
      <c r="F37" s="747"/>
      <c r="G37" s="395"/>
      <c r="H37" s="395"/>
      <c r="I37" s="395"/>
      <c r="J37" s="395"/>
      <c r="L37" s="82" t="s">
        <v>6104</v>
      </c>
    </row>
    <row r="38" spans="2:25" ht="12.75" customHeight="1">
      <c r="C38" s="395"/>
      <c r="D38" s="395"/>
      <c r="E38" s="395"/>
      <c r="F38" s="395"/>
      <c r="G38" s="395"/>
      <c r="H38" s="395"/>
      <c r="I38" s="395"/>
      <c r="J38" s="395"/>
      <c r="L38" s="72"/>
    </row>
    <row r="39" spans="2:25" ht="12.75" customHeight="1">
      <c r="B39" s="76" t="s">
        <v>2504</v>
      </c>
      <c r="C39" s="762" t="str">
        <f>CHOOSE(jezyk,n!A100,n!B100,n!C100,n!D100)</f>
        <v>Kody PKD określające podstawową działalność podmiotu</v>
      </c>
      <c r="D39" s="762"/>
      <c r="E39" s="762"/>
      <c r="F39" s="762"/>
      <c r="G39" s="762"/>
      <c r="H39" s="762"/>
      <c r="I39" s="762"/>
      <c r="J39" s="762"/>
      <c r="L39" s="72"/>
    </row>
    <row r="40" spans="2:25" ht="12.75" customHeight="1">
      <c r="C40" s="395"/>
      <c r="D40" s="395"/>
      <c r="E40" s="395"/>
      <c r="F40" s="395"/>
      <c r="G40" s="395"/>
      <c r="H40" s="395"/>
      <c r="I40" s="395"/>
      <c r="J40" s="395"/>
      <c r="L40" s="81" t="s">
        <v>6103</v>
      </c>
    </row>
    <row r="41" spans="2:25" ht="28.5" customHeight="1">
      <c r="C41" s="83" t="s">
        <v>4298</v>
      </c>
      <c r="D41" s="749" t="str">
        <f>IF(jezyk=1,VLOOKUP(C41,PKD!A:B,2,FALSE),IF(jezyk=2,VLOOKUP(C41,PKD!A:C,3,FALSE),VLOOKUP(C41,PKD!A:D,4,FALSE)))</f>
        <v>Wykonywanie fotokopii, przygotowywanie dokumentów i pozostała specjalistyczna działalność wspomagająca prowadzenie biura</v>
      </c>
      <c r="E41" s="749"/>
      <c r="F41" s="749"/>
      <c r="G41" s="749"/>
      <c r="H41" s="749"/>
      <c r="I41" s="749"/>
      <c r="J41" s="749"/>
      <c r="K41" s="99"/>
      <c r="L41" s="81" t="s">
        <v>6464</v>
      </c>
    </row>
    <row r="43" spans="2:25" ht="12.75" customHeight="1">
      <c r="B43" s="76" t="s">
        <v>1450</v>
      </c>
      <c r="C43" s="762" t="str">
        <f>CHOOSE(jezyk,n!A42,n!B42,n!C42,n!D42)</f>
        <v>Czas trwania działalności jednostki</v>
      </c>
      <c r="D43" s="762"/>
      <c r="E43" s="762"/>
      <c r="F43" s="762"/>
      <c r="G43" s="762"/>
      <c r="H43" s="762"/>
      <c r="I43" s="762"/>
      <c r="J43" s="762"/>
      <c r="K43" s="79"/>
    </row>
    <row r="44" spans="2:25" ht="12.75" customHeight="1">
      <c r="R44" s="742"/>
      <c r="S44" s="742"/>
      <c r="T44" s="742"/>
      <c r="U44" s="742"/>
      <c r="V44" s="742"/>
      <c r="W44" s="742"/>
      <c r="X44" s="742"/>
      <c r="Y44" s="742"/>
    </row>
    <row r="45" spans="2:25" ht="12.75" customHeight="1">
      <c r="C45" s="764" t="str">
        <f>CHOOSE(jezyk,n!A1554,n!B1554,n!C1554,n!D1549)</f>
        <v>Nieograniczony</v>
      </c>
      <c r="D45" s="764"/>
      <c r="E45" s="764"/>
      <c r="F45" s="764"/>
      <c r="G45" s="764"/>
      <c r="H45" s="764"/>
      <c r="I45" s="764"/>
      <c r="J45" s="764"/>
    </row>
    <row r="46" spans="2:25" ht="12.75" customHeight="1">
      <c r="C46" s="84"/>
      <c r="D46" s="84"/>
      <c r="E46" s="84"/>
      <c r="F46" s="84"/>
      <c r="G46" s="84"/>
      <c r="H46" s="84"/>
      <c r="I46" s="84"/>
      <c r="J46" s="84"/>
      <c r="L46" s="72"/>
    </row>
    <row r="47" spans="2:25" ht="12.75" hidden="1" customHeight="1">
      <c r="C47" s="693" t="str">
        <f>CHOOSE(jezyk,n!A101,n!B101,n!C101,n!D101)</f>
        <v>Ograniczony do:</v>
      </c>
      <c r="D47" s="693"/>
      <c r="E47" s="693"/>
      <c r="F47" s="693"/>
      <c r="G47" s="693"/>
      <c r="H47" s="693"/>
      <c r="I47" s="693"/>
      <c r="J47" s="693"/>
      <c r="L47" s="81" t="s">
        <v>2684</v>
      </c>
    </row>
    <row r="48" spans="2:25" ht="12.75" hidden="1" customHeight="1">
      <c r="C48" s="693" t="str">
        <f>CHOOSE(jezyk,n!A102,n!B102,n!C102,n!D102)</f>
        <v>data od:</v>
      </c>
      <c r="D48" s="757">
        <v>43983</v>
      </c>
      <c r="E48" s="757"/>
      <c r="F48" s="693"/>
      <c r="G48" s="693"/>
      <c r="H48" s="693"/>
      <c r="I48" s="693"/>
      <c r="J48" s="693"/>
      <c r="L48" s="81"/>
    </row>
    <row r="49" spans="2:13" ht="12.75" hidden="1" customHeight="1">
      <c r="C49" s="693" t="str">
        <f>CHOOSE(jezyk,n!A103,n!B103,n!C103,n!D103)</f>
        <v>data do:</v>
      </c>
      <c r="D49" s="757"/>
      <c r="E49" s="757"/>
      <c r="F49" s="693"/>
      <c r="G49" s="693"/>
      <c r="H49" s="693"/>
      <c r="I49" s="693"/>
      <c r="J49" s="693"/>
      <c r="L49" s="81"/>
    </row>
    <row r="50" spans="2:13" ht="12.75" hidden="1" customHeight="1">
      <c r="C50" s="763" t="s">
        <v>6417</v>
      </c>
      <c r="D50" s="763"/>
      <c r="E50" s="763"/>
      <c r="F50" s="763"/>
      <c r="G50" s="763"/>
      <c r="H50" s="763"/>
      <c r="I50" s="763"/>
      <c r="J50" s="763"/>
      <c r="L50" s="81" t="s">
        <v>6113</v>
      </c>
    </row>
    <row r="51" spans="2:13" ht="12.75" hidden="1" customHeight="1"/>
    <row r="52" spans="2:13" ht="12.75" customHeight="1">
      <c r="B52" s="76" t="s">
        <v>782</v>
      </c>
      <c r="C52" s="79" t="str">
        <f>CHOOSE(jezyk,n!A43,n!B43,n!C43,n!D43)</f>
        <v>Okres objęty sprawozdaniem finansowym:</v>
      </c>
      <c r="D52" s="79"/>
      <c r="E52" s="79"/>
      <c r="F52" s="79"/>
      <c r="G52" s="79"/>
      <c r="H52" s="79"/>
      <c r="I52" s="79"/>
      <c r="J52" s="79"/>
      <c r="K52" s="79"/>
    </row>
    <row r="54" spans="2:13" ht="12.75" customHeight="1">
      <c r="C54" s="759" t="str">
        <f>GA!D28&amp;" - "&amp;GA!D23</f>
        <v>19.10.2023 - 31.12.2024</v>
      </c>
      <c r="D54" s="759"/>
      <c r="E54" s="759"/>
      <c r="F54" s="759"/>
      <c r="G54" s="759"/>
      <c r="H54" s="759"/>
      <c r="I54" s="759"/>
      <c r="J54" s="759"/>
      <c r="L54" s="85"/>
    </row>
    <row r="56" spans="2:13" ht="12.75" customHeight="1">
      <c r="B56" s="76" t="s">
        <v>1452</v>
      </c>
      <c r="C56" s="79" t="str">
        <f>CHOOSE(jezyk,n!A104,n!B104,n!C104,n!D104)</f>
        <v>Wskazanie, że sprawozdanie finansowe zawiera dane łączne</v>
      </c>
    </row>
    <row r="58" spans="2:13" ht="12.75" customHeight="1">
      <c r="C58" s="745" t="str">
        <f>CHOOSE(jezyk,n!A1131,n!B1131,n!C1131,n!D1129)</f>
        <v>Nie dotyczy</v>
      </c>
      <c r="D58" s="745"/>
      <c r="E58" s="745"/>
      <c r="F58" s="745"/>
      <c r="G58" s="745"/>
      <c r="H58" s="745"/>
      <c r="I58" s="745"/>
      <c r="J58" s="745"/>
    </row>
    <row r="59" spans="2:13" s="86" customFormat="1" ht="12.75" customHeight="1">
      <c r="C59" s="87"/>
      <c r="D59" s="87"/>
      <c r="E59" s="87"/>
      <c r="F59" s="87"/>
      <c r="G59" s="87"/>
      <c r="H59" s="87"/>
      <c r="I59" s="87"/>
      <c r="J59" s="87"/>
      <c r="M59" s="72"/>
    </row>
    <row r="60" spans="2:13" ht="12.75" hidden="1" customHeight="1">
      <c r="C60" s="745" t="str">
        <f>CHOOSE(jezyk,n!A1563,n!B1563,n!C1563,n!D1559)</f>
        <v>Sprawozdanie finansowe zawiera dane łączne z wewnętrznymi jednostkami organizacyjnymi sporządzającymi samodzielnie sprawozdania finansowe.</v>
      </c>
      <c r="D60" s="745"/>
      <c r="E60" s="745"/>
      <c r="F60" s="745"/>
      <c r="G60" s="745"/>
      <c r="H60" s="745"/>
      <c r="I60" s="745"/>
      <c r="J60" s="745"/>
      <c r="K60" s="99"/>
      <c r="L60" s="81" t="s">
        <v>2684</v>
      </c>
    </row>
    <row r="61" spans="2:13" ht="12.75" hidden="1" customHeight="1">
      <c r="C61" s="745"/>
      <c r="D61" s="745"/>
      <c r="E61" s="745"/>
      <c r="F61" s="745"/>
      <c r="G61" s="745"/>
      <c r="H61" s="745"/>
      <c r="I61" s="745"/>
      <c r="J61" s="745"/>
      <c r="K61" s="99"/>
      <c r="L61" s="83"/>
    </row>
    <row r="62" spans="2:13" ht="12.75" hidden="1" customHeight="1"/>
    <row r="63" spans="2:13" ht="12.75" customHeight="1">
      <c r="B63" s="76" t="s">
        <v>1453</v>
      </c>
      <c r="C63" s="79" t="str">
        <f>CHOOSE(jezyk,n!A44,n!B44,n!C44,n!D44)</f>
        <v>Założenie kontynuacji działalności</v>
      </c>
    </row>
    <row r="64" spans="2:13" ht="12.75" customHeight="1">
      <c r="B64" s="76"/>
      <c r="C64" s="79"/>
    </row>
    <row r="65" spans="1:14" ht="27.75" customHeight="1">
      <c r="C65" s="741" t="str" cm="1">
        <f t="array" aca="1" ref="C65" ca="1">IF(INDIRECT(_xlfn.CONCAT("GA!F"&amp;MATCH("W6",GA!A:A,0)))="tak",IF(INDIRECT(_xlfn.CONCAT("GA!F"&amp;MATCH("W3",GA!A:A,0)))="nie",CHOOSE(jezyk,n!A45,n!B45,n!C45,n!D45),CHOOSE(jezyk,n!A46,n!B46,n!C46)),IF(INDIRECT(_xlfn.CONCAT("GA!F"&amp;MATCH("W3",GA!A:A,0)))="nie",CHOOSE(jezyk,n!A47,n!B47,n!C47,n!D47),CHOOSE(jezyk,n!A48,n!B48,n!C48,n!D48)))</f>
        <v xml:space="preserve">Sprawozdanie finansowe zostało sporządzone przy założeniu kontynuowania działalności gospodarczej przez Spółkę.  </v>
      </c>
      <c r="D65" s="741"/>
      <c r="E65" s="741"/>
      <c r="F65" s="741"/>
      <c r="G65" s="741"/>
      <c r="H65" s="741"/>
      <c r="I65" s="741"/>
      <c r="J65" s="741"/>
      <c r="K65" s="99"/>
    </row>
    <row r="67" spans="1:14" ht="27.75" hidden="1" customHeight="1">
      <c r="C67" s="741" t="str">
        <f>IF(GA!F67="nie",CHOOSE(jezyk,n!A49,n!B49,n!C49,n!D49),CHOOSE(jezyk,n!A50,n!B50,n!C50,n!D50))</f>
        <v>Nie istnieją żadne okoliczności wskazujące na zagrożenie dla kontynuowania działalności przez Spółkę.</v>
      </c>
      <c r="D67" s="741"/>
      <c r="E67" s="741"/>
      <c r="F67" s="741"/>
      <c r="G67" s="741"/>
      <c r="H67" s="741"/>
      <c r="I67" s="741"/>
      <c r="J67" s="741"/>
      <c r="K67" s="99"/>
      <c r="L67" s="72"/>
    </row>
    <row r="68" spans="1:14" ht="12.75" hidden="1" customHeight="1"/>
    <row r="69" spans="1:14" hidden="1">
      <c r="C69" s="741" t="str" cm="1">
        <f t="array" aca="1" ref="C69" ca="1">IF(INDIRECT(_xlfn.CONCAT("GA!F"&amp;MATCH("W16",GA!A:A,0)))="nie",CHOOSE(jezyk,n!A105,n!B105,n!C105,n!A106),CHOOSE(jezyk,n!A1789,n!B1789,n!C1789,n!A1789))</f>
        <v>Istnieją poniższe okoliczności wskazujące na zagrożenie kontynuacji działalności:</v>
      </c>
      <c r="D69" s="741"/>
      <c r="E69" s="741"/>
      <c r="F69" s="741"/>
      <c r="G69" s="741"/>
      <c r="H69" s="741"/>
      <c r="I69" s="741"/>
      <c r="J69" s="741"/>
      <c r="L69" s="81" t="s">
        <v>2691</v>
      </c>
    </row>
    <row r="70" spans="1:14" ht="52.9" hidden="1" customHeight="1">
      <c r="B70" s="88" t="s">
        <v>533</v>
      </c>
      <c r="C70" s="741"/>
      <c r="D70" s="741"/>
      <c r="E70" s="741"/>
      <c r="F70" s="741"/>
      <c r="G70" s="741"/>
      <c r="H70" s="741"/>
      <c r="I70" s="741"/>
      <c r="J70" s="741"/>
      <c r="L70" s="279" t="s">
        <v>6726</v>
      </c>
      <c r="N70" s="660">
        <v>1</v>
      </c>
    </row>
    <row r="71" spans="1:14" ht="12.75" hidden="1" customHeight="1">
      <c r="B71" s="88" t="s">
        <v>533</v>
      </c>
      <c r="C71" s="741"/>
      <c r="D71" s="741"/>
      <c r="E71" s="741"/>
      <c r="F71" s="741"/>
      <c r="G71" s="741"/>
      <c r="H71" s="741"/>
      <c r="I71" s="741"/>
      <c r="J71" s="741"/>
    </row>
    <row r="72" spans="1:14" ht="12.75" hidden="1" customHeight="1">
      <c r="B72" s="88" t="s">
        <v>533</v>
      </c>
      <c r="C72" s="741"/>
      <c r="D72" s="741"/>
      <c r="E72" s="741"/>
      <c r="F72" s="741"/>
      <c r="G72" s="741"/>
      <c r="H72" s="741"/>
      <c r="I72" s="741"/>
      <c r="J72" s="741"/>
    </row>
    <row r="73" spans="1:14" ht="12.75" hidden="1" customHeight="1"/>
    <row r="74" spans="1:14" ht="12.75" customHeight="1">
      <c r="B74" s="76" t="s">
        <v>786</v>
      </c>
      <c r="C74" s="79" t="str">
        <f>CHOOSE(jezyk,n!A51,n!B51,n!C51,n!D51)</f>
        <v>Informacja, czy sprawozdanie finansowe jest sporządzone po połączeniu spółek</v>
      </c>
    </row>
    <row r="76" spans="1:14" ht="12.75" customHeight="1">
      <c r="C76" s="745" t="str">
        <f>CHOOSE(jezyk,n!A1131,n!B1131,n!C1131,n!D1129)</f>
        <v>Nie dotyczy</v>
      </c>
      <c r="D76" s="745"/>
      <c r="E76" s="745"/>
      <c r="F76" s="745"/>
      <c r="G76" s="745"/>
      <c r="H76" s="745"/>
      <c r="I76" s="745"/>
      <c r="J76" s="745"/>
    </row>
    <row r="77" spans="1:14" s="86" customFormat="1" ht="12.75" customHeight="1">
      <c r="C77" s="87"/>
      <c r="D77" s="87"/>
      <c r="E77" s="87"/>
      <c r="F77" s="87"/>
      <c r="G77" s="87"/>
      <c r="H77" s="87"/>
      <c r="I77" s="87"/>
      <c r="J77" s="87"/>
    </row>
    <row r="78" spans="1:14" ht="30" hidden="1" customHeight="1">
      <c r="A78" s="73">
        <v>2</v>
      </c>
      <c r="C78" s="741" t="str">
        <f>IF(A78=1,CHOOSE(jezyk,n!A1564,n!B1564,n!C1564,n!D1562),CHOOSE(jezyk,n!A1565,n!B1565,n!C1565,n!D1563))</f>
        <v xml:space="preserve">Sprawozdanie finansowe zostało sporządzone za okres, w ciągu którego nastąpiło połączenie Spółek. Połączenie Spółek zostało rozliczone metodą nabycia. </v>
      </c>
      <c r="D78" s="741"/>
      <c r="E78" s="741"/>
      <c r="F78" s="741"/>
      <c r="G78" s="741"/>
      <c r="H78" s="741"/>
      <c r="I78" s="741"/>
      <c r="J78" s="741"/>
      <c r="L78" s="81" t="s">
        <v>2684</v>
      </c>
    </row>
    <row r="79" spans="1:14" ht="12.75" hidden="1" customHeight="1"/>
    <row r="80" spans="1:14" ht="12.75" customHeight="1">
      <c r="B80" s="76" t="s">
        <v>93</v>
      </c>
      <c r="C80" s="79" t="str">
        <f>CHOOSE(jezyk,n!A109,n!B109,n!C109,n!D109)</f>
        <v>Zasady (polityka) rachunkowości</v>
      </c>
    </row>
    <row r="82" spans="2:29" ht="12.75" customHeight="1">
      <c r="B82" s="76" t="s">
        <v>2634</v>
      </c>
      <c r="C82" s="79" t="str">
        <f>CHOOSE(jezyk,n!A123,n!B123,n!C123,n!A124)</f>
        <v>Metody wyceny</v>
      </c>
    </row>
    <row r="83" spans="2:29" ht="12.75" customHeight="1">
      <c r="B83" s="76"/>
      <c r="C83" s="79"/>
    </row>
    <row r="84" spans="2:29" ht="38.25" customHeight="1">
      <c r="C84" s="746" t="str">
        <f>IF(GA!F67="nie",IF(AND(GA!F68="tak",GA!F74="nie"),CHOOSE(jezyk,n!A124,n!B124,n!C124),IF(AND(GA!F68="tak",GA!F74="tak"),CHOOSE(jezyk,n!A128,n!B128,n!C128),CHOOSE(jezyk,n!A126,n!B126,n!C126))),IF(AND(GA!F68="tak",GA!F74="nie"),CHOOSE(jezyk,n!A125,n!B125,n!C125),IF(AND(GA!F68="tak",GA!F74="tak"),CHOOSE(jezyk,n!A129,n!B129,n!C129),CHOOSE(jezyk,n!A127,n!B127,n!C127))))</f>
        <v>W Spółce stosowane są następujące zasady rachunkowości, które są zgodne z przepisami ustawy z dnia 29 września 1994 r. o rachunkowości (Dz. U. z 2023 r., poz. 120 z późn. zm. - zwaną dalej UoR).</v>
      </c>
      <c r="D84" s="746"/>
      <c r="E84" s="746"/>
      <c r="F84" s="746"/>
      <c r="G84" s="746"/>
      <c r="H84" s="746"/>
      <c r="I84" s="746"/>
      <c r="J84" s="746"/>
      <c r="L84" s="72"/>
    </row>
    <row r="85" spans="2:29" ht="12.75" customHeight="1">
      <c r="C85" s="746"/>
      <c r="D85" s="746"/>
      <c r="E85" s="746"/>
      <c r="F85" s="746"/>
      <c r="G85" s="746"/>
      <c r="H85" s="746"/>
      <c r="I85" s="746"/>
      <c r="J85" s="746"/>
      <c r="L85" s="72"/>
    </row>
    <row r="86" spans="2:29" ht="12.75" customHeight="1">
      <c r="C86" s="89" t="str">
        <f>CHOOSE(jezyk,n!A130,n!B130,n!C130,n!D130)</f>
        <v>Wartości niematerialne i prawne</v>
      </c>
      <c r="D86" s="89"/>
      <c r="E86" s="89"/>
      <c r="L86" s="72"/>
    </row>
    <row r="88" spans="2:29" ht="51" customHeight="1">
      <c r="C88" s="741" t="str">
        <f>CHOOSE(jezyk,n!A131,n!B131,n!C131,n!D131)</f>
        <v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v>
      </c>
      <c r="D88" s="741"/>
      <c r="E88" s="741"/>
      <c r="F88" s="741"/>
      <c r="G88" s="741"/>
      <c r="H88" s="741"/>
      <c r="I88" s="741"/>
      <c r="J88" s="741"/>
    </row>
    <row r="89" spans="2:29" ht="38.25" customHeight="1">
      <c r="C89" s="741" t="str">
        <f>CHOOSE(jezyk,n!A132,n!B132,n!C132,n!D132)</f>
        <v>Wartości niematerialne i prawne o wartości początkowej od 0 PLN do 3500 PLN ujmowane są w ewidencji wartości niematerialnych prawnych i amortyzowane jednorazowo w miesiącu przekazania ich do użytkowania.</v>
      </c>
      <c r="D89" s="741"/>
      <c r="E89" s="741"/>
      <c r="F89" s="741"/>
      <c r="G89" s="741"/>
      <c r="H89" s="741"/>
      <c r="I89" s="741"/>
      <c r="J89" s="741"/>
      <c r="L89" s="81"/>
    </row>
    <row r="90" spans="2:29" ht="12.75" customHeight="1">
      <c r="L90" s="90" t="s">
        <v>4493</v>
      </c>
      <c r="M90" s="90"/>
      <c r="N90" s="91">
        <v>1000</v>
      </c>
      <c r="O90" s="90" t="s">
        <v>4495</v>
      </c>
      <c r="AC90" s="92">
        <v>0</v>
      </c>
    </row>
    <row r="91" spans="2:29" ht="12.75" customHeight="1">
      <c r="C91" s="89" t="str">
        <f>CHOOSE(jezyk,n!A133,n!B133,n!C133,n!D133)</f>
        <v>Środki trwałe</v>
      </c>
      <c r="L91" s="90" t="s">
        <v>5595</v>
      </c>
      <c r="N91" s="91">
        <v>10000</v>
      </c>
      <c r="O91" s="90" t="s">
        <v>4495</v>
      </c>
      <c r="AC91" s="72" t="str">
        <f>SUBSTITUTE(TEXT(N90,"# ##0,00")," ",".")</f>
        <v>1.000,00</v>
      </c>
    </row>
    <row r="92" spans="2:29" ht="12.75" customHeight="1">
      <c r="AC92" s="72">
        <v>3500</v>
      </c>
    </row>
    <row r="93" spans="2:29" ht="38.25" customHeight="1">
      <c r="C93" s="741" t="str">
        <f>CHOOSE(jezyk,n!A134,n!B134,n!C134,n!D134)</f>
        <v xml:space="preserve">Środki trwałe ujmuje się w cenach nabycia lub kosztach wytworzenia pomniejszonych o dokonane odpisy amortyzacyjne. Cena nabycia obejmuje cenę zakupu oraz inne wydatki związane z nabyciem oraz przystosowaniem danego środka trwałego do użytkowania. </v>
      </c>
      <c r="D93" s="741"/>
      <c r="E93" s="741"/>
      <c r="F93" s="741"/>
      <c r="G93" s="741"/>
      <c r="H93" s="741"/>
      <c r="I93" s="741"/>
      <c r="J93" s="741"/>
    </row>
    <row r="94" spans="2:29" ht="25.35" customHeight="1">
      <c r="C94" s="741" t="str">
        <f>CHOOSE(jezyk,n!A135,n!B135,n!C135,n!D135)</f>
        <v>Środki trwałe o wartości początkowej od 0 PLN do 3500 PLN ujmowane są w ewidencji środków trwałych i amortyzowane jednorazowo w miesiącu oddania do użytkowania.</v>
      </c>
      <c r="D94" s="741"/>
      <c r="E94" s="741"/>
      <c r="F94" s="741"/>
      <c r="G94" s="741"/>
      <c r="H94" s="741"/>
      <c r="I94" s="741"/>
      <c r="J94" s="741"/>
      <c r="L94" s="81" t="s">
        <v>4494</v>
      </c>
    </row>
    <row r="95" spans="2:29" ht="12.75" customHeight="1">
      <c r="L95" s="90" t="s">
        <v>4493</v>
      </c>
      <c r="N95" s="91">
        <v>1000</v>
      </c>
      <c r="O95" s="90" t="s">
        <v>4496</v>
      </c>
      <c r="AC95" s="92">
        <v>0</v>
      </c>
    </row>
    <row r="96" spans="2:29" ht="12.75" customHeight="1">
      <c r="C96" s="89" t="str">
        <f>CHOOSE(jezyk,n!A136,n!B136,n!C136,n!D136)</f>
        <v>Amortyzacja</v>
      </c>
      <c r="L96" s="90" t="s">
        <v>5595</v>
      </c>
      <c r="N96" s="93">
        <v>10000</v>
      </c>
      <c r="O96" s="94" t="s">
        <v>4496</v>
      </c>
      <c r="AC96" s="92">
        <v>3500</v>
      </c>
    </row>
    <row r="98" spans="3:14" ht="79.150000000000006" customHeight="1">
      <c r="C98" s="741" t="str">
        <f>CHOOSE(jezyk,n!A137,n!B137,n!C137,n!D137)</f>
        <v>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v>
      </c>
      <c r="D98" s="741"/>
      <c r="E98" s="741"/>
      <c r="F98" s="741"/>
      <c r="G98" s="741"/>
      <c r="H98" s="741"/>
      <c r="I98" s="741"/>
      <c r="J98" s="741"/>
    </row>
    <row r="100" spans="3:14">
      <c r="C100" s="741" t="str">
        <f>IF(N100="liniowa",CHOOSE(jezyk,n!A139,n!B139,n!C139,n!D139),CHOOSE(jezyk,n!A140,n!B140,n!C140,n!D140))</f>
        <v>Środki trwałe o wartości powyżej 3500 PLN amortyzowane są metodą liniową.</v>
      </c>
      <c r="D100" s="741"/>
      <c r="E100" s="741"/>
      <c r="F100" s="741"/>
      <c r="G100" s="741"/>
      <c r="H100" s="741"/>
      <c r="I100" s="741"/>
      <c r="J100" s="741"/>
      <c r="L100" s="90" t="s">
        <v>6779</v>
      </c>
      <c r="M100" s="90"/>
      <c r="N100" s="90" t="s">
        <v>6780</v>
      </c>
    </row>
    <row r="101" spans="3:14" hidden="1">
      <c r="C101" s="741"/>
      <c r="D101" s="741"/>
      <c r="E101" s="741"/>
      <c r="F101" s="741"/>
      <c r="G101" s="741"/>
      <c r="H101" s="741"/>
      <c r="I101" s="741"/>
      <c r="J101" s="741"/>
    </row>
    <row r="102" spans="3:14" hidden="1">
      <c r="C102" s="741"/>
      <c r="D102" s="741"/>
      <c r="E102" s="741"/>
      <c r="F102" s="741"/>
      <c r="G102" s="741"/>
      <c r="H102" s="741"/>
      <c r="I102" s="741"/>
      <c r="J102" s="741"/>
      <c r="L102" s="94" t="s">
        <v>2968</v>
      </c>
    </row>
    <row r="104" spans="3:14" ht="51" customHeight="1">
      <c r="C104" s="741" t="str">
        <f>CHOOSE(jezyk,n!A142,n!B142,n!C142,n!D142)</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D104" s="741"/>
      <c r="E104" s="741"/>
      <c r="F104" s="741"/>
      <c r="G104" s="741"/>
      <c r="H104" s="741"/>
      <c r="I104" s="741"/>
      <c r="J104" s="741"/>
      <c r="L104" s="81"/>
      <c r="N104" s="92"/>
    </row>
    <row r="106" spans="3:14" ht="12.75" customHeight="1">
      <c r="C106" s="743" t="str">
        <f>IF(GA!F67&lt;&gt;"nie",CHOOSE(jezyk,n!A145,n!B145,n!C145,n!D145),CHOOSE(jezyk,n!A146,n!B146,n!C146,n!D146))</f>
        <v xml:space="preserve">Oddział stosuje następujące roczne stawki amortyzacyjne: </v>
      </c>
      <c r="D106" s="743"/>
      <c r="E106" s="743"/>
      <c r="F106" s="743"/>
      <c r="G106" s="743"/>
      <c r="H106" s="743"/>
      <c r="I106" s="743"/>
      <c r="J106" s="743"/>
    </row>
    <row r="108" spans="3:14" ht="12.75" customHeight="1">
      <c r="C108" s="743" t="str">
        <f>CHOOSE(jezyk,n!A147,n!B147,n!C147,n!D147)</f>
        <v>Środki trwałe - Stawki amortyzacyjne</v>
      </c>
      <c r="D108" s="743"/>
      <c r="E108" s="743"/>
      <c r="F108" s="743"/>
      <c r="G108" s="743"/>
      <c r="H108" s="743"/>
      <c r="I108" s="743"/>
      <c r="J108" s="743"/>
    </row>
    <row r="109" spans="3:14" ht="12.75" customHeight="1">
      <c r="C109" s="741" t="str">
        <f>CHOOSE(jezyk,n!A148,n!B148,n!C148,n!D148)</f>
        <v>Budynki, lokale, prawa do lokali i obiekty inżynierii lądowej i wodnej - 1,5% - 4,5%</v>
      </c>
      <c r="D109" s="741"/>
      <c r="E109" s="741"/>
      <c r="F109" s="741"/>
      <c r="G109" s="741"/>
      <c r="H109" s="741"/>
      <c r="I109" s="741"/>
      <c r="J109" s="741"/>
    </row>
    <row r="110" spans="3:14" ht="12.75" customHeight="1">
      <c r="C110" s="741" t="str">
        <f>CHOOSE(jezyk,n!A149,n!B149,n!C149,n!D149)</f>
        <v>Urządzenia techniczne i maszyny -14% - 30%</v>
      </c>
      <c r="D110" s="741"/>
      <c r="E110" s="741"/>
      <c r="F110" s="741"/>
      <c r="G110" s="741"/>
      <c r="H110" s="741"/>
      <c r="I110" s="741"/>
      <c r="J110" s="741"/>
    </row>
    <row r="111" spans="3:14" ht="12.75" customHeight="1">
      <c r="C111" s="741" t="str">
        <f>CHOOSE(jezyk,n!A150,n!B150,n!C150,n!D150)</f>
        <v>Środki transportu - 20%</v>
      </c>
      <c r="D111" s="741"/>
      <c r="E111" s="741"/>
      <c r="F111" s="741"/>
      <c r="G111" s="741"/>
      <c r="H111" s="741"/>
      <c r="I111" s="741"/>
      <c r="J111" s="741"/>
    </row>
    <row r="112" spans="3:14" ht="12.75" customHeight="1">
      <c r="C112" s="741" t="str">
        <f>CHOOSE(jezyk,n!A151,n!B151,n!C151,n!D151)</f>
        <v>Pozostałe środki trwałe - 7% - 50%</v>
      </c>
      <c r="D112" s="741"/>
      <c r="E112" s="741"/>
      <c r="F112" s="741"/>
      <c r="G112" s="741"/>
      <c r="H112" s="741"/>
      <c r="I112" s="741"/>
      <c r="J112" s="741"/>
    </row>
    <row r="113" spans="1:24" ht="12.75" customHeight="1">
      <c r="C113" s="743"/>
      <c r="D113" s="743"/>
      <c r="E113" s="743"/>
      <c r="F113" s="743"/>
      <c r="G113" s="743"/>
      <c r="H113" s="743"/>
      <c r="I113" s="743"/>
      <c r="J113" s="743"/>
    </row>
    <row r="114" spans="1:24" ht="12.75" customHeight="1">
      <c r="C114" s="743" t="str">
        <f>CHOOSE(jezyk,n!A153,n!B153,n!C153,n!D153)</f>
        <v>Wartości niematerialne i prawne - Stawki amortyzacyjne</v>
      </c>
      <c r="D114" s="743"/>
      <c r="E114" s="743"/>
      <c r="F114" s="743"/>
      <c r="G114" s="743"/>
      <c r="H114" s="743"/>
      <c r="I114" s="743"/>
      <c r="J114" s="743"/>
    </row>
    <row r="115" spans="1:24" ht="12.75" customHeight="1">
      <c r="C115" s="741" t="str">
        <f>CHOOSE(jezyk,n!A154,n!B154,n!C154,n!D154)</f>
        <v>Licencje - 20% - 50%</v>
      </c>
      <c r="D115" s="741"/>
      <c r="E115" s="741"/>
      <c r="F115" s="741"/>
      <c r="G115" s="741"/>
      <c r="H115" s="741"/>
      <c r="I115" s="741"/>
      <c r="J115" s="741"/>
    </row>
    <row r="116" spans="1:24" ht="12.75" customHeight="1">
      <c r="C116" s="741" t="str">
        <f>CHOOSE(jezyk,n!A155,n!B155,n!C155,n!D155)</f>
        <v>Oprogramowanie- 20% - 50%</v>
      </c>
      <c r="D116" s="741"/>
      <c r="E116" s="741"/>
      <c r="F116" s="741"/>
      <c r="G116" s="741"/>
      <c r="H116" s="741"/>
      <c r="I116" s="741"/>
      <c r="J116" s="741"/>
    </row>
    <row r="117" spans="1:24" ht="12.75" customHeight="1">
      <c r="C117" s="395"/>
      <c r="D117" s="395"/>
      <c r="E117" s="395"/>
      <c r="F117" s="395"/>
      <c r="G117" s="395"/>
      <c r="H117" s="395"/>
      <c r="I117" s="395"/>
      <c r="J117" s="395"/>
      <c r="L117" s="72"/>
    </row>
    <row r="118" spans="1:24" ht="12.75" customHeight="1">
      <c r="C118" s="744" t="str">
        <f>CHOOSE(jezyk,n!A156,n!B156,n!C156,n!D156)</f>
        <v>Ujmowanie leasingu</v>
      </c>
      <c r="D118" s="744"/>
      <c r="E118" s="744"/>
      <c r="F118" s="744"/>
      <c r="G118" s="744"/>
      <c r="H118" s="744"/>
      <c r="I118" s="744"/>
      <c r="J118" s="744"/>
      <c r="L118" s="72"/>
    </row>
    <row r="119" spans="1:24" ht="12.75" customHeight="1">
      <c r="C119" s="692"/>
      <c r="D119" s="692"/>
      <c r="E119" s="692"/>
      <c r="F119" s="692"/>
      <c r="G119" s="692"/>
      <c r="H119" s="692"/>
      <c r="I119" s="692"/>
      <c r="J119" s="692"/>
      <c r="L119" s="72"/>
    </row>
    <row r="120" spans="1:24" ht="51" customHeight="1">
      <c r="C120" s="741" t="str">
        <f>IF(GA!F67="nie",CHOOSE(jezyk,n!A143,n!B143,n!C143,n!D143),CHOOSE(jezyk,n!A144,n!B144,n!C144,n!D144))</f>
        <v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v>
      </c>
      <c r="D120" s="741"/>
      <c r="E120" s="741"/>
      <c r="F120" s="741"/>
      <c r="G120" s="741"/>
      <c r="H120" s="741"/>
      <c r="I120" s="741"/>
      <c r="J120" s="741"/>
      <c r="L120" s="81" t="s">
        <v>5551</v>
      </c>
    </row>
    <row r="121" spans="1:24">
      <c r="C121" s="395"/>
      <c r="D121" s="395"/>
      <c r="E121" s="395"/>
      <c r="F121" s="395"/>
      <c r="G121" s="395"/>
      <c r="H121" s="395"/>
      <c r="I121" s="395"/>
      <c r="J121" s="395"/>
      <c r="L121" s="90"/>
    </row>
    <row r="122" spans="1:24" ht="25.5" hidden="1" customHeight="1">
      <c r="A122" s="753"/>
      <c r="C122" s="741" t="str">
        <f>IF(GA!F67="nie",CHOOSE(jezyk,n!A157,n!B157,n!C157,n!D157),CHOOSE(jezyk,n!A158,n!B158,n!C158,n!D158))</f>
        <v>Spółka kwalifikuje umowy leasingowe oraz inne umowy o podobnym charakterze zgodnie z art. 3 ust. 4-5 UoR i nie korzysta z uproszczeń.</v>
      </c>
      <c r="D122" s="741"/>
      <c r="E122" s="741"/>
      <c r="F122" s="741"/>
      <c r="G122" s="741"/>
      <c r="H122" s="741"/>
      <c r="I122" s="741"/>
      <c r="J122" s="741"/>
      <c r="L122" s="81" t="s">
        <v>5552</v>
      </c>
    </row>
    <row r="123" spans="1:24" ht="12.75" hidden="1" customHeight="1">
      <c r="A123" s="753"/>
    </row>
    <row r="124" spans="1:24" ht="12.75" customHeight="1">
      <c r="C124" s="89" t="str">
        <f>CHOOSE(jezyk,n!A159,n!B159,n!C159,n!D159)</f>
        <v>Materiały</v>
      </c>
    </row>
    <row r="126" spans="1:24" ht="39.75" customHeight="1">
      <c r="C126" s="741" t="str">
        <f>CHOOSE(jezyk,n!A160,n!B160,n!C160,n!D160)</f>
        <v>Materiały wykazywane są według cen nabycia, nie wyższych od cen ich sprzedaży na dzień bilansowy. Korektę wyceny do ceny sprzedaży na dzień bilansowy dokonuje się poprzez dokonanie odpisu aktualizującego.</v>
      </c>
      <c r="D126" s="741"/>
      <c r="E126" s="741"/>
      <c r="F126" s="741"/>
      <c r="G126" s="741"/>
      <c r="H126" s="741"/>
      <c r="I126" s="741"/>
      <c r="J126" s="741"/>
      <c r="O126" s="90"/>
    </row>
    <row r="127" spans="1:24" ht="38.25" customHeight="1">
      <c r="C127" s="741" t="str">
        <f>CHOOSE(jezyk,n!A161,n!B161,n!C161,n!D161)</f>
        <v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v>
      </c>
      <c r="D127" s="741"/>
      <c r="E127" s="741"/>
      <c r="F127" s="741"/>
      <c r="G127" s="741"/>
      <c r="H127" s="741"/>
      <c r="I127" s="741"/>
      <c r="J127" s="741"/>
      <c r="O127" s="746"/>
      <c r="P127" s="746"/>
      <c r="Q127" s="741"/>
      <c r="R127" s="741"/>
      <c r="S127" s="741"/>
      <c r="T127" s="741"/>
      <c r="U127" s="741"/>
      <c r="V127" s="741"/>
      <c r="W127" s="741"/>
      <c r="X127" s="741"/>
    </row>
    <row r="128" spans="1:24" ht="12.75" customHeight="1">
      <c r="O128" s="84"/>
      <c r="P128" s="84"/>
      <c r="Q128" s="741"/>
      <c r="R128" s="741"/>
      <c r="S128" s="741"/>
      <c r="T128" s="741"/>
      <c r="U128" s="741"/>
      <c r="V128" s="741"/>
      <c r="W128" s="741"/>
      <c r="X128" s="741"/>
    </row>
    <row r="129" spans="1:24" ht="25.5" customHeight="1">
      <c r="C129" s="741" t="str">
        <f>IF(L130="ilościowo-wartościowa",CHOOSE(jezyk,n!A162,n!B162,n!C162,n!D162),IF(L130="wartościowa",CHOOSE(jezyk,n!A163,n!B163,n!C163,n!D163),CHOOSE(jezyk,n!A164,n!B164,n!C164,n!D164)))</f>
        <v>Zakupione materiały ujmowane są w księgach pomocniczych w postaci ewidencji ilościowo - wartościowej.</v>
      </c>
      <c r="D129" s="741"/>
      <c r="E129" s="741"/>
      <c r="F129" s="741"/>
      <c r="G129" s="741"/>
      <c r="H129" s="741"/>
      <c r="I129" s="741"/>
      <c r="J129" s="741"/>
      <c r="L129" s="81" t="s">
        <v>5593</v>
      </c>
      <c r="O129" s="746"/>
      <c r="P129" s="746"/>
      <c r="Q129" s="278"/>
      <c r="R129" s="278"/>
      <c r="S129" s="278"/>
      <c r="T129" s="278"/>
      <c r="U129" s="278"/>
      <c r="V129" s="278"/>
      <c r="W129" s="278"/>
      <c r="X129" s="278"/>
    </row>
    <row r="130" spans="1:24" ht="25.35" customHeight="1">
      <c r="C130" s="741" t="str">
        <f>CHOOSE(jezyk,n!A165,n!B165,n!C165,n!D165)</f>
        <v>Zakupione materiały, dla których nie prowadzi się ewidencji magazynowej, podlegają inwentaryzacji metodą spisu z natury na koniec roku obrotowego.</v>
      </c>
      <c r="D130" s="741"/>
      <c r="E130" s="741"/>
      <c r="F130" s="741"/>
      <c r="G130" s="741"/>
      <c r="H130" s="741"/>
      <c r="I130" s="741"/>
      <c r="J130" s="741"/>
      <c r="L130" s="81" t="s">
        <v>5592</v>
      </c>
      <c r="O130" s="84"/>
      <c r="P130" s="84"/>
      <c r="Q130" s="278"/>
      <c r="R130" s="278"/>
      <c r="S130" s="278"/>
      <c r="T130" s="278"/>
      <c r="U130" s="278"/>
      <c r="V130" s="278"/>
      <c r="W130" s="278"/>
      <c r="X130" s="278"/>
    </row>
    <row r="131" spans="1:24" ht="41.25" customHeight="1">
      <c r="C131" s="741" t="str">
        <f>CHOOSE(jezyk,n!A168,n!B168,n!C168,n!D168)</f>
        <v>O przydatności lub cechach użytkowych zapasów materiałów w celu ustalenia konieczności dokonania (lub nie) odpisów aktualizujących decyduje każdorazowo kierownik jednostki podczas inwentaryzacji rocznej.</v>
      </c>
      <c r="D131" s="741"/>
      <c r="E131" s="741"/>
      <c r="F131" s="741"/>
      <c r="G131" s="741"/>
      <c r="H131" s="741"/>
      <c r="I131" s="741"/>
      <c r="J131" s="741"/>
      <c r="L131" s="72"/>
    </row>
    <row r="133" spans="1:24" ht="12.75" customHeight="1">
      <c r="C133" s="89" t="str">
        <f>CHOOSE(jezyk,n!A169,n!B169,n!C169,n!D169)</f>
        <v xml:space="preserve">Towary handlowe </v>
      </c>
    </row>
    <row r="134" spans="1:24" ht="12.75" customHeight="1">
      <c r="O134" s="90"/>
    </row>
    <row r="135" spans="1:24" ht="38.25" customHeight="1">
      <c r="C135" s="741" t="str">
        <f>CHOOSE(jezyk,n!A170,n!B170,n!C170,n!D170)</f>
        <v>Towary handlowe wykazywane są według cen nabycia, nie wyższych od cen ich sprzedaży na dzień bilansowy. Korektę wyceny do ceny sprzedaży na dzień bilansowy dokonuje się poprzez dokonanie odpisu aktualizującego.</v>
      </c>
      <c r="D135" s="741"/>
      <c r="E135" s="741"/>
      <c r="F135" s="741"/>
      <c r="G135" s="741"/>
      <c r="H135" s="741"/>
      <c r="I135" s="741"/>
      <c r="J135" s="741"/>
      <c r="O135" s="746"/>
      <c r="P135" s="746"/>
      <c r="Q135" s="741"/>
      <c r="R135" s="741"/>
      <c r="S135" s="741"/>
      <c r="T135" s="741"/>
      <c r="U135" s="741"/>
      <c r="V135" s="741"/>
      <c r="W135" s="741"/>
      <c r="X135" s="741"/>
    </row>
    <row r="136" spans="1:24" ht="51" customHeight="1">
      <c r="C136" s="741" t="str">
        <f>CHOOSE(jezyk,n!A171,n!B171,n!C171,n!D171)</f>
        <v>Cena nabycia obejmuje cenę zakupu oraz inne wydatki związane z nabyciem towarów. Jeżeli wydatki związane z nabyciem towarów (np. koszty transportu, ubezpieczenia) nie są istotne, towary wycenia się według cen zakupu, nie wyższych od cen ich sprzedaży na dzień bilansowy.</v>
      </c>
      <c r="D136" s="741"/>
      <c r="E136" s="741"/>
      <c r="F136" s="741"/>
      <c r="G136" s="741"/>
      <c r="H136" s="741"/>
      <c r="I136" s="741"/>
      <c r="J136" s="741"/>
      <c r="O136" s="84"/>
      <c r="P136" s="84"/>
      <c r="Q136" s="741"/>
      <c r="R136" s="741"/>
      <c r="S136" s="741"/>
      <c r="T136" s="741"/>
      <c r="U136" s="741"/>
      <c r="V136" s="741"/>
      <c r="W136" s="741"/>
      <c r="X136" s="741"/>
    </row>
    <row r="137" spans="1:24" ht="26.25" customHeight="1">
      <c r="C137" s="741" t="str">
        <f>IF(L138="ilościowo-wartościowa",CHOOSE(jezyk,n!A172,n!B172,n!C172,n!D172),IF(L138="ilościowa",CHOOSE(jezyk,n!A173,n!B173,n!C173,n!D173),IF(L138="wartościowa",CHOOSE(jezyk,n!A174,n!B174,n!C174,n!D174),CHOOSE(jezyk,n!A175,n!B175,n!C175,n!D175))))</f>
        <v>Zakupione towary handlowe ujmowane są w księgach pomocniczych w postaci ewidencji ilościowo-wartościowej.</v>
      </c>
      <c r="D137" s="741"/>
      <c r="E137" s="741"/>
      <c r="F137" s="741"/>
      <c r="G137" s="741"/>
      <c r="H137" s="741"/>
      <c r="I137" s="741"/>
      <c r="J137" s="741"/>
      <c r="L137" s="81" t="s">
        <v>5594</v>
      </c>
      <c r="O137" s="746"/>
      <c r="P137" s="746"/>
      <c r="Q137" s="741"/>
      <c r="R137" s="741"/>
      <c r="S137" s="741"/>
      <c r="T137" s="741"/>
      <c r="U137" s="741"/>
      <c r="V137" s="741"/>
      <c r="W137" s="741"/>
      <c r="X137" s="741"/>
    </row>
    <row r="138" spans="1:24" ht="42" customHeight="1">
      <c r="C138" s="741" t="str">
        <f>CHOOSE(jezyk,n!A176,n!B176,n!C176,n!D176)</f>
        <v>Zakupione towary handlowe, dla których nie prowadzi się ewidencji magazynowej, podlegają inwentaryzacji metodą spisu z natury na koniec każdego miesiąca, na koniec każdego kwartału, na koniec roku obrotowego.</v>
      </c>
      <c r="D138" s="741"/>
      <c r="E138" s="741"/>
      <c r="F138" s="741"/>
      <c r="G138" s="741"/>
      <c r="H138" s="741"/>
      <c r="I138" s="741"/>
      <c r="J138" s="741"/>
      <c r="L138" s="81" t="s">
        <v>5592</v>
      </c>
      <c r="O138" s="84"/>
      <c r="P138" s="84"/>
      <c r="Q138" s="741"/>
      <c r="R138" s="741"/>
      <c r="S138" s="741"/>
      <c r="T138" s="741"/>
      <c r="U138" s="741"/>
      <c r="V138" s="741"/>
      <c r="W138" s="741"/>
      <c r="X138" s="741"/>
    </row>
    <row r="140" spans="1:24" ht="25.5" customHeight="1">
      <c r="A140" s="753"/>
      <c r="C140" s="741" t="str">
        <f>CHOOSE(jezyk,n!A179,n!B179,n!C179,n!D179)</f>
        <v>Cenę nabycia towarów spełniających warunki zaliczania ich do aktywów nie zwiększa się o koszty obsługi zobowiązań zaciągniętych w celu finansowania zapasu towarów.</v>
      </c>
      <c r="D140" s="741"/>
      <c r="E140" s="741"/>
      <c r="F140" s="741"/>
      <c r="G140" s="741"/>
      <c r="H140" s="741"/>
      <c r="I140" s="741"/>
      <c r="J140" s="741"/>
    </row>
    <row r="141" spans="1:24">
      <c r="A141" s="753"/>
      <c r="C141" s="743"/>
      <c r="D141" s="743"/>
      <c r="E141" s="743"/>
      <c r="F141" s="743"/>
      <c r="G141" s="743"/>
      <c r="H141" s="743"/>
      <c r="I141" s="743"/>
      <c r="J141" s="743"/>
    </row>
    <row r="142" spans="1:24" ht="39.75" customHeight="1">
      <c r="C142" s="741" t="str">
        <f>CHOOSE(jezyk,n!A180,n!B180,n!C180,n!D180)</f>
        <v>O przydatności lub cechach użytkowych zapasów towarów w celu ustalenia konieczności dokonania (lub nie) odpisów aktualizujących decyduje każdorazowo kierownik jednostki podczas inwentaryzacji rocznej.</v>
      </c>
      <c r="D142" s="741"/>
      <c r="E142" s="741"/>
      <c r="F142" s="741"/>
      <c r="G142" s="741"/>
      <c r="H142" s="741"/>
      <c r="I142" s="741"/>
      <c r="J142" s="741"/>
    </row>
    <row r="144" spans="1:24" ht="12.75" customHeight="1">
      <c r="C144" s="89" t="str">
        <f>CHOOSE(jezyk,n!A181,n!B181,n!C181,n!D181)</f>
        <v>Wyroby gotowe</v>
      </c>
    </row>
    <row r="146" spans="3:12" ht="25.5" customHeight="1">
      <c r="C146" s="741" t="str">
        <f>IF(L147="ilościowo-wartościowa",CHOOSE(jezyk,n!A182,n!B182,n!C182,n!D182),IF(L147="ilościowa",CHOOSE(jezyk,n!A183,n!B183,n!C183,n!D183),IF(L147="wartościowa",CHOOSE(jezyk,n!A184,n!B184,n!C184,n!D184),CHOOSE(jezyk,n!A185,n!B185,n!C185,n!D185))))</f>
        <v>Wytworzone wyroby gotowe ujmowane są w księgach pomocniczych w postaci ewidencji ilościowo-wartościowej.</v>
      </c>
      <c r="D146" s="741"/>
      <c r="E146" s="741"/>
      <c r="F146" s="741"/>
      <c r="G146" s="741"/>
      <c r="H146" s="741"/>
      <c r="I146" s="741"/>
      <c r="J146" s="741"/>
      <c r="L146" s="81" t="s">
        <v>5835</v>
      </c>
    </row>
    <row r="147" spans="3:12" ht="29.25" customHeight="1">
      <c r="C147" s="741" t="str">
        <f>CHOOSE(jezyk,n!A186,n!B186,n!C186,n!D186)</f>
        <v xml:space="preserve">Wytworzone wyroby gotowe, dla których nie prowadzi się ewidencji magazynowej, podlegają inwentaryzacji metodą spisu z natury na koniec każdego miesiąca. </v>
      </c>
      <c r="D147" s="741"/>
      <c r="E147" s="741"/>
      <c r="F147" s="741"/>
      <c r="G147" s="741"/>
      <c r="H147" s="741"/>
      <c r="I147" s="741"/>
      <c r="J147" s="741"/>
      <c r="L147" s="81" t="s">
        <v>5592</v>
      </c>
    </row>
    <row r="148" spans="3:12" ht="39" customHeight="1">
      <c r="C148" s="741" t="str">
        <f>CHOOSE(jezyk,n!A187,n!B187,n!C187,n!D187)</f>
        <v>Wytworzone wyroby gotowe wyceniane są wg planowych kosztów wytworzenia wtedy, gdy różnica między planowanym kosztem wytworzenia a kosztem rzeczywistym nie jest znaczna.</v>
      </c>
      <c r="D148" s="741"/>
      <c r="E148" s="741"/>
      <c r="F148" s="741"/>
      <c r="G148" s="741"/>
      <c r="H148" s="741"/>
      <c r="I148" s="741"/>
      <c r="J148" s="741"/>
    </row>
    <row r="149" spans="3:12" ht="39.75" customHeight="1">
      <c r="C149" s="741" t="str">
        <f>IF(GA!F67="nie",CHOOSE(jezyk,n!A188,n!B188,n!C188,n!D188),CHOOSE(jezyk,n!A189,n!B189,n!C189,n!D189))</f>
        <v xml:space="preserve">Spółka ustala koszt wytworzenia produktów poprzez doliczenie do kosztów bezpośrednich uzasadnionych kosztów pośrednich związanych z wytworzeniem tego produktu, niezależnie od poziomu wykorzystania zdolności produkcyjnych. </v>
      </c>
      <c r="D149" s="741"/>
      <c r="E149" s="741"/>
      <c r="F149" s="741"/>
      <c r="G149" s="741"/>
      <c r="H149" s="741"/>
      <c r="I149" s="741"/>
      <c r="J149" s="741"/>
    </row>
    <row r="151" spans="3:12" ht="39.75" customHeight="1">
      <c r="C151" s="741" t="str">
        <f>CHOOSE(jezyk,n!A190,n!B190,n!C190,n!D190)</f>
        <v>Koszt wytworzenia wyrobów spełniających warunki zaliczania ich do aktywów nie zwiększa się o koszty obsługi zobowiązań zaciągniętych w celu finansowania produktów w okresie ich wytworzenia.</v>
      </c>
      <c r="D151" s="741"/>
      <c r="E151" s="741"/>
      <c r="F151" s="741"/>
      <c r="G151" s="741"/>
      <c r="H151" s="741"/>
      <c r="I151" s="741"/>
      <c r="J151" s="741"/>
    </row>
    <row r="152" spans="3:12" ht="12.75" customHeight="1">
      <c r="C152" s="746"/>
      <c r="D152" s="746"/>
      <c r="E152" s="746"/>
      <c r="F152" s="746"/>
      <c r="G152" s="746"/>
      <c r="H152" s="746"/>
      <c r="I152" s="746"/>
      <c r="J152" s="746"/>
    </row>
    <row r="153" spans="3:12" ht="40.5" customHeight="1">
      <c r="C153" s="741" t="str">
        <f>CHOOSE(jezyk,n!A191,n!B191,n!C191,n!D191)</f>
        <v>O przydatności lub cechach użytkowych zapasów produktów w celu ustalenia konieczności dokonania (lub nie) odpisów aktualizujących decyduje każdorazowo kierownik jednostki podczas inwentaryzacji rocznej.</v>
      </c>
      <c r="D153" s="741"/>
      <c r="E153" s="741"/>
      <c r="F153" s="741"/>
      <c r="G153" s="741"/>
      <c r="H153" s="741"/>
      <c r="I153" s="741"/>
      <c r="J153" s="741"/>
    </row>
    <row r="155" spans="3:12" ht="12.75" customHeight="1">
      <c r="C155" s="89" t="str">
        <f>CHOOSE(jezyk,n!A192,n!B192,n!C192,n!D192)</f>
        <v xml:space="preserve">Produkcja w toku </v>
      </c>
    </row>
    <row r="157" spans="3:12" ht="27" customHeight="1">
      <c r="C157" s="741" t="str">
        <f>CHOOSE(jezyk,n!A193,n!B193,n!C193,n!D193)</f>
        <v>Produkcję w toku wykazuje się w sprawozdaniu finansowym w wysokości bezpośrednich kosztów wytworzenia. Wartość produkcji w toku ustala się na podstawie inwentaryzacji.</v>
      </c>
      <c r="D157" s="741"/>
      <c r="E157" s="741"/>
      <c r="F157" s="741"/>
      <c r="G157" s="741"/>
      <c r="H157" s="741"/>
      <c r="I157" s="741"/>
      <c r="J157" s="741"/>
    </row>
    <row r="159" spans="3:12">
      <c r="C159" s="741" t="str">
        <f>CHOOSE(jezyk,n!A194,n!B194,n!C194,n!D194)</f>
        <v>Produkcja w toku, w tym z tytułu usług budowlanych, dotyczy w szczególności:</v>
      </c>
      <c r="D159" s="741"/>
      <c r="E159" s="741"/>
      <c r="F159" s="741"/>
      <c r="G159" s="741"/>
      <c r="H159" s="741"/>
      <c r="I159" s="741"/>
      <c r="J159" s="741"/>
    </row>
    <row r="160" spans="3:12">
      <c r="C160" s="741" t="str">
        <f>CHOOSE(jezyk,n!A195,n!B195,n!C195,n!D195)</f>
        <v>- usług (robót) już rozpoczętych, ale jeszcze nieobjętych umową, gdyż negocjacje trwają, ale jest pewne, że umowa zostanie zawarta,</v>
      </c>
      <c r="D160" s="741"/>
      <c r="E160" s="741"/>
      <c r="F160" s="741"/>
      <c r="G160" s="741"/>
      <c r="H160" s="741"/>
      <c r="I160" s="741"/>
      <c r="J160" s="741"/>
    </row>
    <row r="161" spans="3:15" ht="12.75" customHeight="1">
      <c r="C161" s="741" t="str">
        <f>CHOOSE(jezyk,n!A196,n!B196,n!C196,n!D196)</f>
        <v>- usług, których realizacja ma nastąpić w okresie krótszym niż 6 miesięcy,</v>
      </c>
      <c r="D161" s="741"/>
      <c r="E161" s="741"/>
      <c r="F161" s="741"/>
      <c r="G161" s="741"/>
      <c r="H161" s="741"/>
      <c r="I161" s="741"/>
      <c r="J161" s="741"/>
    </row>
    <row r="162" spans="3:15" ht="29.25" customHeight="1">
      <c r="C162" s="741" t="str">
        <f>CHOOSE(jezyk,n!A197,n!B197,n!C197,n!D197)</f>
        <v>- usług, których realizacja ma trwać dłużej niż 6 miesięcy, ale ich wartość na dzień bilansowy nie wpływa istotnie na sytuację wykonawcy.</v>
      </c>
      <c r="D162" s="741"/>
      <c r="E162" s="741"/>
      <c r="F162" s="741"/>
      <c r="G162" s="741"/>
      <c r="H162" s="741"/>
      <c r="I162" s="741"/>
      <c r="J162" s="741"/>
    </row>
    <row r="163" spans="3:15" ht="12.75" customHeight="1">
      <c r="C163" s="99"/>
      <c r="D163" s="99"/>
      <c r="E163" s="99"/>
      <c r="F163" s="99"/>
      <c r="G163" s="99"/>
      <c r="H163" s="99"/>
      <c r="I163" s="99"/>
      <c r="J163" s="99"/>
      <c r="L163" s="72"/>
    </row>
    <row r="164" spans="3:15" ht="12.75" customHeight="1">
      <c r="C164" s="744" t="str">
        <f>CHOOSE(jezyk,n!A198,n!B198,n!C198,n!D198)</f>
        <v>Metodologia kalkulacji odpisów aktualizujących zapasy</v>
      </c>
      <c r="D164" s="744"/>
      <c r="E164" s="744"/>
      <c r="F164" s="744"/>
      <c r="G164" s="744"/>
      <c r="H164" s="744"/>
      <c r="I164" s="744"/>
      <c r="J164" s="744"/>
    </row>
    <row r="166" spans="3:15" ht="40.5" customHeight="1">
      <c r="C166" s="741" t="str">
        <f>CHOOSE(jezyk,n!A199,n!B199,n!C199,n!D199)</f>
        <v>Odpisy aktualizujące wartość zapasów dokonywane są raz do roku. Zapasy uznaje się za przeterminowane po dwóch latach od momentu przyjęcia ich do ewidencji księgowej i obejmuje się je 100% odpisem aktualizującym.</v>
      </c>
      <c r="D166" s="741"/>
      <c r="E166" s="741"/>
      <c r="F166" s="741"/>
      <c r="G166" s="741"/>
      <c r="H166" s="741"/>
      <c r="I166" s="741"/>
      <c r="J166" s="741"/>
    </row>
    <row r="167" spans="3:15" s="96" customFormat="1">
      <c r="C167" s="396"/>
      <c r="D167" s="396"/>
      <c r="E167" s="396"/>
      <c r="F167" s="396"/>
      <c r="G167" s="396"/>
      <c r="H167" s="396"/>
      <c r="I167" s="396"/>
      <c r="J167" s="396"/>
    </row>
    <row r="168" spans="3:15" ht="12.75" customHeight="1">
      <c r="C168" s="744" t="str">
        <f>CHOOSE(jezyk,n!A200,n!B200,n!C200,n!D200)</f>
        <v>Metoda wyceny rozchodu zapasów</v>
      </c>
      <c r="D168" s="744"/>
      <c r="E168" s="744"/>
      <c r="F168" s="744"/>
      <c r="G168" s="744"/>
      <c r="H168" s="744"/>
      <c r="I168" s="744"/>
      <c r="J168" s="744"/>
    </row>
    <row r="169" spans="3:15" ht="12.75" customHeight="1" thickBot="1">
      <c r="C169" s="692"/>
      <c r="D169" s="692"/>
      <c r="E169" s="692"/>
      <c r="F169" s="692"/>
      <c r="G169" s="692"/>
      <c r="H169" s="692"/>
      <c r="I169" s="692"/>
      <c r="J169" s="692"/>
    </row>
    <row r="170" spans="3:15" ht="12.75" customHeight="1" thickBot="1">
      <c r="C170" s="741" t="str">
        <f>IF(O170="FIFO",CHOOSE(jezyk,n!A201,n!B201,n!C201,n!D201),IF(O170="średnia-ważona",CHOOSE(jezyk,n!A202,n!B202,n!C202,n!D202),"Ukryj wiersze"))</f>
        <v>Dla potrzeb wyceny rozchodu zapasów wykorzystywana jest metoda FIFO.</v>
      </c>
      <c r="D170" s="741"/>
      <c r="E170" s="741"/>
      <c r="F170" s="741"/>
      <c r="G170" s="741"/>
      <c r="H170" s="741"/>
      <c r="I170" s="741"/>
      <c r="J170" s="741"/>
      <c r="L170" s="81" t="s">
        <v>5597</v>
      </c>
      <c r="M170" s="90"/>
      <c r="N170" s="90"/>
      <c r="O170" s="97" t="s">
        <v>6879</v>
      </c>
    </row>
    <row r="172" spans="3:15" ht="12.75" customHeight="1">
      <c r="C172" s="89" t="str">
        <f>CHOOSE(jezyk,n!A203,n!B203,n!C203,n!D203)</f>
        <v>Należności długoterminowe i krótkoterminowe</v>
      </c>
    </row>
    <row r="174" spans="3:15" ht="27" customHeight="1">
      <c r="C174" s="741" t="str">
        <f>CHOOSE(jezyk,n!A204,n!B204,n!C204,n!D204)</f>
        <v>Należności długoterminowe i krótkoterminowe wykazywane są w wartości netto (pomniejszonej o odpisy aktualizujące wartość należności).</v>
      </c>
      <c r="D174" s="741"/>
      <c r="E174" s="741"/>
      <c r="F174" s="741"/>
      <c r="G174" s="741"/>
      <c r="H174" s="741"/>
      <c r="I174" s="741"/>
      <c r="J174" s="741"/>
    </row>
    <row r="175" spans="3:15" ht="12.75" customHeight="1">
      <c r="C175" s="741"/>
      <c r="D175" s="741"/>
      <c r="E175" s="741"/>
      <c r="F175" s="741"/>
      <c r="G175" s="741"/>
      <c r="H175" s="741"/>
      <c r="I175" s="741"/>
      <c r="J175" s="741"/>
    </row>
    <row r="176" spans="3:15" ht="51" customHeight="1">
      <c r="C176" s="741" t="str">
        <f>CHOOSE(jezyk,n!A205,n!B205,n!C205,n!D205)</f>
        <v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v>
      </c>
      <c r="D176" s="741"/>
      <c r="E176" s="741"/>
      <c r="F176" s="741"/>
      <c r="G176" s="741"/>
      <c r="H176" s="741"/>
      <c r="I176" s="741"/>
      <c r="J176" s="741"/>
    </row>
    <row r="177" spans="3:13" ht="12.75" customHeight="1">
      <c r="C177" s="746"/>
      <c r="D177" s="746"/>
      <c r="E177" s="746"/>
      <c r="F177" s="746"/>
      <c r="G177" s="746"/>
      <c r="H177" s="746"/>
      <c r="I177" s="746"/>
      <c r="J177" s="746"/>
    </row>
    <row r="178" spans="3:13" ht="27" customHeight="1">
      <c r="C178" s="741" t="str">
        <f>CHOOSE(jezyk,n!A206,n!B206,n!C206,n!D206)</f>
        <v>Odpisów aktualizujących wartość należności nieprzeterminowanych, przeterminowanych, spornych i wątpliwych dokonuje się na podstawie decyzji kierownika jednostki.</v>
      </c>
      <c r="D178" s="741"/>
      <c r="E178" s="741"/>
      <c r="F178" s="741"/>
      <c r="G178" s="741"/>
      <c r="H178" s="741"/>
      <c r="I178" s="741"/>
      <c r="J178" s="741"/>
    </row>
    <row r="180" spans="3:13" ht="12.75" customHeight="1">
      <c r="C180" s="89" t="str">
        <f>CHOOSE(jezyk,n!A207,n!B207,n!C207,n!D207)</f>
        <v>Zobowiązania długoterminowe i krótkoterminowe</v>
      </c>
    </row>
    <row r="182" spans="3:13" ht="78.75" customHeight="1">
      <c r="C182" s="741" t="str">
        <f>CHOOSE(jezyk,n!A208,n!B208,n!C208,n!D208)</f>
        <v>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v>
      </c>
      <c r="D182" s="741"/>
      <c r="E182" s="741"/>
      <c r="F182" s="741"/>
      <c r="G182" s="741"/>
      <c r="H182" s="741"/>
      <c r="I182" s="741"/>
      <c r="J182" s="741"/>
    </row>
    <row r="184" spans="3:13" s="89" customFormat="1" ht="12.75" customHeight="1">
      <c r="C184" s="89" t="str">
        <f>CHOOSE(jezyk,n!A209,n!B209,n!C209,n!D209)</f>
        <v>Inwestycje krótkoterminowe</v>
      </c>
      <c r="L184" s="98"/>
      <c r="M184" s="72"/>
    </row>
    <row r="186" spans="3:13" ht="25.5" customHeight="1">
      <c r="C186" s="741" t="str">
        <f>CHOOSE(jezyk,n!A210,n!B210,n!C210,n!D210)</f>
        <v>Inwestycje krótkoterminowe w księgach na moment ich nabycia lub powstania wycenia się według cen zakupu lub nabycia.</v>
      </c>
      <c r="D186" s="741"/>
      <c r="E186" s="741"/>
      <c r="F186" s="741"/>
      <c r="G186" s="741"/>
      <c r="H186" s="741"/>
      <c r="I186" s="741"/>
      <c r="J186" s="741"/>
    </row>
    <row r="187" spans="3:13" ht="42" customHeight="1">
      <c r="C187" s="741" t="str">
        <f>CHOOSE(jezyk,n!A211,n!B211,n!C211,n!D211)</f>
        <v>Rozchód inwestycji jednakowych, których ceny nabycia są różne, wycenia się według metody FIFO. Ta zasada dotyczy również inwestycji uznanych za jednakowe, ze względu na podobieństwo rodzaju i przeznaczenie.</v>
      </c>
      <c r="D187" s="741"/>
      <c r="E187" s="741"/>
      <c r="F187" s="741"/>
      <c r="G187" s="741"/>
      <c r="H187" s="741"/>
      <c r="I187" s="741"/>
      <c r="J187" s="741"/>
    </row>
    <row r="188" spans="3:13" ht="12.75" customHeight="1">
      <c r="C188" s="746"/>
      <c r="D188" s="746"/>
      <c r="E188" s="746"/>
      <c r="F188" s="746"/>
      <c r="G188" s="746"/>
      <c r="H188" s="746"/>
      <c r="I188" s="746"/>
      <c r="J188" s="746"/>
      <c r="L188" s="72"/>
    </row>
    <row r="189" spans="3:13" ht="28.5" customHeight="1">
      <c r="C189" s="741" t="str">
        <f>CHOOSE(jezyk,n!A212,n!B212,n!C212,n!D212)</f>
        <v>Inwestycje krótkoterminowe na dzień bilansowy wyceniane są według ceny nabycia lub ceny rynkowej, w zależności od tego, która z nich jest mniejsza.</v>
      </c>
      <c r="D189" s="741"/>
      <c r="E189" s="741"/>
      <c r="F189" s="741"/>
      <c r="G189" s="741"/>
      <c r="H189" s="741"/>
      <c r="I189" s="741"/>
      <c r="J189" s="741"/>
    </row>
    <row r="190" spans="3:13" ht="12.75" customHeight="1">
      <c r="C190" s="746"/>
      <c r="D190" s="746"/>
      <c r="E190" s="746"/>
      <c r="F190" s="746"/>
      <c r="G190" s="746"/>
      <c r="H190" s="746"/>
      <c r="I190" s="746"/>
      <c r="J190" s="746"/>
    </row>
    <row r="191" spans="3:13" ht="53.25" customHeight="1">
      <c r="C191" s="741" t="str">
        <f>CHOOSE(jezyk,n!A213,n!B213,n!C213,n!D213)</f>
        <v>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v>
      </c>
      <c r="D191" s="741"/>
      <c r="E191" s="741"/>
      <c r="F191" s="741"/>
      <c r="G191" s="741"/>
      <c r="H191" s="741"/>
      <c r="I191" s="741"/>
      <c r="J191" s="741"/>
    </row>
    <row r="193" spans="3:15" ht="12.75" customHeight="1">
      <c r="C193" s="89" t="str">
        <f>CHOOSE(jezyk,n!A214,n!B214,n!C214,n!D214)</f>
        <v>Inwestycje długoterminowe</v>
      </c>
    </row>
    <row r="195" spans="3:15" ht="26.25" customHeight="1">
      <c r="C195" s="741" t="str">
        <f>CHOOSE(jezyk,n!A215,n!B215,n!C215,n!D215)</f>
        <v>Inwestycje długoterminowe w księgach na moment ich nabycia lub powstania wycenia się według cen nabycia.</v>
      </c>
      <c r="D195" s="741"/>
      <c r="E195" s="741"/>
      <c r="F195" s="741"/>
      <c r="G195" s="741"/>
      <c r="H195" s="741"/>
      <c r="I195" s="741"/>
      <c r="J195" s="741"/>
    </row>
    <row r="196" spans="3:15" ht="53.25" customHeight="1" thickBot="1">
      <c r="C196" s="741" t="str">
        <f>CHOOSE(jezyk,n!A216,n!B216,n!C216,n!D216)</f>
        <v>Rozchód inwestycji jednakowych, których ceny nabycia są różne, wycenia się według metody FIFO. Analogiczne zasady stosuje się do wyceny rozchodu inwestycji długoterminowych uznanych za jednakowe, ze względu na podobieństwo rodzaju i przeznaczenia.</v>
      </c>
      <c r="D196" s="741"/>
      <c r="E196" s="741"/>
      <c r="F196" s="741"/>
      <c r="G196" s="741"/>
      <c r="H196" s="741"/>
      <c r="I196" s="741"/>
      <c r="J196" s="741"/>
    </row>
    <row r="197" spans="3:15" ht="25.5" customHeight="1" thickBot="1">
      <c r="C197" s="741" t="str">
        <f>IF(O197=1,CHOOSE(jezyk,n!A217,n!B217,n!C217,n!D217),CHOOSE(jezyk,n!A218,n!B218,n!C218,n!D218))</f>
        <v xml:space="preserve">Inwestycje długoterminowe na dzień bilansowy wyceniane są według ceny nabycia, pomniejszonej o odpisy spowodowane trwałą utratą wartości. </v>
      </c>
      <c r="D197" s="741"/>
      <c r="E197" s="741"/>
      <c r="F197" s="741"/>
      <c r="G197" s="741"/>
      <c r="H197" s="741"/>
      <c r="I197" s="741"/>
      <c r="J197" s="741"/>
      <c r="L197" s="81" t="s">
        <v>6717</v>
      </c>
      <c r="M197" s="90"/>
      <c r="N197" s="90"/>
      <c r="O197" s="97">
        <v>1</v>
      </c>
    </row>
    <row r="198" spans="3:15" ht="12.75" customHeight="1">
      <c r="C198" s="743"/>
      <c r="D198" s="743"/>
      <c r="E198" s="743"/>
      <c r="F198" s="743"/>
      <c r="G198" s="743"/>
      <c r="H198" s="743"/>
      <c r="I198" s="743"/>
      <c r="J198" s="743"/>
    </row>
    <row r="199" spans="3:15" s="89" customFormat="1" ht="12.75" customHeight="1">
      <c r="C199" s="89" t="str">
        <f>CHOOSE(jezyk,n!A219,n!B219,n!C219,n!D219)</f>
        <v>Kontrakty na usługi i roboty o okresie realizacji nie dłuższym niż 6 miesięcy</v>
      </c>
      <c r="L199" s="98"/>
      <c r="M199" s="72"/>
    </row>
    <row r="201" spans="3:15" ht="42.75" customHeight="1">
      <c r="C201" s="741" t="str">
        <f>CHOOSE(jezyk,n!A220,n!B220,n!C220,n!D220)</f>
        <v xml:space="preserve">Kontrakty na usługi i roboty o okresie realizacji nie dłuższym niż 6 miesięcy ujmowane są w księgach do czasu zakończenia realizacji kontraktu w wysokości poniesionych kosztów bezpośrednich i prezentowane są jako roboty (usługi) w toku. </v>
      </c>
      <c r="D201" s="741"/>
      <c r="E201" s="741"/>
      <c r="F201" s="741"/>
      <c r="G201" s="741"/>
      <c r="H201" s="741"/>
      <c r="I201" s="741"/>
      <c r="J201" s="741"/>
    </row>
    <row r="202" spans="3:15" ht="54.75" customHeight="1">
      <c r="C202" s="741" t="str">
        <f>CHOOSE(jezyk,n!A221,n!B221,n!C221,n!D221)</f>
        <v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v>
      </c>
      <c r="D202" s="741"/>
      <c r="E202" s="741"/>
      <c r="F202" s="741"/>
      <c r="G202" s="741"/>
      <c r="H202" s="741"/>
      <c r="I202" s="741"/>
      <c r="J202" s="741"/>
    </row>
    <row r="204" spans="3:15" s="89" customFormat="1" ht="12.75" customHeight="1">
      <c r="C204" s="89" t="str">
        <f>CHOOSE(jezyk,n!A222,n!B222,n!C222,n!D222)</f>
        <v>Kontrakty na usługi i roboty o okresie realizacji dłuższym niż 6 miesięcy</v>
      </c>
      <c r="L204" s="98"/>
      <c r="M204" s="72"/>
    </row>
    <row r="206" spans="3:15" ht="27" customHeight="1">
      <c r="C206" s="741" t="str">
        <f>CHOOSE(jezyk,n!A223,n!B223,n!C223,n!D223)</f>
        <v>Kontrakty na usługi i roboty o okresie realizacji dłuższym niż 6 miesięcy ujmowane są w księgach w zależności od stopnia zawansowania robót.</v>
      </c>
      <c r="D206" s="741"/>
      <c r="E206" s="741"/>
      <c r="F206" s="741"/>
      <c r="G206" s="741"/>
      <c r="H206" s="741"/>
      <c r="I206" s="741"/>
      <c r="J206" s="741"/>
    </row>
    <row r="207" spans="3:15" ht="40.5" customHeight="1">
      <c r="C207" s="741" t="str">
        <f>CHOOSE(jezyk,n!A224,n!B224,n!C224,n!D224)</f>
        <v>Stopień zaawansowania robót z niezakończonej umowy ustala się udziałem kosztów wykonania umowy poniesionych od dnia zawarcia umowy do dnia bilansowego w całkowitych kosztach umowy.</v>
      </c>
      <c r="D207" s="741"/>
      <c r="E207" s="741"/>
      <c r="F207" s="741"/>
      <c r="G207" s="741"/>
      <c r="H207" s="741"/>
      <c r="I207" s="741"/>
      <c r="J207" s="741"/>
    </row>
    <row r="208" spans="3:15" ht="51.75" customHeight="1">
      <c r="C208" s="741" t="str">
        <f>CHOOSE(jezyk,n!A225,n!B225,n!C225,n!D225)</f>
        <v>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v>
      </c>
      <c r="D208" s="741"/>
      <c r="E208" s="741"/>
      <c r="F208" s="741"/>
      <c r="G208" s="741"/>
      <c r="H208" s="741"/>
      <c r="I208" s="741"/>
      <c r="J208" s="741"/>
    </row>
    <row r="210" spans="3:12" ht="39.75" customHeight="1">
      <c r="C210" s="741" t="str">
        <f>CHOOSE(jezyk,n!A226,n!B226,n!C226,n!D226)</f>
        <v>Przychody z realizacji kontraktów na usługi i roboty o okresie realizacji dłuższym niż 6 miesięcy, dla których nie można wiarygodnie ustalić stopnia zawansowania, ustalane są na poziomie poniesionych kosztów w wysokości, której pokrycie zapewnia zleceniodawca.</v>
      </c>
      <c r="D210" s="741"/>
      <c r="E210" s="741"/>
      <c r="F210" s="741"/>
      <c r="G210" s="741"/>
      <c r="H210" s="741"/>
      <c r="I210" s="741"/>
      <c r="J210" s="741"/>
    </row>
    <row r="211" spans="3:12" ht="28.5" customHeight="1">
      <c r="C211" s="741" t="str">
        <f>CHOOSE(jezyk,n!A227,n!B227,n!C227,n!D227)</f>
        <v>Koszty wynikające z realizacji kontraktów o okresie realizacji dłuższym niż 6 miesięcy stanowią koszty poniesione do dnia bilansowego.</v>
      </c>
      <c r="D211" s="741"/>
      <c r="E211" s="741"/>
      <c r="F211" s="741"/>
      <c r="G211" s="741"/>
      <c r="H211" s="741"/>
      <c r="I211" s="741"/>
      <c r="J211" s="741"/>
    </row>
    <row r="212" spans="3:12" ht="12.75" customHeight="1">
      <c r="C212" s="72" t="s">
        <v>764</v>
      </c>
    </row>
    <row r="213" spans="3:12" ht="12.75" customHeight="1">
      <c r="C213" s="89" t="str">
        <f>CHOOSE(jezyk,n!A228,n!B228,n!C228,n!D228)</f>
        <v>Rozliczenia międzyokresowe kosztów</v>
      </c>
    </row>
    <row r="215" spans="3:12" ht="24.75" customHeight="1">
      <c r="C215" s="741" t="str">
        <f>IF(GA!F67="nie",CHOOSE(jezyk,n!A229,n!B229,n!C229,n!D229),CHOOSE(jezyk,n!A230,n!B230,n!C230,n!D230))</f>
        <v xml:space="preserve">Spółka dokonuje czynnych rozliczeń międzyokresowych kosztów, jeżeli dotyczą one przyszłych okresów sprawozdawczych. </v>
      </c>
      <c r="D215" s="741"/>
      <c r="E215" s="741"/>
      <c r="F215" s="741"/>
      <c r="G215" s="741"/>
      <c r="H215" s="741"/>
      <c r="I215" s="741"/>
      <c r="J215" s="741"/>
    </row>
    <row r="216" spans="3:12" ht="12.75" customHeight="1">
      <c r="C216" s="746"/>
      <c r="D216" s="746"/>
      <c r="E216" s="746"/>
      <c r="F216" s="746"/>
      <c r="G216" s="746"/>
      <c r="H216" s="746"/>
      <c r="I216" s="746"/>
      <c r="J216" s="746"/>
      <c r="L216" s="72"/>
    </row>
    <row r="217" spans="3:12" ht="27.75" customHeight="1">
      <c r="C217" s="741" t="str">
        <f>CHOOSE(jezyk,n!A231,n!B231,n!C231,n!D231)</f>
        <v>Bierne rozliczenia międzyokresowe kosztów dokonywane są w wysokości prawdopodobnych zobowiązań przypadających na bieżący okres sprawozdawczy.</v>
      </c>
      <c r="D217" s="741"/>
      <c r="E217" s="741"/>
      <c r="F217" s="741"/>
      <c r="G217" s="741"/>
      <c r="H217" s="741"/>
      <c r="I217" s="741"/>
      <c r="J217" s="741"/>
    </row>
    <row r="219" spans="3:12" ht="12.75" customHeight="1">
      <c r="C219" s="89" t="str">
        <f>CHOOSE(jezyk,n!A232,n!B232,n!C232,n!D232)</f>
        <v xml:space="preserve">Rozliczenia międzyokresowe przychodów </v>
      </c>
    </row>
    <row r="221" spans="3:12" ht="27" customHeight="1">
      <c r="C221" s="741" t="str">
        <f>CHOOSE(jezyk,n!A233,n!B233,n!C233,n!D233)</f>
        <v>Rozliczenia międzyokresowe przychodów dokonywane są z zachowaniem ostrożnej wyceny i obejmują w szczególności:</v>
      </c>
      <c r="D221" s="741"/>
      <c r="E221" s="741"/>
      <c r="F221" s="741"/>
      <c r="G221" s="741"/>
      <c r="H221" s="741"/>
      <c r="I221" s="741"/>
      <c r="J221" s="741"/>
    </row>
    <row r="222" spans="3:12" ht="26.25" customHeight="1">
      <c r="C222" s="741" t="str">
        <f>CHOOSE(jezyk,n!A234,n!B234,n!C234,n!D234)</f>
        <v xml:space="preserve">- równowartość otrzymanych lub należnych od kontrahentów środków z tytułu świadczeń, których wykonanie nastąpi w następnych okresach sprawozdawczych; </v>
      </c>
      <c r="D222" s="741"/>
      <c r="E222" s="741"/>
      <c r="F222" s="741"/>
      <c r="G222" s="741"/>
      <c r="H222" s="741"/>
      <c r="I222" s="741"/>
      <c r="J222" s="741"/>
    </row>
    <row r="223" spans="3:12" ht="39.75" customHeight="1">
      <c r="C223" s="741" t="str">
        <f>CHOOSE(jezyk,n!A235,n!B235,n!C235,n!D235)</f>
        <v xml:space="preserve">- środki pieniężne otrzymane na sfinansowanie nabycia lub wytworzenia środków trwałych, w tym także środków trwałych w budowie oraz prac rozwojowych, jeżeli stosownie do innych ustaw nie zwiększają one kapitałów własnych. </v>
      </c>
      <c r="D223" s="741"/>
      <c r="E223" s="741"/>
      <c r="F223" s="741"/>
      <c r="G223" s="741"/>
      <c r="H223" s="741"/>
      <c r="I223" s="741"/>
      <c r="J223" s="741"/>
    </row>
    <row r="225" spans="1:13" ht="51" customHeight="1">
      <c r="C225" s="741" t="str">
        <f>CHOOSE(jezyk,n!A236,n!B236,n!C236,n!D236)</f>
        <v>Zaliczone do rozliczeń międzyokresowych przychodów kwoty zwiększają stopniowo pozostałe przychody operacyjne, równolegle do odpisów amortyzacyjnych lub umorzeniowych od środków trwałych lub kosztów prac rozwojowych sfinansowanych z tych źródeł.</v>
      </c>
      <c r="D225" s="741"/>
      <c r="E225" s="741"/>
      <c r="F225" s="741"/>
      <c r="G225" s="741"/>
      <c r="H225" s="741"/>
      <c r="I225" s="741"/>
      <c r="J225" s="741"/>
    </row>
    <row r="226" spans="1:13" ht="12.75" customHeight="1">
      <c r="L226" s="85"/>
    </row>
    <row r="227" spans="1:13" ht="12.75" customHeight="1">
      <c r="B227" s="89"/>
      <c r="C227" s="89" t="str">
        <f>CHOOSE(jezyk,n!A237,n!B237,n!C237,n!D237)</f>
        <v>Uznawanie przychodu</v>
      </c>
    </row>
    <row r="229" spans="1:13" s="75" customFormat="1" ht="63.75" customHeight="1">
      <c r="A229" s="99"/>
      <c r="B229" s="99"/>
      <c r="C229" s="741" t="str">
        <f>CHOOSE(jezyk,n!A238,n!B238,n!C238,n!D238)</f>
        <v>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v>
      </c>
      <c r="D229" s="741"/>
      <c r="E229" s="741"/>
      <c r="F229" s="741"/>
      <c r="G229" s="741"/>
      <c r="H229" s="741"/>
      <c r="I229" s="741"/>
      <c r="J229" s="741"/>
      <c r="K229" s="99"/>
      <c r="M229" s="72"/>
    </row>
    <row r="231" spans="1:13" s="75" customFormat="1" ht="12.75" customHeight="1">
      <c r="B231" s="92"/>
      <c r="C231" s="89" t="str">
        <f>CHOOSE(jezyk,n!A239,n!B239,n!C239,n!D239)</f>
        <v xml:space="preserve">Aktywa i rezerwy z tytułu odroczonego podatku dochodowego </v>
      </c>
      <c r="D231" s="72"/>
      <c r="E231" s="72"/>
      <c r="F231" s="72"/>
      <c r="G231" s="72"/>
      <c r="H231" s="72"/>
      <c r="I231" s="99"/>
      <c r="J231" s="99"/>
      <c r="K231" s="72"/>
      <c r="M231" s="72"/>
    </row>
    <row r="232" spans="1:13" s="75" customFormat="1" ht="12.75" customHeight="1">
      <c r="B232" s="92"/>
      <c r="C232" s="72"/>
      <c r="D232" s="72"/>
      <c r="E232" s="72"/>
      <c r="F232" s="72"/>
      <c r="G232" s="72"/>
      <c r="H232" s="72"/>
      <c r="I232" s="99"/>
      <c r="J232" s="99"/>
      <c r="K232" s="72"/>
      <c r="M232" s="72"/>
    </row>
    <row r="233" spans="1:13" ht="28.5" hidden="1" customHeight="1">
      <c r="C233" s="741" t="str">
        <f>IF(GA!F67="nie",CHOOSE(jezyk,n!A240,n!B240,n!C240,n!D240),CHOOSE(jezyk,n!A241,n!B241,n!C241,n!D241))</f>
        <v xml:space="preserve">Zgodnie z uproszczeniem wynikającym z Art. 37 ust 10 UoR Spółka odstąpiła od ustalania aktywów i rezerw z tytułu odroczonego podatku dochodowego.  </v>
      </c>
      <c r="D233" s="741"/>
      <c r="E233" s="741"/>
      <c r="F233" s="741"/>
      <c r="G233" s="741"/>
      <c r="H233" s="741"/>
      <c r="I233" s="741"/>
      <c r="J233" s="741"/>
      <c r="L233" s="81" t="s">
        <v>2969</v>
      </c>
    </row>
    <row r="234" spans="1:13" hidden="1">
      <c r="B234" s="99"/>
      <c r="C234" s="746"/>
      <c r="D234" s="746"/>
      <c r="E234" s="746"/>
      <c r="F234" s="746"/>
      <c r="G234" s="746"/>
      <c r="H234" s="746"/>
      <c r="I234" s="746"/>
      <c r="J234" s="746"/>
      <c r="K234" s="99"/>
      <c r="L234" s="72"/>
    </row>
    <row r="235" spans="1:13" ht="50.25" customHeight="1">
      <c r="A235" s="99"/>
      <c r="C235" s="741" t="str">
        <f>CHOOSE(jezyk,n!A242,n!B242,n!C242,n!D242)</f>
        <v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v>
      </c>
      <c r="D235" s="741"/>
      <c r="E235" s="741"/>
      <c r="F235" s="741"/>
      <c r="G235" s="741"/>
      <c r="H235" s="741"/>
      <c r="I235" s="741"/>
      <c r="J235" s="741"/>
    </row>
    <row r="236" spans="1:13">
      <c r="B236" s="99"/>
      <c r="C236" s="746"/>
      <c r="D236" s="746"/>
      <c r="E236" s="746"/>
      <c r="F236" s="746"/>
      <c r="G236" s="746"/>
      <c r="H236" s="746"/>
      <c r="I236" s="746"/>
      <c r="J236" s="746"/>
      <c r="K236" s="99"/>
      <c r="L236" s="72"/>
    </row>
    <row r="237" spans="1:13" ht="67.5" customHeight="1">
      <c r="A237" s="99"/>
      <c r="C237" s="741" t="str">
        <f>CHOOSE(jezyk,n!A243,n!B243,n!C243,n!D243)</f>
        <v>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v>
      </c>
      <c r="D237" s="741"/>
      <c r="E237" s="741"/>
      <c r="F237" s="741"/>
      <c r="G237" s="741"/>
      <c r="H237" s="741"/>
      <c r="I237" s="741"/>
      <c r="J237" s="741"/>
    </row>
    <row r="238" spans="1:13" ht="12.75" customHeight="1">
      <c r="B238" s="89"/>
      <c r="C238" s="746"/>
      <c r="D238" s="746"/>
      <c r="E238" s="746"/>
      <c r="F238" s="746"/>
      <c r="G238" s="746"/>
      <c r="H238" s="746"/>
      <c r="I238" s="746"/>
      <c r="J238" s="746"/>
      <c r="L238" s="72"/>
    </row>
    <row r="239" spans="1:13" ht="57.75" customHeight="1">
      <c r="A239" s="99"/>
      <c r="C239" s="741" t="str">
        <f>CHOOSE(jezyk,n!A244,n!B244,n!C244,n!D244)</f>
        <v>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v>
      </c>
      <c r="D239" s="741"/>
      <c r="E239" s="741"/>
      <c r="F239" s="741"/>
      <c r="G239" s="741"/>
      <c r="H239" s="741"/>
      <c r="I239" s="741"/>
      <c r="J239" s="741"/>
    </row>
    <row r="240" spans="1:13">
      <c r="B240" s="99"/>
      <c r="C240" s="99"/>
      <c r="D240" s="99"/>
      <c r="E240" s="99"/>
      <c r="F240" s="99"/>
      <c r="G240" s="99"/>
      <c r="H240" s="99"/>
      <c r="I240" s="99"/>
      <c r="J240" s="99"/>
      <c r="K240" s="99"/>
      <c r="L240" s="72"/>
    </row>
    <row r="241" spans="1:16" s="75" customFormat="1" ht="39.75" customHeight="1">
      <c r="A241" s="99"/>
      <c r="B241" s="509"/>
      <c r="C241" s="741" t="str">
        <f>CHOOSE(jezyk,n!A245,n!B245,n!C245,n!D245)</f>
        <v>Wysokość rezerwy i aktywów z tytułu odroczonego podatku dochodowego ustala się przy uwzględnieniu stawek podatku dochodowego obowiązujących w roku powstania obowiązku podatkowego.</v>
      </c>
      <c r="D241" s="741"/>
      <c r="E241" s="741"/>
      <c r="F241" s="741"/>
      <c r="G241" s="741"/>
      <c r="H241" s="741"/>
      <c r="I241" s="741"/>
      <c r="J241" s="741"/>
      <c r="K241" s="509"/>
      <c r="M241" s="72"/>
    </row>
    <row r="242" spans="1:16" s="86" customFormat="1">
      <c r="B242" s="100"/>
      <c r="C242" s="87"/>
      <c r="D242" s="87"/>
      <c r="E242" s="87"/>
      <c r="F242" s="87"/>
      <c r="G242" s="87"/>
      <c r="H242" s="87"/>
      <c r="I242" s="87"/>
      <c r="J242" s="87"/>
      <c r="K242" s="100"/>
    </row>
    <row r="243" spans="1:16" s="75" customFormat="1" ht="12.75" customHeight="1">
      <c r="B243" s="92"/>
      <c r="C243" s="89" t="str">
        <f>CHOOSE(jezyk,n!A246,n!B246,n!C246,n!D246)</f>
        <v>Ujmowanie i wycena instrumentów finansowych</v>
      </c>
      <c r="D243" s="72"/>
      <c r="E243" s="72"/>
      <c r="F243" s="72"/>
      <c r="G243" s="72"/>
      <c r="H243" s="72"/>
      <c r="I243" s="99"/>
      <c r="J243" s="99"/>
      <c r="K243" s="72"/>
      <c r="M243" s="72"/>
    </row>
    <row r="244" spans="1:16" s="75" customFormat="1" ht="12.75" customHeight="1">
      <c r="B244" s="92"/>
      <c r="C244" s="89"/>
      <c r="D244" s="72"/>
      <c r="E244" s="72"/>
      <c r="F244" s="72"/>
      <c r="G244" s="72"/>
      <c r="H244" s="72"/>
      <c r="I244" s="99"/>
      <c r="J244" s="99"/>
      <c r="K244" s="72"/>
      <c r="M244" s="72"/>
    </row>
    <row r="245" spans="1:16" ht="54.75" customHeight="1">
      <c r="C245" s="741" t="str">
        <f>IF(GA!F67="nie",CHOOSE(jezyk,n!A247,n!B247,n!C247,n!D247),CHOOSE(jezyk,n!A248,n!B248,n!C248,n!D248))</f>
        <v>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v>
      </c>
      <c r="D245" s="741"/>
      <c r="E245" s="741"/>
      <c r="F245" s="741"/>
      <c r="G245" s="741"/>
      <c r="H245" s="741"/>
      <c r="I245" s="741"/>
      <c r="J245" s="741"/>
    </row>
    <row r="246" spans="1:16" hidden="1">
      <c r="C246" s="395"/>
      <c r="D246" s="395"/>
      <c r="E246" s="395"/>
      <c r="F246" s="395"/>
      <c r="G246" s="395"/>
      <c r="H246" s="395"/>
      <c r="I246" s="395"/>
      <c r="J246" s="395"/>
      <c r="L246" s="72"/>
    </row>
    <row r="247" spans="1:16" ht="40.5" hidden="1" customHeight="1">
      <c r="C247" s="741" t="str">
        <f>IF(GA!F67="nie",CHOOSE(jezyk,n!A249,n!B249,n!C249,n!D249),CHOOSE(jezyk,n!A250,n!B250,n!C250,n!D250))</f>
        <v>Spółka stosuje przepisy Rozporządzenia Ministra Finansów z dnia 12 grudnia 2001 r. w sprawie szczegółowych zasad uznawania, metod wyceny, zakresu ujawniania i sposobu prezentacji instrumentów finansowych.</v>
      </c>
      <c r="D247" s="741"/>
      <c r="E247" s="741"/>
      <c r="F247" s="741"/>
      <c r="G247" s="741"/>
      <c r="H247" s="741"/>
      <c r="I247" s="741"/>
      <c r="J247" s="741"/>
      <c r="L247" s="81" t="s">
        <v>5557</v>
      </c>
    </row>
    <row r="249" spans="1:16" ht="12.75" customHeight="1">
      <c r="B249" s="76" t="s">
        <v>2639</v>
      </c>
      <c r="C249" s="79" t="str">
        <f>CHOOSE(jezyk,n!A251,n!B251,n!C251,n!D251)</f>
        <v>Ustalanie wyniku</v>
      </c>
    </row>
    <row r="250" spans="1:16" ht="12.75" customHeight="1">
      <c r="B250" s="76"/>
      <c r="C250" s="79"/>
    </row>
    <row r="251" spans="1:16" ht="12.75" customHeight="1">
      <c r="B251" s="76"/>
      <c r="C251" s="741" t="str">
        <f>IF(P251="tak",CHOOSE(jezyk,n!A252,n!B252,n!C252,n!D252),CHOOSE(jezyk,n!A253,n!B253,n!C253,n!D253))</f>
        <v>Wynik finansowy jednostki ustalany jest zgodnie z przepisami rozdziału 4 UoR oraz wprowadzoną przez kierownika jednostki polityką rachunkowości.</v>
      </c>
      <c r="D251" s="741"/>
      <c r="E251" s="741"/>
      <c r="F251" s="741"/>
      <c r="G251" s="741"/>
      <c r="H251" s="741"/>
      <c r="I251" s="741"/>
      <c r="J251" s="741"/>
      <c r="L251" s="22" t="s">
        <v>6910</v>
      </c>
      <c r="P251" s="274" t="s">
        <v>4648</v>
      </c>
    </row>
    <row r="252" spans="1:16" ht="14.25" customHeight="1">
      <c r="B252" s="76"/>
      <c r="C252" s="741"/>
      <c r="D252" s="741"/>
      <c r="E252" s="741"/>
      <c r="F252" s="741"/>
      <c r="G252" s="741"/>
      <c r="H252" s="741"/>
      <c r="I252" s="741"/>
      <c r="J252" s="741"/>
    </row>
    <row r="253" spans="1:16" ht="12.75" customHeight="1">
      <c r="B253" s="76"/>
      <c r="C253" s="79"/>
    </row>
    <row r="254" spans="1:16" ht="12.75" customHeight="1">
      <c r="B254" s="76" t="s">
        <v>2638</v>
      </c>
      <c r="C254" s="79" t="str">
        <f>CHOOSE(jezyk,n!A75,n!B75,n!C75,n!D75)</f>
        <v>Sposób sporządzania sprawozdania finansowego</v>
      </c>
    </row>
    <row r="256" spans="1:16" ht="27.75" customHeight="1">
      <c r="C256" s="741" t="str">
        <f>IF(GA!F67="nie",IF(P251="nie",CHOOSE(jezyk,n!A111,n!B111,n!C111,n!D111),CHOOSE(jezyk,n!A113,n!B113,n!C113,n!D113)),IF(P251="tak",CHOOSE(jezyk,n!A112,n!B112,n!C112,n!D112),CHOOSE(jezyk,n!A114,n!B114,n!C114,n!D114)))</f>
        <v>Sprawozdanie finansowe spółki sporządzone zostało zgodnie z przepisami UoR oraz wprowadzoną przez kierownika jednostki polityką rachunkowości.</v>
      </c>
      <c r="D256" s="741"/>
      <c r="E256" s="741"/>
      <c r="F256" s="741"/>
      <c r="G256" s="741"/>
      <c r="H256" s="741"/>
      <c r="I256" s="741"/>
      <c r="J256" s="741"/>
    </row>
    <row r="258" spans="2:29" ht="12.75" customHeight="1">
      <c r="C258" s="753" t="str">
        <f>IF(GA!F67="nie",IF(wrach=1,CHOOSE(jezyk,n!A76,n!B76,n!C76,n!D76),CHOOSE(jezyk,n!A78,n!B78,n!C78,n!D78)),IF(wrach=1,CHOOSE(jezyk,n!A77,n!B77,n!C77,n!D77),CHOOSE(jezyk,n!A79,n!B79,n!C79,n!D79)))</f>
        <v>Spółka sporządza rachunek zysków i strat w wersji porównawczej.</v>
      </c>
      <c r="D258" s="753"/>
      <c r="E258" s="753"/>
      <c r="F258" s="753"/>
      <c r="G258" s="753"/>
      <c r="H258" s="753"/>
      <c r="I258" s="753"/>
      <c r="J258" s="753"/>
    </row>
    <row r="259" spans="2:29" ht="12.75" customHeight="1">
      <c r="C259" s="753" t="str">
        <f>IF(wCF=0," ",IF(wCF=1,CHOOSE(jezyk,n!A81,n!B81,n!C81,n!D81),CHOOSE(jezyk,n!A80,n!B80,n!C80,n!D80)))</f>
        <v xml:space="preserve"> </v>
      </c>
      <c r="D259" s="753"/>
      <c r="E259" s="753"/>
      <c r="F259" s="753"/>
      <c r="G259" s="753"/>
      <c r="H259" s="753"/>
      <c r="I259" s="753"/>
      <c r="J259" s="753"/>
      <c r="L259" s="81" t="s">
        <v>4650</v>
      </c>
    </row>
    <row r="260" spans="2:29" ht="12.75" customHeight="1">
      <c r="L260" s="81"/>
    </row>
    <row r="261" spans="2:29" ht="12.75" customHeight="1">
      <c r="B261" s="76" t="s">
        <v>2637</v>
      </c>
      <c r="C261" s="72" t="str">
        <f>CHOOSE(jezyk,n!A82,n!B82,n!C82,n!D82)</f>
        <v>Pozostałe</v>
      </c>
      <c r="L261" s="81"/>
    </row>
    <row r="262" spans="2:29" ht="12.75" customHeight="1">
      <c r="L262" s="81"/>
    </row>
    <row r="263" spans="2:29" ht="16.5" customHeight="1">
      <c r="C263" s="754" t="s">
        <v>6931</v>
      </c>
      <c r="D263" s="754"/>
      <c r="E263" s="754"/>
      <c r="F263" s="754"/>
      <c r="G263" s="754"/>
      <c r="H263" s="754"/>
      <c r="I263" s="754"/>
      <c r="J263" s="754"/>
      <c r="L263" s="81"/>
    </row>
    <row r="264" spans="2:29" ht="12.75" hidden="1" customHeight="1">
      <c r="C264" s="741" t="str">
        <f>CHOOSE(jezyk,n!A116,n!B116,n!C116,n!D116)</f>
        <v>- zasady rachunkowości;</v>
      </c>
      <c r="D264" s="741"/>
      <c r="E264" s="741"/>
      <c r="F264" s="741"/>
      <c r="G264" s="741"/>
      <c r="H264" s="741"/>
      <c r="I264" s="741"/>
      <c r="J264" s="741"/>
      <c r="L264" s="81" t="s">
        <v>2700</v>
      </c>
    </row>
    <row r="265" spans="2:29" ht="12.75" hidden="1" customHeight="1">
      <c r="C265" s="741" t="str">
        <f>CHOOSE(jezyk,n!A117,n!B117,n!C117,n!D117)</f>
        <v>- metody wyceny aktywów i pasywów;</v>
      </c>
      <c r="D265" s="741"/>
      <c r="E265" s="741"/>
      <c r="F265" s="741"/>
      <c r="G265" s="741"/>
      <c r="H265" s="741"/>
      <c r="I265" s="741"/>
      <c r="J265" s="741"/>
    </row>
    <row r="266" spans="2:29" ht="12.75" hidden="1" customHeight="1">
      <c r="C266" s="741" t="str">
        <f>CHOOSE(jezyk,n!A118,n!B118,n!C118,n!D118)</f>
        <v>- sposób ustalania wyniku finansowego;</v>
      </c>
      <c r="D266" s="741"/>
      <c r="E266" s="741"/>
      <c r="F266" s="741"/>
      <c r="G266" s="741"/>
      <c r="H266" s="741"/>
      <c r="I266" s="741"/>
      <c r="J266" s="741"/>
    </row>
    <row r="267" spans="2:29" ht="12.75" hidden="1" customHeight="1">
      <c r="C267" s="741" t="str">
        <f>IF(Q267="tak",CHOOSE(jezyk,n!A119,n!B119,n!C119,n!D119),CHOOSE(jezyk,n!A120,n!B120,n!C120,n!D120))</f>
        <v>- sposób sporządzenia rachunku zysków i strat.</v>
      </c>
      <c r="D267" s="741"/>
      <c r="E267" s="741"/>
      <c r="F267" s="741"/>
      <c r="G267" s="741"/>
      <c r="H267" s="741"/>
      <c r="I267" s="741"/>
      <c r="J267" s="741"/>
      <c r="L267" s="81" t="s">
        <v>4647</v>
      </c>
      <c r="Q267" s="90" t="str">
        <f>IF(wCF=0,"nie","tak")</f>
        <v>nie</v>
      </c>
    </row>
    <row r="268" spans="2:29" ht="12.75" customHeight="1">
      <c r="L268" s="81"/>
      <c r="AC268" s="72" t="s">
        <v>4648</v>
      </c>
    </row>
    <row r="269" spans="2:29" ht="12.75" customHeight="1">
      <c r="B269" s="76" t="s">
        <v>1507</v>
      </c>
      <c r="C269" s="79" t="str">
        <f>CHOOSE(jezyk,n!A255,n!B255,n!C255,n!D255)</f>
        <v>Informacja uszczegóławiająca, wynikająca z potrzeb lub specyfiki jednostki</v>
      </c>
      <c r="AC269" s="72" t="s">
        <v>4649</v>
      </c>
    </row>
    <row r="271" spans="2:29" s="96" customFormat="1" ht="12.75" customHeight="1">
      <c r="C271" s="395"/>
      <c r="D271" s="395"/>
      <c r="E271" s="395"/>
      <c r="F271" s="395"/>
      <c r="G271" s="395"/>
      <c r="H271" s="395"/>
      <c r="I271" s="395"/>
      <c r="J271" s="395"/>
      <c r="O271" s="72"/>
    </row>
    <row r="272" spans="2:29" s="96" customFormat="1" ht="12.75" customHeight="1">
      <c r="C272" s="744" t="str">
        <f>CHOOSE(jezyk,n!A1781,n!B1781,n!C1781)</f>
        <v>Wpływ konfliktu we wschodniej Europie na sytuację finansową Spółki</v>
      </c>
      <c r="D272" s="744"/>
      <c r="E272" s="744"/>
      <c r="F272" s="744"/>
      <c r="G272" s="744"/>
      <c r="H272" s="744"/>
      <c r="I272" s="744"/>
      <c r="J272" s="744"/>
      <c r="L272" s="94" t="s">
        <v>6523</v>
      </c>
      <c r="O272" s="72"/>
    </row>
    <row r="273" spans="1:16" s="96" customFormat="1" ht="12.75" customHeight="1">
      <c r="C273" s="395"/>
      <c r="D273" s="692"/>
      <c r="E273" s="692"/>
      <c r="F273" s="692"/>
      <c r="G273" s="692"/>
      <c r="H273" s="692"/>
      <c r="I273" s="692"/>
      <c r="J273" s="692"/>
      <c r="O273" s="72"/>
    </row>
    <row r="274" spans="1:16" s="96" customFormat="1" ht="81.75" customHeight="1">
      <c r="A274" s="72"/>
      <c r="C274" s="741" t="str">
        <f>IF(GA!H16=2,IF(P274="nie",CHOOSE(jezyk,n!A266,n!B266,n!C266,n!D266),CHOOSE(jezyk,n!A268,n!B268,n!C268,n!D268)),IF(P274="nie",CHOOSE(jezyk,n!A265,n!B265,n!C265,n!D265),CHOOSE(jezyk,n!A267,n!B267,n!C267,n!D267)))</f>
        <v>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v>
      </c>
      <c r="D274" s="741"/>
      <c r="E274" s="741"/>
      <c r="F274" s="741"/>
      <c r="G274" s="741"/>
      <c r="H274" s="741"/>
      <c r="I274" s="741"/>
      <c r="J274" s="741"/>
      <c r="L274" s="740" t="s">
        <v>6911</v>
      </c>
      <c r="M274" s="740"/>
      <c r="N274" s="740"/>
      <c r="O274" s="740"/>
      <c r="P274" s="728" t="str">
        <f>IF(AND(N253="TAK",N255="TAK"),"tak","nie")</f>
        <v>nie</v>
      </c>
    </row>
    <row r="275" spans="1:16" s="96" customFormat="1" ht="12.75" customHeight="1">
      <c r="C275" s="395"/>
      <c r="D275" s="395"/>
      <c r="E275" s="395"/>
      <c r="F275" s="395"/>
      <c r="G275" s="395"/>
      <c r="H275" s="395"/>
      <c r="I275" s="395"/>
      <c r="J275" s="395"/>
    </row>
    <row r="276" spans="1:16" s="96" customFormat="1" ht="12.75" customHeight="1">
      <c r="C276" s="744" t="str">
        <f>CHOOSE(jezyk,n!A271,n!B271,n!C271,n!D271)</f>
        <v>Zdarzenia po dniu bilansowym</v>
      </c>
      <c r="D276" s="744"/>
      <c r="E276" s="744"/>
      <c r="F276" s="744"/>
      <c r="G276" s="744"/>
      <c r="H276" s="744"/>
      <c r="I276" s="744"/>
      <c r="J276" s="744"/>
    </row>
    <row r="277" spans="1:16" s="96" customFormat="1" ht="12.75" customHeight="1">
      <c r="C277" s="395"/>
      <c r="D277" s="692"/>
      <c r="E277" s="692"/>
      <c r="F277" s="692"/>
      <c r="G277" s="692"/>
      <c r="H277" s="692"/>
      <c r="I277" s="692"/>
      <c r="J277" s="692"/>
    </row>
    <row r="278" spans="1:16" ht="28.5" customHeight="1">
      <c r="C278" s="741" t="str">
        <f>CHOOSE(jezyk,n!A272,n!B272,n!C272,n!D272)</f>
        <v>Po dniu bilansowym nie zanotowano zdarzeń mogących wpłynąć na sprawozdanie finansowe.</v>
      </c>
      <c r="D278" s="741"/>
      <c r="E278" s="741"/>
      <c r="F278" s="741"/>
      <c r="G278" s="741"/>
      <c r="H278" s="741"/>
      <c r="I278" s="741"/>
      <c r="J278" s="741"/>
      <c r="L278" s="94"/>
    </row>
    <row r="281" spans="1:16" ht="12.75" customHeight="1">
      <c r="C281" s="99"/>
      <c r="D281" s="99"/>
      <c r="E281" s="99"/>
      <c r="F281" s="99"/>
      <c r="G281" s="99"/>
      <c r="H281" s="99"/>
      <c r="I281" s="99"/>
      <c r="J281" s="99"/>
    </row>
    <row r="282" spans="1:16" ht="12.75" customHeight="1">
      <c r="M282" s="131"/>
      <c r="N282" s="90"/>
      <c r="O282" s="90"/>
      <c r="P282" s="90"/>
    </row>
    <row r="283" spans="1:16">
      <c r="A283" s="88"/>
      <c r="C283" s="746" t="str">
        <f>CHOOSE(jezyk,n!A28,n!B28,n!C28,n!D28)&amp;":"</f>
        <v>Data sporządzenia sprawozdania finansowego:</v>
      </c>
      <c r="D283" s="746"/>
      <c r="E283" s="746"/>
      <c r="F283" s="746"/>
      <c r="G283" s="746"/>
      <c r="H283" s="748" t="str">
        <f>GA!D53</f>
        <v>28.02.2025</v>
      </c>
      <c r="I283" s="748"/>
      <c r="M283" s="90"/>
      <c r="N283" s="90"/>
      <c r="O283" s="91"/>
      <c r="P283" s="90"/>
    </row>
    <row r="284" spans="1:16" ht="12.75" customHeight="1">
      <c r="M284" s="90"/>
      <c r="N284" s="90"/>
      <c r="O284" s="91"/>
      <c r="P284" s="90"/>
    </row>
    <row r="285" spans="1:16" ht="12.75" customHeight="1">
      <c r="C285" s="72" t="str">
        <f>CHOOSE(jezyk,n!A412,n!B412,n!C412,n!D412)</f>
        <v>Osoba sporządzająca:</v>
      </c>
      <c r="E285" s="747" t="s">
        <v>6934</v>
      </c>
      <c r="F285" s="747"/>
      <c r="G285" s="747"/>
      <c r="M285" s="90"/>
      <c r="N285" s="90"/>
      <c r="O285" s="719"/>
      <c r="P285" s="90"/>
    </row>
    <row r="286" spans="1:16" ht="12.75" customHeight="1">
      <c r="C286" s="99"/>
      <c r="D286" s="99"/>
      <c r="E286" s="99"/>
      <c r="F286" s="99"/>
      <c r="G286" s="99"/>
      <c r="H286" s="99"/>
      <c r="I286" s="99"/>
      <c r="J286" s="99"/>
      <c r="L286" s="72"/>
      <c r="M286" s="90"/>
      <c r="N286" s="90"/>
      <c r="O286" s="719"/>
      <c r="P286" s="90"/>
    </row>
    <row r="287" spans="1:16" ht="12.75" customHeight="1">
      <c r="C287" s="72" t="str">
        <f>IF(GA!H16=2,CHOOSE(jezyk,n!A414,n!B414,n!C414,n!D414),CHOOSE(jezyk,n!A413,n!B413,n!C413,n!D413))</f>
        <v>Zarząd:</v>
      </c>
      <c r="E287" s="747" t="s">
        <v>6932</v>
      </c>
      <c r="F287" s="747"/>
      <c r="G287" s="747"/>
      <c r="H287" s="102" t="s">
        <v>4656</v>
      </c>
      <c r="I287" s="741" t="s">
        <v>4654</v>
      </c>
      <c r="J287" s="741"/>
      <c r="K287" s="741"/>
    </row>
    <row r="288" spans="1:16" ht="12.75" customHeight="1">
      <c r="E288" s="747" t="s">
        <v>6933</v>
      </c>
      <c r="F288" s="747"/>
      <c r="G288" s="747"/>
      <c r="H288" s="102" t="s">
        <v>4656</v>
      </c>
      <c r="I288" s="103" t="str">
        <f>IF(GA!H16=2,CHOOSE(jezyk,n!A282,n!B282,n!C282,n!D282),CHOOSE(jezyk,n!A281,n!B281,n!C281,n!D281))</f>
        <v>Członek Zarządu</v>
      </c>
      <c r="J288" s="103"/>
      <c r="K288" s="103"/>
    </row>
    <row r="289" spans="3:11">
      <c r="E289" s="747"/>
      <c r="F289" s="747"/>
      <c r="G289" s="747"/>
      <c r="H289" s="102" t="s">
        <v>4656</v>
      </c>
      <c r="I289" s="103"/>
      <c r="J289" s="103"/>
      <c r="K289" s="103"/>
    </row>
    <row r="292" spans="3:11" ht="12.75" customHeight="1">
      <c r="C292" s="104"/>
    </row>
    <row r="298" spans="3:11" ht="12.75" customHeight="1">
      <c r="C298" s="105"/>
      <c r="D298" s="66"/>
      <c r="E298" s="66"/>
      <c r="F298" s="66"/>
      <c r="G298" s="66"/>
      <c r="H298" s="66"/>
      <c r="I298" s="66"/>
      <c r="J298" s="66"/>
    </row>
    <row r="299" spans="3:11" ht="12.75" customHeight="1">
      <c r="C299" s="66"/>
      <c r="D299" s="66"/>
      <c r="E299" s="66"/>
      <c r="F299" s="66"/>
      <c r="G299" s="66"/>
      <c r="H299" s="66"/>
      <c r="I299" s="66"/>
      <c r="J299" s="66"/>
    </row>
    <row r="300" spans="3:11" ht="12.75" customHeight="1">
      <c r="C300" s="755"/>
      <c r="D300" s="756"/>
      <c r="E300" s="756"/>
      <c r="F300" s="756"/>
      <c r="G300" s="756"/>
      <c r="H300" s="756"/>
      <c r="I300" s="756"/>
      <c r="J300" s="756"/>
    </row>
    <row r="301" spans="3:11" ht="12.75" customHeight="1">
      <c r="C301" s="406"/>
      <c r="D301" s="106"/>
      <c r="E301" s="106"/>
      <c r="F301" s="106"/>
      <c r="G301" s="106"/>
      <c r="H301" s="106"/>
      <c r="I301" s="106"/>
      <c r="J301" s="106"/>
    </row>
    <row r="302" spans="3:11" ht="12.75" customHeight="1">
      <c r="C302" s="749"/>
      <c r="D302" s="750"/>
      <c r="E302" s="750"/>
      <c r="F302" s="750"/>
      <c r="G302" s="750"/>
      <c r="H302" s="750"/>
      <c r="I302" s="750"/>
      <c r="J302" s="750"/>
    </row>
    <row r="303" spans="3:11" ht="12.75" customHeight="1">
      <c r="C303" s="406"/>
      <c r="D303" s="106"/>
      <c r="E303" s="106"/>
      <c r="F303" s="106"/>
      <c r="G303" s="106"/>
      <c r="H303" s="106"/>
      <c r="I303" s="106"/>
      <c r="J303" s="106"/>
    </row>
    <row r="304" spans="3:11" ht="12.75" customHeight="1">
      <c r="C304" s="751"/>
      <c r="D304" s="752"/>
      <c r="E304" s="752"/>
      <c r="F304" s="752"/>
      <c r="G304" s="752"/>
      <c r="H304" s="752"/>
      <c r="I304" s="752"/>
      <c r="J304" s="752"/>
    </row>
  </sheetData>
  <sheetProtection formatCells="0" formatColumns="0" formatRows="0" insertRows="0" insertHyperlinks="0" sort="0" autoFilter="0" pivotTables="0"/>
  <mergeCells count="177">
    <mergeCell ref="B1:K1"/>
    <mergeCell ref="B3:K3"/>
    <mergeCell ref="B4:K4"/>
    <mergeCell ref="E21:F21"/>
    <mergeCell ref="C186:J186"/>
    <mergeCell ref="C197:J197"/>
    <mergeCell ref="C201:J201"/>
    <mergeCell ref="C202:J202"/>
    <mergeCell ref="C206:J206"/>
    <mergeCell ref="C151:J151"/>
    <mergeCell ref="C152:J152"/>
    <mergeCell ref="C88:J88"/>
    <mergeCell ref="C72:J72"/>
    <mergeCell ref="E23:F23"/>
    <mergeCell ref="C166:J166"/>
    <mergeCell ref="C174:J174"/>
    <mergeCell ref="C196:J196"/>
    <mergeCell ref="C108:J108"/>
    <mergeCell ref="C6:J6"/>
    <mergeCell ref="C28:J28"/>
    <mergeCell ref="C10:J10"/>
    <mergeCell ref="C16:J16"/>
    <mergeCell ref="E22:F22"/>
    <mergeCell ref="C13:K14"/>
    <mergeCell ref="E25:F25"/>
    <mergeCell ref="C157:J157"/>
    <mergeCell ref="C84:J84"/>
    <mergeCell ref="E35:F35"/>
    <mergeCell ref="E36:F36"/>
    <mergeCell ref="E37:F37"/>
    <mergeCell ref="C106:J106"/>
    <mergeCell ref="C109:J109"/>
    <mergeCell ref="C110:J110"/>
    <mergeCell ref="C111:J111"/>
    <mergeCell ref="C113:J113"/>
    <mergeCell ref="C112:J112"/>
    <mergeCell ref="C118:J118"/>
    <mergeCell ref="C122:J122"/>
    <mergeCell ref="C69:J69"/>
    <mergeCell ref="C70:J70"/>
    <mergeCell ref="C153:J153"/>
    <mergeCell ref="C146:J146"/>
    <mergeCell ref="C147:J147"/>
    <mergeCell ref="C148:J148"/>
    <mergeCell ref="C149:J149"/>
    <mergeCell ref="F8:K8"/>
    <mergeCell ref="F9:K9"/>
    <mergeCell ref="C8:E8"/>
    <mergeCell ref="C9:E9"/>
    <mergeCell ref="C215:J215"/>
    <mergeCell ref="C29:J29"/>
    <mergeCell ref="C191:J191"/>
    <mergeCell ref="C195:J195"/>
    <mergeCell ref="C175:J175"/>
    <mergeCell ref="C176:J176"/>
    <mergeCell ref="C177:J177"/>
    <mergeCell ref="C178:J178"/>
    <mergeCell ref="C182:J182"/>
    <mergeCell ref="C94:J94"/>
    <mergeCell ref="C98:J98"/>
    <mergeCell ref="D41:J41"/>
    <mergeCell ref="C30:J30"/>
    <mergeCell ref="C39:J39"/>
    <mergeCell ref="C43:J43"/>
    <mergeCell ref="C114:J114"/>
    <mergeCell ref="C71:J71"/>
    <mergeCell ref="C207:J207"/>
    <mergeCell ref="C50:J50"/>
    <mergeCell ref="C45:J45"/>
    <mergeCell ref="A122:A123"/>
    <mergeCell ref="A140:A141"/>
    <mergeCell ref="C140:J140"/>
    <mergeCell ref="C141:J141"/>
    <mergeCell ref="E18:F18"/>
    <mergeCell ref="E19:F19"/>
    <mergeCell ref="E24:F24"/>
    <mergeCell ref="D48:E48"/>
    <mergeCell ref="D49:E49"/>
    <mergeCell ref="C129:J129"/>
    <mergeCell ref="C130:J130"/>
    <mergeCell ref="C131:J131"/>
    <mergeCell ref="C135:J135"/>
    <mergeCell ref="C136:J136"/>
    <mergeCell ref="C137:J137"/>
    <mergeCell ref="C138:J138"/>
    <mergeCell ref="E26:F26"/>
    <mergeCell ref="E32:F32"/>
    <mergeCell ref="E33:F33"/>
    <mergeCell ref="E34:F34"/>
    <mergeCell ref="C65:J65"/>
    <mergeCell ref="C67:J67"/>
    <mergeCell ref="C54:J54"/>
    <mergeCell ref="C60:J61"/>
    <mergeCell ref="E20:F20"/>
    <mergeCell ref="C85:J85"/>
    <mergeCell ref="C300:J300"/>
    <mergeCell ref="C211:J211"/>
    <mergeCell ref="C142:J142"/>
    <mergeCell ref="C89:J89"/>
    <mergeCell ref="C93:J93"/>
    <mergeCell ref="C100:J100"/>
    <mergeCell ref="C104:J104"/>
    <mergeCell ref="C101:J101"/>
    <mergeCell ref="C102:J102"/>
    <mergeCell ref="C164:J164"/>
    <mergeCell ref="C160:J160"/>
    <mergeCell ref="C161:J161"/>
    <mergeCell ref="C162:J162"/>
    <mergeCell ref="C210:J210"/>
    <mergeCell ref="E285:G285"/>
    <mergeCell ref="E287:G287"/>
    <mergeCell ref="E288:G288"/>
    <mergeCell ref="C241:J241"/>
    <mergeCell ref="C221:J221"/>
    <mergeCell ref="C222:J222"/>
    <mergeCell ref="C223:J223"/>
    <mergeCell ref="C225:J225"/>
    <mergeCell ref="C302:J302"/>
    <mergeCell ref="C304:J304"/>
    <mergeCell ref="C283:G283"/>
    <mergeCell ref="C258:J258"/>
    <mergeCell ref="C259:J259"/>
    <mergeCell ref="C229:J229"/>
    <mergeCell ref="C233:J233"/>
    <mergeCell ref="C235:J235"/>
    <mergeCell ref="C236:J236"/>
    <mergeCell ref="C237:J237"/>
    <mergeCell ref="C264:J264"/>
    <mergeCell ref="C278:J278"/>
    <mergeCell ref="C251:J252"/>
    <mergeCell ref="C234:J234"/>
    <mergeCell ref="C267:J267"/>
    <mergeCell ref="C272:J272"/>
    <mergeCell ref="C274:J274"/>
    <mergeCell ref="C263:J263"/>
    <mergeCell ref="C245:J245"/>
    <mergeCell ref="C265:J265"/>
    <mergeCell ref="C247:J247"/>
    <mergeCell ref="C266:J266"/>
    <mergeCell ref="C256:J256"/>
    <mergeCell ref="C238:J238"/>
    <mergeCell ref="E289:G289"/>
    <mergeCell ref="I287:K287"/>
    <mergeCell ref="C239:J239"/>
    <mergeCell ref="C276:J276"/>
    <mergeCell ref="H283:I283"/>
    <mergeCell ref="C187:J187"/>
    <mergeCell ref="C188:J188"/>
    <mergeCell ref="C189:J189"/>
    <mergeCell ref="C190:J190"/>
    <mergeCell ref="C216:J216"/>
    <mergeCell ref="C208:J208"/>
    <mergeCell ref="C217:J217"/>
    <mergeCell ref="L274:O274"/>
    <mergeCell ref="Q138:X138"/>
    <mergeCell ref="Q137:X137"/>
    <mergeCell ref="Q135:X135"/>
    <mergeCell ref="Q136:X136"/>
    <mergeCell ref="Q128:X128"/>
    <mergeCell ref="Q127:X127"/>
    <mergeCell ref="R44:Y44"/>
    <mergeCell ref="C198:J198"/>
    <mergeCell ref="C170:J170"/>
    <mergeCell ref="C115:J115"/>
    <mergeCell ref="C116:J116"/>
    <mergeCell ref="C126:J126"/>
    <mergeCell ref="C127:J127"/>
    <mergeCell ref="C120:J120"/>
    <mergeCell ref="C168:J168"/>
    <mergeCell ref="C159:J159"/>
    <mergeCell ref="C58:J58"/>
    <mergeCell ref="C78:J78"/>
    <mergeCell ref="C76:J76"/>
    <mergeCell ref="O129:P129"/>
    <mergeCell ref="O135:P135"/>
    <mergeCell ref="O137:P137"/>
    <mergeCell ref="O127:P127"/>
  </mergeCells>
  <conditionalFormatting sqref="A78">
    <cfRule type="cellIs" dxfId="0" priority="1" operator="equal">
      <formula>"wybierz z listy"</formula>
    </cfRule>
  </conditionalFormatting>
  <dataValidations count="11">
    <dataValidation type="list" allowBlank="1" showInputMessage="1" showErrorMessage="1" sqref="Q267" xr:uid="{00000000-0002-0000-1000-000000000000}">
      <formula1>$AC$268:$AC$269</formula1>
    </dataValidation>
    <dataValidation type="list" allowBlank="1" showInputMessage="1" showErrorMessage="1" sqref="L130 L147" xr:uid="{00000000-0002-0000-1000-000001000000}">
      <formula1>"ilościowo-wartościowa,wartościowa,koszty"</formula1>
    </dataValidation>
    <dataValidation type="list" allowBlank="1" showInputMessage="1" showErrorMessage="1" sqref="L138" xr:uid="{00000000-0002-0000-1000-000002000000}">
      <formula1>"ilościowo-wartościowa,ilościowa,wartościowa,koszty"</formula1>
    </dataValidation>
    <dataValidation type="list" showInputMessage="1" showErrorMessage="1" sqref="O170" xr:uid="{00000000-0002-0000-1000-000003000000}">
      <formula1>"FIFO,średnia-ważona,"</formula1>
    </dataValidation>
    <dataValidation type="list" allowBlank="1" showInputMessage="1" showErrorMessage="1" sqref="E26:F26" xr:uid="{00000000-0002-0000-1000-000004000000}">
      <formula1>"Dolnośląskie,Kujawsko-pomorskie, Lubelskie,Lubuskie, Łódzkie, Małopolskie, Mazowieckie,Opolskie,Podkarpackie,Podlaskie,Pomorskie,Śląskie,Świetokrzyskie,Warmińsko-mazurskie,Wielkopolskie,Zachodniopomorskie"</formula1>
    </dataValidation>
    <dataValidation type="list" allowBlank="1" showInputMessage="1" showErrorMessage="1" promptTitle="Metody wyceny:" prompt="1. cena nabycia minus odpisy aktualizujące_x000a_2. wartość godziwa" sqref="O197" xr:uid="{7872BCDE-1B70-48F6-9570-3A18289B7B15}">
      <formula1>"1,2"</formula1>
    </dataValidation>
    <dataValidation type="list" allowBlank="1" showInputMessage="1" showErrorMessage="1" prompt="1 - pkt 8 wprowadzenia + nota 9_x000a_2 - tylko pkt 8 wprowadzenia" sqref="N70" xr:uid="{D8911AE7-06DC-4469-9252-6D0B03E32A0F}">
      <formula1>"1,2"</formula1>
    </dataValidation>
    <dataValidation type="list" allowBlank="1" showInputMessage="1" showErrorMessage="1" sqref="N100" xr:uid="{1A8E1282-5262-41A5-B700-46F8356B3D30}">
      <formula1>"liniowa,degresywna"</formula1>
    </dataValidation>
    <dataValidation type="list" allowBlank="1" showInputMessage="1" showErrorMessage="1" promptTitle="Podaj metodę połączenia" prompt="0 - nie dotyczy_x000a_1 - łączenia udziałów_x000a_2 - metoda nabycia" sqref="A78" xr:uid="{4204C9BA-2E3E-4A12-AA5D-2FD3150CEBDD}">
      <formula1>"wybierz z listy,1,2"</formula1>
    </dataValidation>
    <dataValidation type="list" allowBlank="1" showInputMessage="1" showErrorMessage="1" sqref="P251" xr:uid="{C20811C1-B26F-400A-8402-5010FA521045}">
      <formula1>"tak,nie"</formula1>
    </dataValidation>
    <dataValidation type="list" allowBlank="1" showInputMessage="1" showErrorMessage="1" prompt="tak - spółka nie sporządza SzD_x000a_nie - spółka sporządza SzD" sqref="P274" xr:uid="{46AAC423-CF59-4604-9704-333E5DB322F7}">
      <formula1>"tak,nie"</formula1>
    </dataValidation>
  </dataValidations>
  <hyperlinks>
    <hyperlink ref="B1:K1" location="'spis treści'!A1" display="SPIS TREŚCI" xr:uid="{00000000-0004-0000-1000-000000000000}"/>
  </hyperlinks>
  <pageMargins left="0.39370078740157483" right="0.19685039370078741" top="0.35433070866141736" bottom="0.98425196850393704" header="0.27559055118110237" footer="0.51181102362204722"/>
  <pageSetup paperSize="9" fitToHeight="0" orientation="portrait" blackAndWhite="1" r:id="rId1"/>
  <headerFooter>
    <oddHeader xml:space="preserve">&amp;L
</oddHeader>
    <oddFooter>&amp;LWprowadzenie</oddFooter>
  </headerFooter>
  <rowBreaks count="7" manualBreakCount="7">
    <brk id="73" min="1" max="10" man="1"/>
    <brk id="116" min="1" max="10" man="1"/>
    <brk id="143" min="1" max="10" man="1"/>
    <brk id="179" min="1" max="10" man="1"/>
    <brk id="203" min="1" max="10" man="1"/>
    <brk id="230" min="1" max="10" man="1"/>
    <brk id="271" min="1"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5000000}">
          <x14:formula1>
            <xm:f>PKD!$A$2:$A$657</xm:f>
          </x14:formula1>
          <xm:sqref>C41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D620008A6A394A899FFF1D3A0DD3D2" ma:contentTypeVersion="14" ma:contentTypeDescription="Utwórz nowy dokument." ma:contentTypeScope="" ma:versionID="46e9b399afcb20ad816260eeb634360a">
  <xsd:schema xmlns:xsd="http://www.w3.org/2001/XMLSchema" xmlns:xs="http://www.w3.org/2001/XMLSchema" xmlns:p="http://schemas.microsoft.com/office/2006/metadata/properties" xmlns:ns2="4f31ca19-41c7-4ecc-aad1-2101d34ef018" xmlns:ns3="3ef33a18-a6bc-46a5-a303-fb96e2d6c95b" targetNamespace="http://schemas.microsoft.com/office/2006/metadata/properties" ma:root="true" ma:fieldsID="ef6f214e383761d418f94f1e0e2c64c2" ns2:_="" ns3:_="">
    <xsd:import namespace="4f31ca19-41c7-4ecc-aad1-2101d34ef018"/>
    <xsd:import namespace="3ef33a18-a6bc-46a5-a303-fb96e2d6c9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n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31ca19-41c7-4ecc-aad1-2101d34ef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3b23ac7b-5860-49b1-91c9-d74111132d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nr" ma:index="20" nillable="true" ma:displayName="nr" ma:format="Dropdown" ma:internalName="n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33a18-a6bc-46a5-a303-fb96e2d6c9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a45c50-e300-4aa8-b238-778c7eea04e6}" ma:internalName="TaxCatchAll" ma:showField="CatchAllData" ma:web="3ef33a18-a6bc-46a5-a303-fb96e2d6c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31ca19-41c7-4ecc-aad1-2101d34ef018">
      <Terms xmlns="http://schemas.microsoft.com/office/infopath/2007/PartnerControls"/>
    </lcf76f155ced4ddcb4097134ff3c332f>
    <TaxCatchAll xmlns="3ef33a18-a6bc-46a5-a303-fb96e2d6c95b" xsi:nil="true"/>
    <nr xmlns="4f31ca19-41c7-4ecc-aad1-2101d34ef01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669D65-51C1-4E65-B2CA-CC7AA0F20E78}"/>
</file>

<file path=customXml/itemProps2.xml><?xml version="1.0" encoding="utf-8"?>
<ds:datastoreItem xmlns:ds="http://schemas.openxmlformats.org/officeDocument/2006/customXml" ds:itemID="{159530F8-4D51-4FB6-8C36-6BF5AD0AE1AE}">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4f31ca19-41c7-4ecc-aad1-2101d34ef018"/>
    <ds:schemaRef ds:uri="3ef33a18-a6bc-46a5-a303-fb96e2d6c95b"/>
  </ds:schemaRefs>
</ds:datastoreItem>
</file>

<file path=customXml/itemProps3.xml><?xml version="1.0" encoding="utf-8"?>
<ds:datastoreItem xmlns:ds="http://schemas.openxmlformats.org/officeDocument/2006/customXml" ds:itemID="{39FBB0DB-DDBB-4F7B-A475-8033BB3CCB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28</vt:i4>
      </vt:variant>
      <vt:variant>
        <vt:lpstr>Nazwane zakresy</vt:lpstr>
      </vt:variant>
      <vt:variant>
        <vt:i4>74</vt:i4>
      </vt:variant>
    </vt:vector>
  </HeadingPairs>
  <TitlesOfParts>
    <vt:vector size="102" baseType="lpstr">
      <vt:lpstr>wskazówki</vt:lpstr>
      <vt:lpstr>kurs_nbp</vt:lpstr>
      <vt:lpstr>spis treści</vt:lpstr>
      <vt:lpstr>GA</vt:lpstr>
      <vt:lpstr>PKD</vt:lpstr>
      <vt:lpstr>Tytułowa</vt:lpstr>
      <vt:lpstr>n</vt:lpstr>
      <vt:lpstr>Wprowadzenie</vt:lpstr>
      <vt:lpstr>Bilans</vt:lpstr>
      <vt:lpstr>RZiS Por. </vt:lpstr>
      <vt:lpstr>FORMATKA_RPP bezpośredni</vt:lpstr>
      <vt:lpstr>ID tytul</vt:lpstr>
      <vt:lpstr>nota 1.1.-1.2</vt:lpstr>
      <vt:lpstr>nota 1.3-1.10</vt:lpstr>
      <vt:lpstr>nota 1.11-1.15</vt:lpstr>
      <vt:lpstr>nota 1.16-1.19</vt:lpstr>
      <vt:lpstr>nota 2</vt:lpstr>
      <vt:lpstr>nota 3,4</vt:lpstr>
      <vt:lpstr>nota 5</vt:lpstr>
      <vt:lpstr>nota 6</vt:lpstr>
      <vt:lpstr>nota 7</vt:lpstr>
      <vt:lpstr>nota 8-11</vt:lpstr>
      <vt:lpstr>RZiS Kal.</vt:lpstr>
      <vt:lpstr>Z. Zm. w Kap.</vt:lpstr>
      <vt:lpstr>CF mb</vt:lpstr>
      <vt:lpstr>CF mp</vt:lpstr>
      <vt:lpstr>SPRAWOZDANIE</vt:lpstr>
      <vt:lpstr>SPRAWOZDANIE S.A.</vt:lpstr>
      <vt:lpstr>adres</vt:lpstr>
      <vt:lpstr>adresA786</vt:lpstr>
      <vt:lpstr>datrap</vt:lpstr>
      <vt:lpstr>dzb</vt:lpstr>
      <vt:lpstr>dzbo</vt:lpstr>
      <vt:lpstr>jezyk</vt:lpstr>
      <vt:lpstr>jezyk1</vt:lpstr>
      <vt:lpstr>kapital</vt:lpstr>
      <vt:lpstr>kod</vt:lpstr>
      <vt:lpstr>ksh</vt:lpstr>
      <vt:lpstr>nazwa_spolki</vt:lpstr>
      <vt:lpstr>Bilans!Obszar_wydruku</vt:lpstr>
      <vt:lpstr>'CF mb'!Obszar_wydruku</vt:lpstr>
      <vt:lpstr>'CF mp'!Obszar_wydruku</vt:lpstr>
      <vt:lpstr>GA!Obszar_wydruku</vt:lpstr>
      <vt:lpstr>'ID tytul'!Obszar_wydruku</vt:lpstr>
      <vt:lpstr>'nota 1.1.-1.2'!Obszar_wydruku</vt:lpstr>
      <vt:lpstr>'nota 1.11-1.15'!Obszar_wydruku</vt:lpstr>
      <vt:lpstr>'nota 1.16-1.19'!Obszar_wydruku</vt:lpstr>
      <vt:lpstr>'nota 1.3-1.10'!Obszar_wydruku</vt:lpstr>
      <vt:lpstr>'nota 2'!Obszar_wydruku</vt:lpstr>
      <vt:lpstr>'nota 3,4'!Obszar_wydruku</vt:lpstr>
      <vt:lpstr>'nota 5'!Obszar_wydruku</vt:lpstr>
      <vt:lpstr>'nota 6'!Obszar_wydruku</vt:lpstr>
      <vt:lpstr>'nota 7'!Obszar_wydruku</vt:lpstr>
      <vt:lpstr>'nota 8-11'!Obszar_wydruku</vt:lpstr>
      <vt:lpstr>'RZiS Kal.'!Obszar_wydruku</vt:lpstr>
      <vt:lpstr>'RZiS Por. '!Obszar_wydruku</vt:lpstr>
      <vt:lpstr>'spis treści'!Obszar_wydruku</vt:lpstr>
      <vt:lpstr>SPRAWOZDANIE!Obszar_wydruku</vt:lpstr>
      <vt:lpstr>'SPRAWOZDANIE S.A.'!Obszar_wydruku</vt:lpstr>
      <vt:lpstr>Tytułowa!Obszar_wydruku</vt:lpstr>
      <vt:lpstr>Wprowadzenie!Obszar_wydruku</vt:lpstr>
      <vt:lpstr>wskazówki!Obszar_wydruku</vt:lpstr>
      <vt:lpstr>'Z. Zm. w Kap.'!Obszar_wydruku</vt:lpstr>
      <vt:lpstr>oddzial_dane_tabela</vt:lpstr>
      <vt:lpstr>oddzial_w_tabela</vt:lpstr>
      <vt:lpstr>n!OLE_LINK1</vt:lpstr>
      <vt:lpstr>p2dz</vt:lpstr>
      <vt:lpstr>p2dzo</vt:lpstr>
      <vt:lpstr>pdz</vt:lpstr>
      <vt:lpstr>pdzo</vt:lpstr>
      <vt:lpstr>ro</vt:lpstr>
      <vt:lpstr>rok</vt:lpstr>
      <vt:lpstr>siedziba</vt:lpstr>
      <vt:lpstr>Spółka</vt:lpstr>
      <vt:lpstr>ST_WD</vt:lpstr>
      <vt:lpstr>strata</vt:lpstr>
      <vt:lpstr>tytul</vt:lpstr>
      <vt:lpstr>'ID tytul'!Tytuły_wydruku</vt:lpstr>
      <vt:lpstr>'nota 1.1.-1.2'!Tytuły_wydruku</vt:lpstr>
      <vt:lpstr>'nota 1.11-1.15'!Tytuły_wydruku</vt:lpstr>
      <vt:lpstr>'nota 1.16-1.19'!Tytuły_wydruku</vt:lpstr>
      <vt:lpstr>'nota 1.3-1.10'!Tytuły_wydruku</vt:lpstr>
      <vt:lpstr>'nota 2'!Tytuły_wydruku</vt:lpstr>
      <vt:lpstr>'nota 3,4'!Tytuły_wydruku</vt:lpstr>
      <vt:lpstr>'nota 5'!Tytuły_wydruku</vt:lpstr>
      <vt:lpstr>'nota 6'!Tytuły_wydruku</vt:lpstr>
      <vt:lpstr>'nota 7'!Tytuły_wydruku</vt:lpstr>
      <vt:lpstr>'nota 8-11'!Tytuły_wydruku</vt:lpstr>
      <vt:lpstr>Tytułowa!Tytuły_wydruku</vt:lpstr>
      <vt:lpstr>Wprowadzenie!Tytuły_wydruku</vt:lpstr>
      <vt:lpstr>wskazówki!Tytuły_wydruku</vt:lpstr>
      <vt:lpstr>'Z. Zm. w Kap.'!Tytuły_wydruku</vt:lpstr>
      <vt:lpstr>ulica</vt:lpstr>
      <vt:lpstr>UoR</vt:lpstr>
      <vt:lpstr>wart.dolna</vt:lpstr>
      <vt:lpstr>wCF</vt:lpstr>
      <vt:lpstr>WD.wnip</vt:lpstr>
      <vt:lpstr>wd_wnip</vt:lpstr>
      <vt:lpstr>WG_ST</vt:lpstr>
      <vt:lpstr>WG_WNIP</vt:lpstr>
      <vt:lpstr>wrach</vt:lpstr>
      <vt:lpstr>ZZwk</vt:lpstr>
    </vt:vector>
  </TitlesOfParts>
  <Company>Roedl &amp; Partner Sp. z 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Sprawozdanie finansowe</dc:title>
  <dc:creator>Audyt Gliwice</dc:creator>
  <dc:description>Wersja ost.skoryg.09.2009</dc:description>
  <cp:lastModifiedBy>Czerwonka, Monika</cp:lastModifiedBy>
  <cp:lastPrinted>2025-02-11T12:52:07Z</cp:lastPrinted>
  <dcterms:created xsi:type="dcterms:W3CDTF">2002-04-25T10:20:56Z</dcterms:created>
  <dcterms:modified xsi:type="dcterms:W3CDTF">2025-02-21T13:08:10Z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0x0101005CD620008A6A394A899FFF1D3A0DD3D2</vt:lpwstr>
  </property>
  <property fmtid="{D5CDD505-2E9C-101B-9397-08002B2CF9AE}" pid="3" name="MediaServiceImageTags">
    <vt:lpwstr/>
  </property>
  <property fmtid="{D5CDD505-2E9C-101B-9397-08002B2CF9AE}" pid="4" name="STCat_7289232a-508d-46d5-bb6e-3434663f6014_Version">
    <vt:lpwstr>1</vt:lpwstr>
  </property>
  <property fmtid="{D5CDD505-2E9C-101B-9397-08002B2CF9AE}" pid="5" name="STCat_7289232a-508d-46d5-bb6e-3434663f6014_Id">
    <vt:lpwstr>7289232a-508d-46d5-bb6e-3434663f6014</vt:lpwstr>
  </property>
  <property fmtid="{D5CDD505-2E9C-101B-9397-08002B2CF9AE}" pid="6" name="STCat_7289232a-508d-46d5-bb6e-3434663f6014_Name">
    <vt:lpwstr>SensibleFileserver</vt:lpwstr>
  </property>
</Properties>
</file>