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codeName="Ten_skoroszyt" defaultThemeVersion="124226"/>
  <mc:AlternateContent xmlns:mc="http://schemas.openxmlformats.org/markup-compatibility/2006">
    <mc:Choice Requires="x15">
      <x15ac:absPath xmlns:x15ac="http://schemas.microsoft.com/office/spreadsheetml/2010/11/ac" url="https://rhenusglobal.sharepoint.com/sites/rospl_finance/Shared Documents/Księgowość/bilanse/2024/RDW/bilans_202412/"/>
    </mc:Choice>
  </mc:AlternateContent>
  <xr:revisionPtr revIDLastSave="314" documentId="8_{9AAAF2B0-ECE1-4324-A21A-F1CBC1C54A81}" xr6:coauthVersionLast="47" xr6:coauthVersionMax="47" xr10:uidLastSave="{32F60F19-EFEB-4A5C-BF8B-B11A23C44F3B}"/>
  <bookViews>
    <workbookView xWindow="-120" yWindow="-120" windowWidth="29040" windowHeight="15720" tabRatio="797" firstSheet="4" activeTab="18" xr2:uid="{00000000-000D-0000-FFFF-FFFF00000000}"/>
  </bookViews>
  <sheets>
    <sheet name="Arkusz3" sheetId="100" state="veryHidden" r:id="rId1"/>
    <sheet name="wskazówki" sheetId="72" r:id="rId2"/>
    <sheet name="kurs_nbp" sheetId="125" state="hidden" r:id="rId3"/>
    <sheet name="spis treści" sheetId="57" state="hidden" r:id="rId4"/>
    <sheet name="n" sheetId="4" r:id="rId5"/>
    <sheet name="GA" sheetId="5" r:id="rId6"/>
    <sheet name="PKD" sheetId="97" state="hidden" r:id="rId7"/>
    <sheet name="Tytułowa" sheetId="79" r:id="rId8"/>
    <sheet name="Wprowadzenie" sheetId="91" r:id="rId9"/>
    <sheet name="Bilans" sheetId="96" r:id="rId10"/>
    <sheet name="RZiS Por. " sheetId="7" r:id="rId11"/>
    <sheet name="FORMATKA_RPP bezpośredni" sheetId="84" state="hidden" r:id="rId12"/>
    <sheet name="RZiS Kal." sheetId="31" r:id="rId13"/>
    <sheet name="CF mp" sheetId="60" r:id="rId14"/>
    <sheet name="CF mb" sheetId="65" r:id="rId15"/>
    <sheet name="Z. Zm. w Kap." sheetId="59" r:id="rId16"/>
    <sheet name="ID tytul" sheetId="81" r:id="rId17"/>
    <sheet name="nota 1.1.-1.2" sheetId="40" r:id="rId18"/>
    <sheet name="nota 1.3-1.10" sheetId="43" r:id="rId19"/>
    <sheet name="nota 1.11-1.15" sheetId="75" r:id="rId20"/>
    <sheet name="nota 1.16-1.19" sheetId="69" r:id="rId21"/>
    <sheet name="nota 2" sheetId="49" r:id="rId22"/>
    <sheet name="nota 3,4" sheetId="78" r:id="rId23"/>
    <sheet name="nota 5" sheetId="51" r:id="rId24"/>
    <sheet name="nota 6" sheetId="52" r:id="rId25"/>
    <sheet name="nota 7" sheetId="53" r:id="rId26"/>
    <sheet name="nota 8-11" sheetId="54" r:id="rId27"/>
    <sheet name="SPRAWOZDANIE" sheetId="70" state="hidden" r:id="rId28"/>
    <sheet name="SPRAWOZDANIE S.A." sheetId="73" state="hidden" r:id="rId29"/>
  </sheets>
  <externalReferences>
    <externalReference r:id="rId30"/>
    <externalReference r:id="rId31"/>
    <externalReference r:id="rId32"/>
    <externalReference r:id="rId33"/>
    <externalReference r:id="rId34"/>
    <externalReference r:id="rId35"/>
  </externalReferences>
  <definedNames>
    <definedName name="_xlnm._FilterDatabase" localSheetId="5" hidden="1">GA!$G$16</definedName>
    <definedName name="_xlnm._FilterDatabase" localSheetId="2" hidden="1">kurs_nbp!$A$1:$F$23</definedName>
    <definedName name="_xlnm._FilterDatabase" localSheetId="4" hidden="1">n!$A$2:$C$1787</definedName>
    <definedName name="_xlnm._FilterDatabase" localSheetId="6" hidden="1">PKD!$A$1:$B$656</definedName>
    <definedName name="adres">GA!$D$17</definedName>
    <definedName name="adresA786">n!$C$1748</definedName>
    <definedName name="arkusz_korekt">GA!#REF!</definedName>
    <definedName name="DaneZewnętrzne_1" localSheetId="0" hidden="1">Arkusz3!$B$1:$B$49</definedName>
    <definedName name="datrap">GA!$D$53</definedName>
    <definedName name="dzb">GA!$D$23</definedName>
    <definedName name="dzbo">GA!$D$28</definedName>
    <definedName name="gdzie">GA!#REF!</definedName>
    <definedName name="gdzie2">GA!#REF!</definedName>
    <definedName name="jezyk">GA!$D$14</definedName>
    <definedName name="jezyk1">GA!$D$14</definedName>
    <definedName name="kapital">Wprowadzenie!$O$286</definedName>
    <definedName name="kod">GA!$D$18</definedName>
    <definedName name="ksh">Wprowadzenie!$O$287</definedName>
    <definedName name="nazwa_spolki">GA!$D$16</definedName>
    <definedName name="_xlnm.Print_Area" localSheetId="9">Bilans!$D$2:$T$139</definedName>
    <definedName name="_xlnm.Print_Area" localSheetId="14">'CF mb'!$B$2:$J$94</definedName>
    <definedName name="_xlnm.Print_Area" localSheetId="13">'CF mp'!$B$2:$J$94</definedName>
    <definedName name="_xlnm.Print_Area" localSheetId="5">GA!$B$2:$H$64</definedName>
    <definedName name="_xlnm.Print_Area" localSheetId="16">'ID tytul'!$A$1:$Y$72</definedName>
    <definedName name="_xlnm.Print_Area" localSheetId="17">'nota 1.1.-1.2'!$B$2:$G$253</definedName>
    <definedName name="_xlnm.Print_Area" localSheetId="19">'nota 1.11-1.15'!$B$2:$H$152</definedName>
    <definedName name="_xlnm.Print_Area" localSheetId="20">'nota 1.16-1.19'!$B$2:$I$57</definedName>
    <definedName name="_xlnm.Print_Area" localSheetId="18">'nota 1.3-1.10'!$B$2:$J$130</definedName>
    <definedName name="_xlnm.Print_Area" localSheetId="21">'nota 2'!$B$2:$K$395</definedName>
    <definedName name="_xlnm.Print_Area" localSheetId="22">'nota 3,4'!$B$2:$L$146</definedName>
    <definedName name="_xlnm.Print_Area" localSheetId="23">'nota 5'!$B$2:$K$63</definedName>
    <definedName name="_xlnm.Print_Area" localSheetId="24">'nota 6'!$B$2:$L$62</definedName>
    <definedName name="_xlnm.Print_Area" localSheetId="25">'nota 7'!$B$2:$M$89</definedName>
    <definedName name="_xlnm.Print_Area" localSheetId="26">'nota 8-11'!$B$2:$L$362</definedName>
    <definedName name="_xlnm.Print_Area" localSheetId="12">'RZiS Kal.'!$B$2:$G$78</definedName>
    <definedName name="_xlnm.Print_Area" localSheetId="10">'RZiS Por. '!$A$2:$F$82</definedName>
    <definedName name="_xlnm.Print_Area" localSheetId="3">'spis treści'!$C$1:$C$35</definedName>
    <definedName name="_xlnm.Print_Area" localSheetId="27">SPRAWOZDANIE!$B$2:$V$245</definedName>
    <definedName name="_xlnm.Print_Area" localSheetId="28">'SPRAWOZDANIE S.A.'!$B$2:$V$253</definedName>
    <definedName name="_xlnm.Print_Area" localSheetId="7">Tytułowa!$A$1:$Y$72</definedName>
    <definedName name="_xlnm.Print_Area" localSheetId="8">Wprowadzenie!$B$2:$K$291</definedName>
    <definedName name="_xlnm.Print_Area" localSheetId="1">wskazówki!$B$1:$C$30</definedName>
    <definedName name="_xlnm.Print_Area" localSheetId="15">'Z. Zm. w Kap.'!$B$2:$J$105</definedName>
    <definedName name="oddzial">GA!#REF!</definedName>
    <definedName name="oddzial_dane_tabela">GA!$L$26:$R$31</definedName>
    <definedName name="oddzial_de">GA!#REF!</definedName>
    <definedName name="oddzial_eng">GA!#REF!</definedName>
    <definedName name="oddzial_w_tabela">GA!$L$16:$P$18</definedName>
    <definedName name="oddzialde">GA!#REF!</definedName>
    <definedName name="OLE_LINK1" localSheetId="4">n!$G$123</definedName>
    <definedName name="p_rok_dzial">GA!#REF!</definedName>
    <definedName name="p2dz">GA!$D$38</definedName>
    <definedName name="p2dzo">GA!$E$38</definedName>
    <definedName name="pdz">GA!$D$33</definedName>
    <definedName name="pdzo">GA!$E$33</definedName>
    <definedName name="rjedn">[1]GA!$D$27</definedName>
    <definedName name="ro">GA!$D$15</definedName>
    <definedName name="rok">GA!$D$15</definedName>
    <definedName name="siedziba">GA!$D$19</definedName>
    <definedName name="Spółka">GA!$D$16</definedName>
    <definedName name="ST_WD">Wprowadzenie!$AC$97</definedName>
    <definedName name="strata">Wprowadzenie!$O$285</definedName>
    <definedName name="strata1">Wprowadzenie!#REF!</definedName>
    <definedName name="tytul">GA!$D$21</definedName>
    <definedName name="_xlnm.Print_Titles" localSheetId="16">'ID tytul'!$3:$3</definedName>
    <definedName name="_xlnm.Print_Titles" localSheetId="17">'nota 1.1.-1.2'!$2:$4</definedName>
    <definedName name="_xlnm.Print_Titles" localSheetId="19">'nota 1.11-1.15'!$2:$5</definedName>
    <definedName name="_xlnm.Print_Titles" localSheetId="20">'nota 1.16-1.19'!$3:$5</definedName>
    <definedName name="_xlnm.Print_Titles" localSheetId="18">'nota 1.3-1.10'!$2:$4</definedName>
    <definedName name="_xlnm.Print_Titles" localSheetId="21">'nota 2'!$2:$5</definedName>
    <definedName name="_xlnm.Print_Titles" localSheetId="22">'nota 3,4'!$2:$3</definedName>
    <definedName name="_xlnm.Print_Titles" localSheetId="23">'nota 5'!$2:$5</definedName>
    <definedName name="_xlnm.Print_Titles" localSheetId="24">'nota 6'!$2:$5</definedName>
    <definedName name="_xlnm.Print_Titles" localSheetId="25">'nota 7'!$2:$5</definedName>
    <definedName name="_xlnm.Print_Titles" localSheetId="26">'nota 8-11'!$2:$3</definedName>
    <definedName name="_xlnm.Print_Titles" localSheetId="7">Tytułowa!$3:$3</definedName>
    <definedName name="_xlnm.Print_Titles" localSheetId="8">Wprowadzenie!$5:$5</definedName>
    <definedName name="_xlnm.Print_Titles" localSheetId="1">wskazówki!$1:$3</definedName>
    <definedName name="_xlnm.Print_Titles" localSheetId="15">'Z. Zm. w Kap.'!$2:$10</definedName>
    <definedName name="ulica">GA!$D$17</definedName>
    <definedName name="UoR">n!$A$31</definedName>
    <definedName name="wart.dolna">Wprowadzenie!$AC$92</definedName>
    <definedName name="wCF">GA!$D$47</definedName>
    <definedName name="WD.wnip">Wprowadzenie!$AC$92</definedName>
    <definedName name="wd_wnip">Wprowadzenie!$AC$92</definedName>
    <definedName name="WG_ST">Wprowadzenie!$AC$98</definedName>
    <definedName name="WG_WNIP">Wprowadzenie!$AC$94</definedName>
    <definedName name="wrach">GA!$D$44</definedName>
    <definedName name="ZZwk">GA!$D$49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8" i="43" l="1"/>
  <c r="S79" i="43"/>
  <c r="S77" i="43"/>
  <c r="R79" i="43"/>
  <c r="H99" i="43"/>
  <c r="H90" i="43"/>
  <c r="R78" i="43"/>
  <c r="H79" i="43"/>
  <c r="E78" i="43"/>
  <c r="E77" i="43"/>
  <c r="E76" i="43"/>
  <c r="E75" i="43"/>
  <c r="R74" i="43"/>
  <c r="E74" i="43"/>
  <c r="I110" i="40"/>
  <c r="I109" i="40"/>
  <c r="I108" i="40"/>
  <c r="I107" i="40"/>
  <c r="I106" i="40"/>
  <c r="I112" i="40"/>
  <c r="I111" i="40"/>
  <c r="I113" i="40"/>
  <c r="H113" i="40"/>
  <c r="H112" i="40"/>
  <c r="H111" i="40"/>
  <c r="H110" i="40"/>
  <c r="H109" i="40"/>
  <c r="H108" i="40"/>
  <c r="H107" i="40"/>
  <c r="H106" i="40"/>
  <c r="I36" i="40"/>
  <c r="I35" i="40"/>
  <c r="I34" i="40"/>
  <c r="I33" i="40"/>
  <c r="I37" i="40"/>
  <c r="H37" i="40"/>
  <c r="H36" i="40"/>
  <c r="H35" i="40"/>
  <c r="H34" i="40"/>
  <c r="H33" i="40"/>
  <c r="D43" i="91"/>
  <c r="D41" i="91"/>
  <c r="L84" i="65"/>
  <c r="I84" i="65"/>
  <c r="G83" i="31"/>
  <c r="F83" i="31"/>
  <c r="B231" i="40"/>
  <c r="B163" i="40"/>
  <c r="B72" i="40"/>
  <c r="C86" i="91"/>
  <c r="C108" i="91"/>
  <c r="C124" i="91"/>
  <c r="C151" i="91"/>
  <c r="C217" i="91"/>
  <c r="C249" i="91"/>
  <c r="C247" i="91"/>
  <c r="C353" i="54"/>
  <c r="B351" i="54"/>
  <c r="B349" i="54"/>
  <c r="C351" i="54"/>
  <c r="C311" i="54"/>
  <c r="C268" i="54"/>
  <c r="C260" i="54"/>
  <c r="C258" i="54"/>
  <c r="C252" i="54"/>
  <c r="C227" i="54"/>
  <c r="C220" i="54"/>
  <c r="C210" i="54"/>
  <c r="C208" i="54"/>
  <c r="C205" i="54"/>
  <c r="C71" i="54"/>
  <c r="C63" i="54"/>
  <c r="C83" i="53"/>
  <c r="C40" i="53"/>
  <c r="C26" i="53"/>
  <c r="C22" i="53"/>
  <c r="F56" i="52"/>
  <c r="F46" i="52"/>
  <c r="F45" i="52"/>
  <c r="F42" i="52"/>
  <c r="F35" i="52"/>
  <c r="F32" i="52"/>
  <c r="C21" i="52"/>
  <c r="C55" i="51"/>
  <c r="C39" i="51"/>
  <c r="C29" i="51"/>
  <c r="C25" i="51"/>
  <c r="C13" i="51"/>
  <c r="C9" i="51"/>
  <c r="N142" i="78"/>
  <c r="M142" i="78"/>
  <c r="I116" i="78"/>
  <c r="K116" i="78"/>
  <c r="K115" i="78"/>
  <c r="K114" i="78"/>
  <c r="I114" i="78"/>
  <c r="K109" i="78"/>
  <c r="I109" i="78"/>
  <c r="I108" i="78"/>
  <c r="K108" i="78"/>
  <c r="M107" i="78"/>
  <c r="K103" i="78"/>
  <c r="I103" i="78"/>
  <c r="I87" i="78"/>
  <c r="I88" i="78"/>
  <c r="K88" i="78"/>
  <c r="K87" i="78"/>
  <c r="K86" i="78"/>
  <c r="I86" i="78"/>
  <c r="K85" i="78"/>
  <c r="I85" i="78"/>
  <c r="M84" i="78"/>
  <c r="K76" i="78"/>
  <c r="K75" i="78"/>
  <c r="K74" i="78"/>
  <c r="K73" i="78"/>
  <c r="I76" i="78"/>
  <c r="I75" i="78"/>
  <c r="I74" i="78"/>
  <c r="I73" i="78"/>
  <c r="M72" i="78"/>
  <c r="K66" i="78"/>
  <c r="I66" i="78"/>
  <c r="M65" i="78"/>
  <c r="K59" i="78"/>
  <c r="I59" i="78"/>
  <c r="M58" i="78"/>
  <c r="C19" i="78"/>
  <c r="C391" i="49"/>
  <c r="C377" i="49"/>
  <c r="C362" i="49"/>
  <c r="C351" i="49"/>
  <c r="C343" i="49"/>
  <c r="C330" i="49"/>
  <c r="M321" i="49"/>
  <c r="L321" i="49"/>
  <c r="M313" i="49"/>
  <c r="L313" i="49"/>
  <c r="C297" i="49"/>
  <c r="L88" i="49"/>
  <c r="J88" i="49"/>
  <c r="I88" i="49"/>
  <c r="G88" i="49"/>
  <c r="E88" i="49"/>
  <c r="L77" i="49"/>
  <c r="J77" i="49"/>
  <c r="I77" i="49"/>
  <c r="G77" i="49"/>
  <c r="E77" i="49"/>
  <c r="C66" i="49"/>
  <c r="C48" i="49"/>
  <c r="C29" i="49"/>
  <c r="C28" i="49"/>
  <c r="C24" i="49"/>
  <c r="C50" i="69"/>
  <c r="C30" i="69"/>
  <c r="C8" i="69"/>
  <c r="C68" i="75"/>
  <c r="C72" i="75"/>
  <c r="C100" i="75"/>
  <c r="C110" i="75"/>
  <c r="C84" i="75"/>
  <c r="C121" i="75"/>
  <c r="J117" i="75"/>
  <c r="I117" i="75"/>
  <c r="J96" i="75"/>
  <c r="I96" i="75"/>
  <c r="G88" i="75"/>
  <c r="E88" i="75"/>
  <c r="K66" i="75"/>
  <c r="J66" i="75"/>
  <c r="I66" i="75"/>
  <c r="D59" i="75"/>
  <c r="D64" i="75"/>
  <c r="D62" i="75"/>
  <c r="D63" i="75"/>
  <c r="D61" i="75"/>
  <c r="D58" i="75"/>
  <c r="D50" i="75"/>
  <c r="D49" i="75"/>
  <c r="D48" i="75"/>
  <c r="D47" i="75"/>
  <c r="D45" i="75"/>
  <c r="D44" i="75"/>
  <c r="C8" i="75"/>
  <c r="S76" i="43"/>
  <c r="S75" i="43"/>
  <c r="D46" i="75" l="1"/>
  <c r="C37" i="43" l="1"/>
  <c r="C33" i="43"/>
  <c r="C22" i="43"/>
  <c r="C13" i="43"/>
  <c r="C9" i="43"/>
  <c r="B8" i="40"/>
  <c r="H190" i="40"/>
  <c r="I190" i="40"/>
  <c r="I189" i="40"/>
  <c r="I187" i="40"/>
  <c r="I188" i="40"/>
  <c r="I186" i="40"/>
  <c r="H189" i="40"/>
  <c r="H187" i="40"/>
  <c r="H188" i="40"/>
  <c r="H186" i="40"/>
  <c r="I98" i="59" l="1"/>
  <c r="J97" i="59"/>
  <c r="J96" i="59"/>
  <c r="I97" i="59"/>
  <c r="I96" i="59"/>
  <c r="C276" i="91"/>
  <c r="C265" i="91"/>
  <c r="C260" i="91"/>
  <c r="C258" i="91"/>
  <c r="C253" i="91"/>
  <c r="C235" i="91"/>
  <c r="C122" i="91"/>
  <c r="C80" i="91"/>
  <c r="C69" i="91"/>
  <c r="C67" i="91"/>
  <c r="C71" i="91"/>
  <c r="E67" i="79" l="1"/>
  <c r="Q269" i="91"/>
  <c r="AC92" i="91"/>
  <c r="AC93" i="91"/>
  <c r="AC97" i="91"/>
  <c r="I85" i="60"/>
  <c r="K85" i="60" s="1"/>
  <c r="G33" i="54"/>
  <c r="G9" i="54"/>
  <c r="A26" i="125"/>
  <c r="A27" i="125"/>
  <c r="A28" i="125"/>
  <c r="A29" i="125"/>
  <c r="A30" i="125"/>
  <c r="A31" i="125"/>
  <c r="A32" i="125"/>
  <c r="A33" i="125"/>
  <c r="A34" i="125"/>
  <c r="A35" i="125"/>
  <c r="A36" i="125"/>
  <c r="A37" i="125"/>
  <c r="A38" i="125"/>
  <c r="A39" i="125"/>
  <c r="A40" i="125"/>
  <c r="A41" i="125"/>
  <c r="A42" i="125"/>
  <c r="A43" i="125"/>
  <c r="A44" i="125"/>
  <c r="A45" i="125"/>
  <c r="A25" i="125"/>
  <c r="A24" i="125"/>
  <c r="K151" i="49" l="1"/>
  <c r="K162" i="49"/>
  <c r="A1647" i="4" l="1"/>
  <c r="I72" i="59"/>
  <c r="A1646" i="4"/>
  <c r="R81" i="53"/>
  <c r="B1646" i="4" s="1"/>
  <c r="A2" i="125"/>
  <c r="A3" i="125"/>
  <c r="A4" i="125"/>
  <c r="A5" i="125"/>
  <c r="B1647" i="4" l="1"/>
  <c r="C1647" i="4"/>
  <c r="C1646" i="4"/>
  <c r="A6" i="125"/>
  <c r="A7" i="125"/>
  <c r="A8" i="125"/>
  <c r="A9" i="125"/>
  <c r="A13" i="125"/>
  <c r="A12" i="125"/>
  <c r="A11" i="125"/>
  <c r="A10" i="125"/>
  <c r="A17" i="125"/>
  <c r="A18" i="125"/>
  <c r="A19" i="125"/>
  <c r="A20" i="125"/>
  <c r="A22" i="125"/>
  <c r="A23" i="125"/>
  <c r="A14" i="125"/>
  <c r="A15" i="125"/>
  <c r="A16" i="125"/>
  <c r="A21" i="125"/>
  <c r="C259" i="49" l="1"/>
  <c r="K259" i="49"/>
  <c r="C260" i="49"/>
  <c r="K260" i="49"/>
  <c r="I255" i="49"/>
  <c r="J255" i="49"/>
  <c r="K255" i="49"/>
  <c r="K256" i="49"/>
  <c r="K257" i="49"/>
  <c r="C256" i="49"/>
  <c r="C257" i="49"/>
  <c r="K250" i="49"/>
  <c r="C250" i="49"/>
  <c r="K246" i="49"/>
  <c r="C246" i="49"/>
  <c r="C245" i="49"/>
  <c r="C244" i="49"/>
  <c r="C239" i="49"/>
  <c r="K239" i="49"/>
  <c r="C233" i="49"/>
  <c r="K233" i="49"/>
  <c r="C234" i="49"/>
  <c r="K234" i="49"/>
  <c r="K223" i="49"/>
  <c r="K224" i="49"/>
  <c r="C223" i="49"/>
  <c r="C224" i="49"/>
  <c r="K171" i="49"/>
  <c r="K172" i="49"/>
  <c r="C171" i="49"/>
  <c r="C172" i="49"/>
  <c r="I167" i="49"/>
  <c r="J167" i="49"/>
  <c r="K167" i="49"/>
  <c r="K168" i="49"/>
  <c r="K169" i="49"/>
  <c r="C168" i="49"/>
  <c r="C169" i="49"/>
  <c r="K156" i="49"/>
  <c r="K157" i="49"/>
  <c r="K158" i="49"/>
  <c r="C152" i="49"/>
  <c r="C153" i="49"/>
  <c r="C154" i="49"/>
  <c r="C155" i="49"/>
  <c r="C156" i="49"/>
  <c r="C157" i="49"/>
  <c r="C158" i="49"/>
  <c r="C162" i="49"/>
  <c r="C151" i="49"/>
  <c r="C159" i="49"/>
  <c r="C160" i="49"/>
  <c r="C161" i="49"/>
  <c r="K145" i="49"/>
  <c r="K146" i="49"/>
  <c r="C145" i="49"/>
  <c r="C146" i="49"/>
  <c r="K135" i="49"/>
  <c r="K136" i="49"/>
  <c r="C135" i="49"/>
  <c r="C136" i="49"/>
  <c r="D35" i="5" l="1"/>
  <c r="C792" i="4" l="1"/>
  <c r="B792" i="4"/>
  <c r="A792" i="4"/>
  <c r="G57" i="75" s="1"/>
  <c r="C790" i="4"/>
  <c r="B790" i="4"/>
  <c r="A790" i="4"/>
  <c r="F57" i="75" s="1"/>
  <c r="C788" i="4"/>
  <c r="B788" i="4"/>
  <c r="A788" i="4"/>
  <c r="E57" i="75" s="1"/>
  <c r="I63" i="51"/>
  <c r="G63" i="51"/>
  <c r="E36" i="5"/>
  <c r="E41" i="5" s="1"/>
  <c r="E35" i="5"/>
  <c r="E40" i="5" s="1"/>
  <c r="D49" i="5" l="1"/>
  <c r="J339" i="49"/>
  <c r="H339" i="49"/>
  <c r="C335" i="49"/>
  <c r="C338" i="49" s="1"/>
  <c r="C1171" i="4" l="1"/>
  <c r="B1171" i="4"/>
  <c r="A1171" i="4"/>
  <c r="C1097" i="4"/>
  <c r="C1096" i="4"/>
  <c r="B1097" i="4"/>
  <c r="B1096" i="4"/>
  <c r="A1097" i="4"/>
  <c r="A1096" i="4"/>
  <c r="C1078" i="4"/>
  <c r="C1077" i="4"/>
  <c r="B1078" i="4"/>
  <c r="B1077" i="4"/>
  <c r="A1078" i="4"/>
  <c r="A1077" i="4"/>
  <c r="C1067" i="4"/>
  <c r="B1067" i="4"/>
  <c r="A1067" i="4"/>
  <c r="I57" i="51"/>
  <c r="I31" i="51"/>
  <c r="I18" i="51"/>
  <c r="K65" i="78"/>
  <c r="K58" i="78"/>
  <c r="K45" i="78"/>
  <c r="K30" i="78"/>
  <c r="K21" i="78"/>
  <c r="J393" i="49"/>
  <c r="I384" i="49"/>
  <c r="I379" i="49"/>
  <c r="I370" i="49"/>
  <c r="I365" i="49"/>
  <c r="I354" i="49"/>
  <c r="I345" i="49"/>
  <c r="J332" i="49"/>
  <c r="J31" i="49"/>
  <c r="C886" i="4"/>
  <c r="B886" i="4"/>
  <c r="A886" i="4"/>
  <c r="A791" i="4"/>
  <c r="A789" i="4"/>
  <c r="B791" i="4"/>
  <c r="B789" i="4"/>
  <c r="C791" i="4"/>
  <c r="C789" i="4"/>
  <c r="C787" i="4"/>
  <c r="B787" i="4"/>
  <c r="A787" i="4"/>
  <c r="C761" i="4"/>
  <c r="B761" i="4"/>
  <c r="A761" i="4"/>
  <c r="C617" i="4"/>
  <c r="B617" i="4"/>
  <c r="A617" i="4"/>
  <c r="C54" i="75" s="1"/>
  <c r="L17" i="60"/>
  <c r="L13" i="60"/>
  <c r="F8" i="91" l="1"/>
  <c r="C1133" i="4" l="1"/>
  <c r="B1133" i="4"/>
  <c r="A841" i="4" l="1"/>
  <c r="C199" i="91"/>
  <c r="A1133" i="4" l="1"/>
  <c r="A1095" i="4" l="1"/>
  <c r="B1095" i="4"/>
  <c r="C1095" i="4"/>
  <c r="A1100" i="4"/>
  <c r="B1100" i="4"/>
  <c r="C1100" i="4"/>
  <c r="A1099" i="4"/>
  <c r="A970" i="4"/>
  <c r="B970" i="4"/>
  <c r="C970" i="4"/>
  <c r="N333" i="54" l="1"/>
  <c r="N331" i="54"/>
  <c r="C346" i="54"/>
  <c r="C345" i="54"/>
  <c r="C344" i="54"/>
  <c r="C1192" i="4"/>
  <c r="B1192" i="4"/>
  <c r="A1192" i="4"/>
  <c r="I338" i="54"/>
  <c r="K338" i="54"/>
  <c r="G338" i="54"/>
  <c r="C340" i="54"/>
  <c r="I333" i="54"/>
  <c r="K333" i="54"/>
  <c r="G328" i="54"/>
  <c r="I328" i="54"/>
  <c r="K328" i="54"/>
  <c r="C327" i="54"/>
  <c r="C329" i="54"/>
  <c r="C330" i="54"/>
  <c r="C334" i="54"/>
  <c r="C335" i="54"/>
  <c r="C339" i="54"/>
  <c r="C326" i="54"/>
  <c r="I325" i="54"/>
  <c r="K325" i="54"/>
  <c r="C328" i="54"/>
  <c r="G325" i="54"/>
  <c r="A1186" i="4"/>
  <c r="A1183" i="4"/>
  <c r="B786" i="4"/>
  <c r="C644" i="4"/>
  <c r="B644" i="4"/>
  <c r="N334" i="54" l="1"/>
  <c r="C333" i="54"/>
  <c r="C338" i="54"/>
  <c r="C325" i="54"/>
  <c r="B1098" i="4"/>
  <c r="A1098" i="4"/>
  <c r="B1099" i="4"/>
  <c r="C1099" i="4"/>
  <c r="C66" i="53"/>
  <c r="A687" i="4"/>
  <c r="A644" i="4"/>
  <c r="F9" i="91"/>
  <c r="J8" i="60"/>
  <c r="F8" i="7"/>
  <c r="J9" i="60"/>
  <c r="F9" i="7"/>
  <c r="J7" i="59" l="1"/>
  <c r="J8" i="59"/>
  <c r="C302" i="54" l="1"/>
  <c r="C301" i="54"/>
  <c r="C300" i="54"/>
  <c r="C299" i="54"/>
  <c r="C298" i="54"/>
  <c r="C294" i="54"/>
  <c r="C43" i="69"/>
  <c r="A840" i="4"/>
  <c r="C37" i="69"/>
  <c r="I38" i="69"/>
  <c r="H38" i="69"/>
  <c r="C274" i="91"/>
  <c r="C1062" i="4" l="1"/>
  <c r="E15" i="5" l="1"/>
  <c r="C46" i="69" l="1"/>
  <c r="C45" i="69"/>
  <c r="C44" i="69"/>
  <c r="C42" i="69"/>
  <c r="C41" i="69"/>
  <c r="C40" i="69"/>
  <c r="C39" i="69"/>
  <c r="C38" i="69"/>
  <c r="C34" i="69"/>
  <c r="C32" i="69"/>
  <c r="K134" i="96" l="1"/>
  <c r="K132" i="96"/>
  <c r="K130" i="96"/>
  <c r="K128" i="96"/>
  <c r="K125" i="96"/>
  <c r="K124" i="96"/>
  <c r="K120" i="96"/>
  <c r="K119" i="96"/>
  <c r="K118" i="96"/>
  <c r="K117" i="96"/>
  <c r="K114" i="96"/>
  <c r="K113" i="96"/>
  <c r="K112" i="96"/>
  <c r="K111" i="96"/>
  <c r="K105" i="96"/>
  <c r="K104" i="96"/>
  <c r="K100" i="96"/>
  <c r="K99" i="96"/>
  <c r="T98" i="96"/>
  <c r="T97" i="96"/>
  <c r="T94" i="96"/>
  <c r="K94" i="96"/>
  <c r="K92" i="96"/>
  <c r="K91" i="96"/>
  <c r="T89" i="96"/>
  <c r="T87" i="96"/>
  <c r="K87" i="96"/>
  <c r="T86" i="96"/>
  <c r="K84" i="96"/>
  <c r="T83" i="96"/>
  <c r="K83" i="96"/>
  <c r="T82" i="96"/>
  <c r="T80" i="96"/>
  <c r="T79" i="96"/>
  <c r="T77" i="96"/>
  <c r="K77" i="96"/>
  <c r="T76" i="96"/>
  <c r="K76" i="96"/>
  <c r="T75" i="96"/>
  <c r="K75" i="96"/>
  <c r="K74" i="96"/>
  <c r="K73" i="96"/>
  <c r="T72" i="96"/>
  <c r="T69" i="96"/>
  <c r="T68" i="96"/>
  <c r="K66" i="96"/>
  <c r="K65" i="96"/>
  <c r="T63" i="96"/>
  <c r="K61" i="96"/>
  <c r="T60" i="96"/>
  <c r="T59" i="96"/>
  <c r="K58" i="96"/>
  <c r="K57" i="96"/>
  <c r="K56" i="96"/>
  <c r="K55" i="96"/>
  <c r="K52" i="96"/>
  <c r="T51" i="96"/>
  <c r="K51" i="96"/>
  <c r="T50" i="96"/>
  <c r="K50" i="96"/>
  <c r="T49" i="96"/>
  <c r="K49" i="96"/>
  <c r="T48" i="96"/>
  <c r="T47" i="96"/>
  <c r="K46" i="96"/>
  <c r="T45" i="96"/>
  <c r="K45" i="96"/>
  <c r="T44" i="96"/>
  <c r="K44" i="96"/>
  <c r="T43" i="96"/>
  <c r="K43" i="96"/>
  <c r="K40" i="96"/>
  <c r="K39" i="96"/>
  <c r="T37" i="96"/>
  <c r="T36" i="96"/>
  <c r="K35" i="96"/>
  <c r="K34" i="96"/>
  <c r="T33" i="96"/>
  <c r="K33" i="96"/>
  <c r="T32" i="96"/>
  <c r="T30" i="96"/>
  <c r="K29" i="96"/>
  <c r="K28" i="96"/>
  <c r="K25" i="96"/>
  <c r="K24" i="96"/>
  <c r="K23" i="96"/>
  <c r="K22" i="96"/>
  <c r="T21" i="96"/>
  <c r="K21" i="96"/>
  <c r="T19" i="96"/>
  <c r="T18" i="96"/>
  <c r="T17" i="96"/>
  <c r="T16" i="96"/>
  <c r="K16" i="96"/>
  <c r="T15" i="96"/>
  <c r="K15" i="96"/>
  <c r="T14" i="96"/>
  <c r="K14" i="96"/>
  <c r="T13" i="96"/>
  <c r="K13" i="96"/>
  <c r="T12" i="96"/>
  <c r="J134" i="96"/>
  <c r="J132" i="96"/>
  <c r="J128" i="96"/>
  <c r="J125" i="96"/>
  <c r="J124" i="96"/>
  <c r="J120" i="96"/>
  <c r="J119" i="96"/>
  <c r="J118" i="96"/>
  <c r="J117" i="96"/>
  <c r="J114" i="96"/>
  <c r="J113" i="96"/>
  <c r="J112" i="96"/>
  <c r="J111" i="96"/>
  <c r="J105" i="96"/>
  <c r="J104" i="96"/>
  <c r="J100" i="96"/>
  <c r="S97" i="96"/>
  <c r="S94" i="96"/>
  <c r="J94" i="96"/>
  <c r="J92" i="96"/>
  <c r="S89" i="96"/>
  <c r="S87" i="96"/>
  <c r="J87" i="96"/>
  <c r="S86" i="96"/>
  <c r="J84" i="96"/>
  <c r="S83" i="96"/>
  <c r="S82" i="96"/>
  <c r="S80" i="96"/>
  <c r="S77" i="96"/>
  <c r="J77" i="96"/>
  <c r="S76" i="96"/>
  <c r="J76" i="96"/>
  <c r="S75" i="96"/>
  <c r="J75" i="96"/>
  <c r="J74" i="96"/>
  <c r="J73" i="96"/>
  <c r="S72" i="96"/>
  <c r="S69" i="96"/>
  <c r="S68" i="96"/>
  <c r="J66" i="96"/>
  <c r="S63" i="96"/>
  <c r="J61" i="96"/>
  <c r="S60" i="96"/>
  <c r="J58" i="96"/>
  <c r="J57" i="96"/>
  <c r="J56" i="96"/>
  <c r="J55" i="96"/>
  <c r="J52" i="96"/>
  <c r="S51" i="96"/>
  <c r="J51" i="96"/>
  <c r="S50" i="96"/>
  <c r="J50" i="96"/>
  <c r="S49" i="96"/>
  <c r="J49" i="96"/>
  <c r="S48" i="96"/>
  <c r="S47" i="96"/>
  <c r="J46" i="96"/>
  <c r="S45" i="96"/>
  <c r="J45" i="96"/>
  <c r="S44" i="96"/>
  <c r="J44" i="96"/>
  <c r="S43" i="96"/>
  <c r="J43" i="96"/>
  <c r="J40" i="96"/>
  <c r="J39" i="96"/>
  <c r="S36" i="96"/>
  <c r="J35" i="96"/>
  <c r="J34" i="96"/>
  <c r="J33" i="96"/>
  <c r="S30" i="96"/>
  <c r="J29" i="96"/>
  <c r="J28" i="96"/>
  <c r="J25" i="96"/>
  <c r="J24" i="96"/>
  <c r="J22" i="96"/>
  <c r="S21" i="96"/>
  <c r="J21" i="96"/>
  <c r="S18" i="96"/>
  <c r="S17" i="96"/>
  <c r="S16" i="96"/>
  <c r="J16" i="96"/>
  <c r="S15" i="96"/>
  <c r="S14" i="96"/>
  <c r="S13" i="96"/>
  <c r="S12" i="96"/>
  <c r="J13" i="96"/>
  <c r="T84" i="96" l="1"/>
  <c r="T81" i="96"/>
  <c r="S81" i="96"/>
  <c r="T70" i="96"/>
  <c r="T65" i="96" s="1"/>
  <c r="S70" i="96"/>
  <c r="S65" i="96" s="1"/>
  <c r="T61" i="96"/>
  <c r="T57" i="96" s="1"/>
  <c r="S61" i="96"/>
  <c r="S57" i="96" s="1"/>
  <c r="T52" i="96"/>
  <c r="T41" i="96" s="1"/>
  <c r="S52" i="96"/>
  <c r="S41" i="96" s="1"/>
  <c r="T38" i="96"/>
  <c r="S38" i="96"/>
  <c r="T34" i="96"/>
  <c r="S34" i="96"/>
  <c r="K126" i="96"/>
  <c r="J126" i="96"/>
  <c r="K121" i="96"/>
  <c r="J121" i="96"/>
  <c r="K115" i="96"/>
  <c r="J115" i="96"/>
  <c r="K101" i="96"/>
  <c r="K97" i="96" s="1"/>
  <c r="J101" i="96"/>
  <c r="J97" i="96" s="1"/>
  <c r="J93" i="96"/>
  <c r="J89" i="96" s="1"/>
  <c r="K93" i="96"/>
  <c r="K89" i="96" s="1"/>
  <c r="J85" i="96"/>
  <c r="J81" i="96" s="1"/>
  <c r="K85" i="96"/>
  <c r="K81" i="96" s="1"/>
  <c r="J71" i="96"/>
  <c r="K71" i="96"/>
  <c r="J63" i="96"/>
  <c r="K63" i="96"/>
  <c r="K59" i="96"/>
  <c r="J59" i="96"/>
  <c r="K53" i="96"/>
  <c r="J53" i="96"/>
  <c r="K47" i="96"/>
  <c r="J47" i="96"/>
  <c r="J31" i="96"/>
  <c r="K31" i="96"/>
  <c r="K26" i="96"/>
  <c r="K18" i="96" s="1"/>
  <c r="J26" i="96"/>
  <c r="J18" i="96" l="1"/>
  <c r="F52" i="7"/>
  <c r="F20" i="7"/>
  <c r="F35" i="7"/>
  <c r="F42" i="7"/>
  <c r="J41" i="96"/>
  <c r="J37" i="96" s="1"/>
  <c r="K109" i="96"/>
  <c r="K107" i="96" s="1"/>
  <c r="K41" i="96"/>
  <c r="K37" i="96" s="1"/>
  <c r="J79" i="96"/>
  <c r="J109" i="96"/>
  <c r="J107" i="96" s="1"/>
  <c r="T74" i="96"/>
  <c r="T55" i="96" s="1"/>
  <c r="S74" i="96"/>
  <c r="S55" i="96" s="1"/>
  <c r="K79" i="96"/>
  <c r="F50" i="7" l="1"/>
  <c r="J69" i="96"/>
  <c r="F64" i="7"/>
  <c r="K69" i="96"/>
  <c r="P47" i="5" l="1"/>
  <c r="C31" i="4" s="1"/>
  <c r="O47" i="5"/>
  <c r="B31" i="4" s="1"/>
  <c r="N47" i="5"/>
  <c r="A31" i="4" s="1"/>
  <c r="P46" i="5" l="1"/>
  <c r="O46" i="5"/>
  <c r="N46" i="5"/>
  <c r="A128" i="4" s="1"/>
  <c r="A129" i="4" l="1"/>
  <c r="B129" i="4"/>
  <c r="B128" i="4"/>
  <c r="B125" i="4"/>
  <c r="C129" i="4"/>
  <c r="C128" i="4"/>
  <c r="A127" i="4"/>
  <c r="A125" i="4"/>
  <c r="C125" i="4"/>
  <c r="C127" i="4"/>
  <c r="B127" i="4"/>
  <c r="A124" i="4"/>
  <c r="A126" i="4"/>
  <c r="B124" i="4"/>
  <c r="B126" i="4"/>
  <c r="C124" i="4"/>
  <c r="C126" i="4"/>
  <c r="C48" i="75" l="1"/>
  <c r="C49" i="75"/>
  <c r="C50" i="75"/>
  <c r="C51" i="75"/>
  <c r="C47" i="75"/>
  <c r="S45" i="53" l="1"/>
  <c r="S46" i="53" l="1"/>
  <c r="L61" i="75" l="1"/>
  <c r="C41" i="49" l="1"/>
  <c r="C8" i="53" l="1"/>
  <c r="H320" i="49"/>
  <c r="H321" i="49" s="1"/>
  <c r="J310" i="49"/>
  <c r="H310" i="49"/>
  <c r="H311" i="49" s="1"/>
  <c r="H313" i="49" l="1"/>
  <c r="C299" i="49"/>
  <c r="B4" i="91"/>
  <c r="C6" i="91"/>
  <c r="C7" i="43" l="1"/>
  <c r="E106" i="75" l="1"/>
  <c r="G96" i="75"/>
  <c r="C131" i="91" l="1"/>
  <c r="C33" i="57"/>
  <c r="C32" i="57"/>
  <c r="C21" i="57"/>
  <c r="C22" i="57"/>
  <c r="G88" i="59"/>
  <c r="G76" i="59"/>
  <c r="G248" i="40" l="1"/>
  <c r="F251" i="40"/>
  <c r="E251" i="40"/>
  <c r="D251" i="40"/>
  <c r="C251" i="40"/>
  <c r="G250" i="40"/>
  <c r="G249" i="40"/>
  <c r="D223" i="40"/>
  <c r="D222" i="40"/>
  <c r="B223" i="40"/>
  <c r="B189" i="40"/>
  <c r="B173" i="40"/>
  <c r="C88" i="75"/>
  <c r="C117" i="78"/>
  <c r="C110" i="78"/>
  <c r="C78" i="78"/>
  <c r="C119" i="78"/>
  <c r="C70" i="78"/>
  <c r="C69" i="78"/>
  <c r="C66" i="78"/>
  <c r="C67" i="78"/>
  <c r="C113" i="78"/>
  <c r="C65" i="78"/>
  <c r="I65" i="78"/>
  <c r="K138" i="78"/>
  <c r="I138" i="78"/>
  <c r="I142" i="78" s="1"/>
  <c r="K132" i="78"/>
  <c r="I132" i="78"/>
  <c r="K90" i="78"/>
  <c r="I90" i="78"/>
  <c r="K37" i="78"/>
  <c r="I37" i="78"/>
  <c r="K34" i="78"/>
  <c r="I34" i="78"/>
  <c r="K31" i="78"/>
  <c r="I31" i="78"/>
  <c r="G251" i="40" l="1"/>
  <c r="I43" i="78"/>
  <c r="I145" i="78"/>
  <c r="K43" i="78"/>
  <c r="N43" i="78" s="1"/>
  <c r="I146" i="78" l="1"/>
  <c r="K61" i="49" l="1"/>
  <c r="C91" i="43" l="1"/>
  <c r="C80" i="43"/>
  <c r="A135" i="4" l="1"/>
  <c r="A139" i="4"/>
  <c r="C102" i="91" s="1"/>
  <c r="C140" i="4"/>
  <c r="A140" i="4"/>
  <c r="C139" i="4"/>
  <c r="B140" i="4"/>
  <c r="B139" i="4"/>
  <c r="B2" i="91" l="1"/>
  <c r="C41" i="51" l="1"/>
  <c r="C32" i="51"/>
  <c r="I290" i="91"/>
  <c r="C289" i="91"/>
  <c r="J359" i="54" l="1"/>
  <c r="J360" i="54"/>
  <c r="J361" i="54"/>
  <c r="C262" i="54"/>
  <c r="C359" i="54"/>
  <c r="C296" i="54" l="1"/>
  <c r="C280" i="54"/>
  <c r="B278" i="4"/>
  <c r="C143" i="78" l="1"/>
  <c r="C144" i="78"/>
  <c r="C145" i="78"/>
  <c r="C146" i="78"/>
  <c r="C142" i="78"/>
  <c r="C140" i="78"/>
  <c r="C141" i="78"/>
  <c r="C139" i="78"/>
  <c r="C136" i="78"/>
  <c r="C137" i="78"/>
  <c r="C138" i="78"/>
  <c r="C135" i="78"/>
  <c r="C134" i="78"/>
  <c r="C132" i="78"/>
  <c r="C131" i="78"/>
  <c r="C130" i="78"/>
  <c r="C129" i="78"/>
  <c r="C128" i="78"/>
  <c r="C127" i="78"/>
  <c r="C126" i="78"/>
  <c r="C125" i="78"/>
  <c r="C124" i="78"/>
  <c r="C123" i="78"/>
  <c r="C121" i="78"/>
  <c r="C116" i="78"/>
  <c r="C115" i="78"/>
  <c r="C114" i="78"/>
  <c r="C109" i="78"/>
  <c r="C112" i="78"/>
  <c r="C108" i="78"/>
  <c r="C107" i="78"/>
  <c r="C105" i="78"/>
  <c r="C104" i="78"/>
  <c r="C103" i="78"/>
  <c r="C102" i="78"/>
  <c r="C101" i="78"/>
  <c r="C100" i="78"/>
  <c r="C99" i="78"/>
  <c r="C98" i="78"/>
  <c r="C97" i="78"/>
  <c r="C96" i="78"/>
  <c r="C95" i="78"/>
  <c r="C94" i="78"/>
  <c r="C93" i="78"/>
  <c r="C92" i="78"/>
  <c r="C91" i="78"/>
  <c r="C90" i="78"/>
  <c r="C89" i="78"/>
  <c r="C88" i="78"/>
  <c r="C87" i="78"/>
  <c r="C85" i="78"/>
  <c r="C84" i="78"/>
  <c r="C82" i="78"/>
  <c r="C81" i="78"/>
  <c r="C80" i="78"/>
  <c r="C79" i="78"/>
  <c r="C77" i="78"/>
  <c r="C76" i="78"/>
  <c r="C74" i="78"/>
  <c r="C75" i="78"/>
  <c r="C73" i="78"/>
  <c r="C72" i="78"/>
  <c r="C63" i="78"/>
  <c r="C61" i="78"/>
  <c r="C62" i="78"/>
  <c r="C60" i="78"/>
  <c r="C59" i="78"/>
  <c r="C58" i="78"/>
  <c r="C56" i="78"/>
  <c r="C55" i="78"/>
  <c r="C52" i="78"/>
  <c r="C53" i="78"/>
  <c r="C54" i="78"/>
  <c r="C51" i="78"/>
  <c r="C50" i="78"/>
  <c r="C49" i="78"/>
  <c r="C48" i="78"/>
  <c r="C47" i="78"/>
  <c r="C46" i="78"/>
  <c r="C45" i="78"/>
  <c r="C43" i="78"/>
  <c r="C42" i="78"/>
  <c r="C41" i="78"/>
  <c r="C40" i="78"/>
  <c r="C37" i="78"/>
  <c r="C34" i="78"/>
  <c r="C39" i="78"/>
  <c r="C36" i="78"/>
  <c r="C33" i="78"/>
  <c r="C38" i="78"/>
  <c r="C35" i="78"/>
  <c r="C32" i="78"/>
  <c r="C31" i="78"/>
  <c r="J15" i="59"/>
  <c r="I84" i="59"/>
  <c r="K230" i="49"/>
  <c r="K218" i="49"/>
  <c r="K211" i="49"/>
  <c r="D12" i="59"/>
  <c r="G26" i="75" l="1"/>
  <c r="G12" i="75"/>
  <c r="F26" i="75"/>
  <c r="F12" i="75"/>
  <c r="E26" i="75"/>
  <c r="E12" i="75"/>
  <c r="C29" i="75"/>
  <c r="C30" i="75"/>
  <c r="C31" i="75"/>
  <c r="C33" i="75"/>
  <c r="C34" i="75"/>
  <c r="C35" i="75"/>
  <c r="C28" i="75"/>
  <c r="C15" i="75"/>
  <c r="C16" i="75"/>
  <c r="C17" i="75"/>
  <c r="C19" i="75"/>
  <c r="C20" i="75"/>
  <c r="C21" i="75"/>
  <c r="C14" i="75"/>
  <c r="C26" i="75"/>
  <c r="C12" i="75"/>
  <c r="G36" i="75"/>
  <c r="F36" i="75"/>
  <c r="E36" i="75"/>
  <c r="D36" i="75"/>
  <c r="H35" i="75"/>
  <c r="D21" i="75" s="1"/>
  <c r="H21" i="75" s="1"/>
  <c r="H34" i="75"/>
  <c r="D20" i="75" s="1"/>
  <c r="H20" i="75" s="1"/>
  <c r="H33" i="75"/>
  <c r="D19" i="75" s="1"/>
  <c r="H32" i="75"/>
  <c r="D18" i="75" s="1"/>
  <c r="H18" i="75" s="1"/>
  <c r="H31" i="75"/>
  <c r="D17" i="75" s="1"/>
  <c r="H30" i="75"/>
  <c r="D16" i="75" s="1"/>
  <c r="H16" i="75" s="1"/>
  <c r="H29" i="75"/>
  <c r="D15" i="75" s="1"/>
  <c r="H28" i="75"/>
  <c r="G22" i="75"/>
  <c r="F22" i="75"/>
  <c r="E22" i="75"/>
  <c r="C6" i="75"/>
  <c r="B4" i="75"/>
  <c r="H36" i="75" l="1"/>
  <c r="H15" i="75"/>
  <c r="D14" i="75"/>
  <c r="H17" i="75"/>
  <c r="H19" i="75"/>
  <c r="C172" i="91"/>
  <c r="D22" i="75" l="1"/>
  <c r="J22" i="75" s="1"/>
  <c r="H14" i="75"/>
  <c r="H22" i="75" s="1"/>
  <c r="I22" i="75" s="1"/>
  <c r="I36" i="75" l="1"/>
  <c r="C1098" i="4" l="1"/>
  <c r="C278" i="4"/>
  <c r="K142" i="78" l="1"/>
  <c r="K94" i="78"/>
  <c r="K48" i="78"/>
  <c r="K47" i="78"/>
  <c r="I75" i="59"/>
  <c r="I49" i="59"/>
  <c r="I46" i="59"/>
  <c r="I38" i="59"/>
  <c r="I32" i="59"/>
  <c r="I24" i="59"/>
  <c r="J21" i="59"/>
  <c r="I21" i="59"/>
  <c r="K119" i="78" l="1"/>
  <c r="K46" i="78"/>
  <c r="K56" i="78" s="1"/>
  <c r="N56" i="78" s="1"/>
  <c r="I31" i="59"/>
  <c r="I20" i="59"/>
  <c r="I143" i="78"/>
  <c r="C32" i="91" l="1"/>
  <c r="C34" i="91"/>
  <c r="C21" i="91"/>
  <c r="C35" i="91"/>
  <c r="C18" i="91"/>
  <c r="C37" i="91"/>
  <c r="C36" i="91"/>
  <c r="C19" i="91"/>
  <c r="C20" i="91"/>
  <c r="C33" i="91"/>
  <c r="C22" i="91"/>
  <c r="S44" i="53" l="1"/>
  <c r="I44" i="53"/>
  <c r="I45" i="53"/>
  <c r="I46" i="53"/>
  <c r="I49" i="53"/>
  <c r="I50" i="53"/>
  <c r="I43" i="53"/>
  <c r="I29" i="53"/>
  <c r="S43" i="53"/>
  <c r="S29" i="53"/>
  <c r="I48" i="53" l="1"/>
  <c r="A278" i="4" l="1"/>
  <c r="C280" i="91"/>
  <c r="L197" i="54" l="1"/>
  <c r="J197" i="54"/>
  <c r="I197" i="54"/>
  <c r="G197" i="54"/>
  <c r="L193" i="54"/>
  <c r="J193" i="54"/>
  <c r="I193" i="54"/>
  <c r="G193" i="54"/>
  <c r="J164" i="54"/>
  <c r="I164" i="54"/>
  <c r="G164" i="54"/>
  <c r="E164" i="54"/>
  <c r="L121" i="54"/>
  <c r="J121" i="54"/>
  <c r="I121" i="54"/>
  <c r="G121" i="54"/>
  <c r="L201" i="54" l="1"/>
  <c r="I201" i="54"/>
  <c r="G201" i="54"/>
  <c r="J201" i="54"/>
  <c r="C305" i="54" l="1"/>
  <c r="C297" i="54"/>
  <c r="J86" i="49"/>
  <c r="I86" i="49"/>
  <c r="G86" i="49"/>
  <c r="G71" i="49" s="1"/>
  <c r="G75" i="49" s="1"/>
  <c r="E86" i="49"/>
  <c r="K85" i="49"/>
  <c r="K84" i="49"/>
  <c r="K83" i="49"/>
  <c r="K82" i="49"/>
  <c r="K72" i="49"/>
  <c r="K73" i="49"/>
  <c r="K74" i="49"/>
  <c r="K70" i="49"/>
  <c r="K81" i="49" s="1"/>
  <c r="K120" i="49"/>
  <c r="J70" i="49"/>
  <c r="J81" i="49" s="1"/>
  <c r="I70" i="49"/>
  <c r="I81" i="49" s="1"/>
  <c r="E70" i="49"/>
  <c r="E81" i="49" s="1"/>
  <c r="C885" i="4"/>
  <c r="B885" i="4"/>
  <c r="A885" i="4"/>
  <c r="A760" i="4"/>
  <c r="J44" i="49"/>
  <c r="H44" i="49"/>
  <c r="C86" i="43"/>
  <c r="C87" i="43"/>
  <c r="C88" i="43"/>
  <c r="C89" i="43"/>
  <c r="C90" i="43"/>
  <c r="C85" i="43"/>
  <c r="C74" i="43"/>
  <c r="I91" i="43"/>
  <c r="F91" i="43"/>
  <c r="G90" i="43"/>
  <c r="G89" i="43"/>
  <c r="J89" i="43" s="1"/>
  <c r="G88" i="43"/>
  <c r="J88" i="43" s="1"/>
  <c r="G87" i="43"/>
  <c r="J87" i="43" s="1"/>
  <c r="G86" i="43"/>
  <c r="J86" i="43" s="1"/>
  <c r="G85" i="43"/>
  <c r="J85" i="43" s="1"/>
  <c r="S74" i="43" s="1"/>
  <c r="C79" i="49" l="1"/>
  <c r="E87" i="49"/>
  <c r="J87" i="49"/>
  <c r="I87" i="49"/>
  <c r="E71" i="49"/>
  <c r="E75" i="49" s="1"/>
  <c r="I71" i="49"/>
  <c r="I75" i="49" s="1"/>
  <c r="K88" i="49"/>
  <c r="J71" i="49"/>
  <c r="J75" i="49" s="1"/>
  <c r="G87" i="49"/>
  <c r="K86" i="49"/>
  <c r="E91" i="43"/>
  <c r="G91" i="43"/>
  <c r="K87" i="49" l="1"/>
  <c r="K71" i="49"/>
  <c r="K75" i="49"/>
  <c r="F235" i="40" l="1"/>
  <c r="F246" i="40" s="1"/>
  <c r="E235" i="40"/>
  <c r="E246" i="40" s="1"/>
  <c r="D235" i="40"/>
  <c r="D246" i="40" s="1"/>
  <c r="B235" i="40"/>
  <c r="B246" i="40" s="1"/>
  <c r="B238" i="40" l="1"/>
  <c r="B249" i="40" s="1"/>
  <c r="B237" i="40"/>
  <c r="B248" i="40" s="1"/>
  <c r="B228" i="40"/>
  <c r="B70" i="40"/>
  <c r="B99" i="40" s="1"/>
  <c r="B6" i="40"/>
  <c r="B12" i="78" l="1"/>
  <c r="B4" i="78"/>
  <c r="C47" i="52"/>
  <c r="C55" i="52"/>
  <c r="C58" i="52"/>
  <c r="C43" i="52"/>
  <c r="C57" i="52"/>
  <c r="B20" i="7"/>
  <c r="C60" i="52"/>
  <c r="C45" i="52"/>
  <c r="F53" i="52"/>
  <c r="C53" i="52"/>
  <c r="J59" i="52"/>
  <c r="H56" i="52"/>
  <c r="J56" i="52" s="1"/>
  <c r="A4" i="7"/>
  <c r="C51" i="52"/>
  <c r="J49" i="52"/>
  <c r="C46" i="52"/>
  <c r="C44" i="52"/>
  <c r="C42" i="52"/>
  <c r="C33" i="52"/>
  <c r="C41" i="52"/>
  <c r="C38" i="52"/>
  <c r="C36" i="52"/>
  <c r="C35" i="52"/>
  <c r="J34" i="52"/>
  <c r="C32" i="52"/>
  <c r="C31" i="52"/>
  <c r="J50" i="52"/>
  <c r="J48" i="52"/>
  <c r="J37" i="52"/>
  <c r="C26" i="52"/>
  <c r="C312" i="49"/>
  <c r="C313" i="49"/>
  <c r="H53" i="52" l="1"/>
  <c r="C29" i="52"/>
  <c r="L316" i="54"/>
  <c r="L317" i="54"/>
  <c r="L318" i="54"/>
  <c r="L319" i="54"/>
  <c r="J320" i="54"/>
  <c r="I320" i="54"/>
  <c r="G320" i="54"/>
  <c r="L315" i="54"/>
  <c r="C316" i="54"/>
  <c r="C317" i="54"/>
  <c r="C318" i="54"/>
  <c r="C319" i="54"/>
  <c r="C315" i="54"/>
  <c r="J314" i="54"/>
  <c r="G314" i="54"/>
  <c r="D43" i="75"/>
  <c r="L314" i="54"/>
  <c r="C26" i="69"/>
  <c r="G313" i="54"/>
  <c r="C313" i="54"/>
  <c r="C284" i="54"/>
  <c r="C281" i="54"/>
  <c r="C282" i="54"/>
  <c r="C283" i="54"/>
  <c r="C278" i="54"/>
  <c r="C274" i="54"/>
  <c r="C272" i="54"/>
  <c r="C270" i="54"/>
  <c r="C271" i="54"/>
  <c r="C269" i="54"/>
  <c r="C255" i="54"/>
  <c r="C256" i="54"/>
  <c r="C254" i="54"/>
  <c r="C253" i="54"/>
  <c r="J239" i="54"/>
  <c r="L239" i="54"/>
  <c r="C233" i="54"/>
  <c r="C244" i="54"/>
  <c r="C245" i="54"/>
  <c r="C241" i="54"/>
  <c r="C242" i="54"/>
  <c r="C243" i="54"/>
  <c r="C240" i="54"/>
  <c r="E238" i="54"/>
  <c r="C238" i="54"/>
  <c r="C231" i="54"/>
  <c r="C228" i="54"/>
  <c r="C229" i="54"/>
  <c r="C225" i="54"/>
  <c r="C224" i="54"/>
  <c r="C223" i="54"/>
  <c r="C222" i="54"/>
  <c r="C221" i="54"/>
  <c r="C212" i="54"/>
  <c r="C213" i="54"/>
  <c r="C214" i="54"/>
  <c r="C211" i="54"/>
  <c r="C207" i="54"/>
  <c r="L320" i="54" l="1"/>
  <c r="L111" i="54"/>
  <c r="J111" i="54"/>
  <c r="I111" i="54"/>
  <c r="G111" i="54"/>
  <c r="L107" i="54"/>
  <c r="L117" i="54" s="1"/>
  <c r="J107" i="54"/>
  <c r="J117" i="54" s="1"/>
  <c r="I107" i="54"/>
  <c r="I117" i="54" s="1"/>
  <c r="I175" i="54"/>
  <c r="I191" i="54" s="1"/>
  <c r="G105" i="54"/>
  <c r="G115" i="54" s="1"/>
  <c r="I106" i="54"/>
  <c r="I116" i="54" s="1"/>
  <c r="G106" i="54"/>
  <c r="G116" i="54" s="1"/>
  <c r="C110" i="54"/>
  <c r="C120" i="54" s="1"/>
  <c r="C109" i="54"/>
  <c r="C108" i="54"/>
  <c r="C118" i="54" s="1"/>
  <c r="C105" i="54"/>
  <c r="C115" i="54" s="1"/>
  <c r="C99" i="54"/>
  <c r="C123" i="54"/>
  <c r="C309" i="49"/>
  <c r="C306" i="49"/>
  <c r="C119" i="54" l="1"/>
  <c r="H126" i="43" l="1"/>
  <c r="C124" i="43"/>
  <c r="K17" i="60" l="1"/>
  <c r="K13" i="60"/>
  <c r="B64" i="5"/>
  <c r="I69" i="53"/>
  <c r="H69" i="53"/>
  <c r="H18" i="51"/>
  <c r="G31" i="51"/>
  <c r="G384" i="49"/>
  <c r="G379" i="49"/>
  <c r="G370" i="49"/>
  <c r="G365" i="49"/>
  <c r="G354" i="49"/>
  <c r="G345" i="49"/>
  <c r="H332" i="49"/>
  <c r="H31" i="49"/>
  <c r="C326" i="49"/>
  <c r="C325" i="49"/>
  <c r="C324" i="49"/>
  <c r="C321" i="49"/>
  <c r="C319" i="49"/>
  <c r="C315" i="49"/>
  <c r="C311" i="49"/>
  <c r="C320" i="49"/>
  <c r="C310" i="49"/>
  <c r="C305" i="49"/>
  <c r="C302" i="49"/>
  <c r="J326" i="49" l="1"/>
  <c r="C318" i="49"/>
  <c r="C226" i="49"/>
  <c r="C316" i="49"/>
  <c r="C222" i="49"/>
  <c r="C317" i="49"/>
  <c r="C219" i="49"/>
  <c r="J320" i="49"/>
  <c r="G287" i="49"/>
  <c r="J311" i="49" s="1"/>
  <c r="C307" i="49"/>
  <c r="C266" i="49"/>
  <c r="C304" i="49"/>
  <c r="C262" i="49"/>
  <c r="C303" i="49"/>
  <c r="C263" i="49"/>
  <c r="C301" i="49"/>
  <c r="C258" i="49"/>
  <c r="C308" i="49"/>
  <c r="C300" i="49"/>
  <c r="C264" i="49"/>
  <c r="C261" i="49"/>
  <c r="J321" i="49" l="1"/>
  <c r="H325" i="49"/>
  <c r="K289" i="49"/>
  <c r="M326" i="49" s="1"/>
  <c r="K193" i="49" l="1"/>
  <c r="J192" i="49"/>
  <c r="I192" i="49"/>
  <c r="J189" i="49"/>
  <c r="I189" i="49"/>
  <c r="K187" i="49"/>
  <c r="K186" i="49"/>
  <c r="K185" i="49"/>
  <c r="K184" i="49"/>
  <c r="K183" i="49"/>
  <c r="K182" i="49"/>
  <c r="J181" i="49"/>
  <c r="I181" i="49"/>
  <c r="K163" i="49"/>
  <c r="K161" i="49"/>
  <c r="K160" i="49"/>
  <c r="K159" i="49"/>
  <c r="K155" i="49"/>
  <c r="K154" i="49"/>
  <c r="K153" i="49"/>
  <c r="K152" i="49"/>
  <c r="K150" i="49"/>
  <c r="J149" i="49"/>
  <c r="I149" i="49"/>
  <c r="K147" i="49"/>
  <c r="K144" i="49"/>
  <c r="K143" i="49"/>
  <c r="J142" i="49"/>
  <c r="I142" i="49"/>
  <c r="K140" i="49"/>
  <c r="K139" i="49"/>
  <c r="K138" i="49"/>
  <c r="K137" i="49"/>
  <c r="K134" i="49"/>
  <c r="K133" i="49"/>
  <c r="K132" i="49"/>
  <c r="K131" i="49"/>
  <c r="J130" i="49"/>
  <c r="I130" i="49"/>
  <c r="K124" i="49"/>
  <c r="K128" i="49"/>
  <c r="K127" i="49"/>
  <c r="K126" i="49"/>
  <c r="K125" i="49"/>
  <c r="J123" i="49"/>
  <c r="I123" i="49"/>
  <c r="J108" i="49"/>
  <c r="B171" i="40"/>
  <c r="K149" i="49" l="1"/>
  <c r="K123" i="49"/>
  <c r="K189" i="49"/>
  <c r="K192" i="49"/>
  <c r="K142" i="49"/>
  <c r="K181" i="49"/>
  <c r="K130" i="49"/>
  <c r="H151" i="75" l="1"/>
  <c r="H150" i="75"/>
  <c r="H149" i="75"/>
  <c r="H148" i="75"/>
  <c r="H145" i="75"/>
  <c r="H144" i="75"/>
  <c r="H143" i="75"/>
  <c r="H142" i="75"/>
  <c r="H65" i="75"/>
  <c r="H64" i="75"/>
  <c r="H63" i="75"/>
  <c r="H62" i="75"/>
  <c r="H61" i="75"/>
  <c r="G60" i="75"/>
  <c r="G66" i="75" s="1"/>
  <c r="F60" i="75"/>
  <c r="F66" i="75" s="1"/>
  <c r="E60" i="75"/>
  <c r="E66" i="75" s="1"/>
  <c r="D60" i="75"/>
  <c r="D66" i="75" s="1"/>
  <c r="H59" i="75"/>
  <c r="H58" i="75"/>
  <c r="C292" i="49"/>
  <c r="D290" i="49"/>
  <c r="D289" i="49"/>
  <c r="C287" i="49"/>
  <c r="C285" i="49"/>
  <c r="C283" i="49"/>
  <c r="C281" i="49"/>
  <c r="C280" i="49"/>
  <c r="C277" i="49"/>
  <c r="C271" i="49"/>
  <c r="C272" i="49"/>
  <c r="C273" i="49"/>
  <c r="C274" i="49"/>
  <c r="C270" i="49"/>
  <c r="C265" i="49"/>
  <c r="C255" i="49"/>
  <c r="C240" i="49"/>
  <c r="C241" i="49"/>
  <c r="C242" i="49"/>
  <c r="C243" i="49"/>
  <c r="C247" i="49"/>
  <c r="C248" i="49"/>
  <c r="C249" i="49"/>
  <c r="C238" i="49"/>
  <c r="C237" i="49"/>
  <c r="C232" i="49"/>
  <c r="C231" i="49"/>
  <c r="C230" i="49"/>
  <c r="C220" i="49"/>
  <c r="C221" i="49"/>
  <c r="C225" i="49"/>
  <c r="C227" i="49"/>
  <c r="C275" i="49"/>
  <c r="C267" i="49"/>
  <c r="C251" i="49"/>
  <c r="C235" i="49"/>
  <c r="C228" i="49"/>
  <c r="C216" i="49"/>
  <c r="C215" i="49"/>
  <c r="C214" i="49"/>
  <c r="C213" i="49"/>
  <c r="C212" i="49"/>
  <c r="H60" i="75" l="1"/>
  <c r="H66" i="75" l="1"/>
  <c r="K213" i="49" l="1"/>
  <c r="K251" i="49"/>
  <c r="K249" i="49"/>
  <c r="K248" i="49"/>
  <c r="K247" i="49"/>
  <c r="K245" i="49"/>
  <c r="K244" i="49"/>
  <c r="K243" i="49"/>
  <c r="K242" i="49"/>
  <c r="K241" i="49"/>
  <c r="K240" i="49"/>
  <c r="K238" i="49"/>
  <c r="K237" i="49"/>
  <c r="J237" i="49"/>
  <c r="I237" i="49"/>
  <c r="K235" i="49"/>
  <c r="K232" i="49"/>
  <c r="K231" i="49"/>
  <c r="J230" i="49"/>
  <c r="I230" i="49"/>
  <c r="K228" i="49"/>
  <c r="K227" i="49"/>
  <c r="K226" i="49"/>
  <c r="K225" i="49"/>
  <c r="K222" i="49"/>
  <c r="K221" i="49"/>
  <c r="K220" i="49"/>
  <c r="K219" i="49"/>
  <c r="J218" i="49"/>
  <c r="I218" i="49"/>
  <c r="K216" i="49"/>
  <c r="K215" i="49"/>
  <c r="K214" i="49"/>
  <c r="K212" i="49"/>
  <c r="J211" i="49"/>
  <c r="I211" i="49"/>
  <c r="K281" i="49"/>
  <c r="K280" i="49"/>
  <c r="J280" i="49"/>
  <c r="I280" i="49"/>
  <c r="K278" i="49"/>
  <c r="K277" i="49" s="1"/>
  <c r="J277" i="49"/>
  <c r="I277" i="49"/>
  <c r="K275" i="49"/>
  <c r="K274" i="49"/>
  <c r="K273" i="49"/>
  <c r="K272" i="49"/>
  <c r="K271" i="49"/>
  <c r="K270" i="49"/>
  <c r="K269" i="49"/>
  <c r="J269" i="49"/>
  <c r="I269" i="49"/>
  <c r="K267" i="49"/>
  <c r="K266" i="49"/>
  <c r="K265" i="49"/>
  <c r="K264" i="49"/>
  <c r="K263" i="49"/>
  <c r="K262" i="49"/>
  <c r="K261" i="49"/>
  <c r="K258" i="49"/>
  <c r="I283" i="49" l="1"/>
  <c r="H134" i="75"/>
  <c r="H135" i="75"/>
  <c r="H136" i="75"/>
  <c r="H133" i="75"/>
  <c r="H128" i="75"/>
  <c r="H129" i="75"/>
  <c r="H130" i="75"/>
  <c r="H127" i="75"/>
  <c r="B643" i="4"/>
  <c r="B4" i="40"/>
  <c r="I285" i="49" l="1"/>
  <c r="G106" i="75"/>
  <c r="G117" i="75"/>
  <c r="E117" i="75"/>
  <c r="K28" i="78"/>
  <c r="K27" i="78"/>
  <c r="I21" i="78"/>
  <c r="I30" i="78"/>
  <c r="G53" i="43"/>
  <c r="I45" i="43"/>
  <c r="G45" i="43"/>
  <c r="I287" i="49" l="1"/>
  <c r="D202" i="49"/>
  <c r="C54" i="54"/>
  <c r="C55" i="54"/>
  <c r="C51" i="54"/>
  <c r="C52" i="54"/>
  <c r="C53" i="54"/>
  <c r="C59" i="51"/>
  <c r="C14" i="54" l="1"/>
  <c r="C7" i="54"/>
  <c r="G237" i="40" l="1"/>
  <c r="G214" i="40"/>
  <c r="C180" i="40" s="1"/>
  <c r="G180" i="40" s="1"/>
  <c r="G213" i="40"/>
  <c r="C179" i="40" s="1"/>
  <c r="G179" i="40" s="1"/>
  <c r="G205" i="40"/>
  <c r="C171" i="40" s="1"/>
  <c r="G206" i="40"/>
  <c r="G207" i="40"/>
  <c r="G204" i="40"/>
  <c r="C170" i="40" s="1"/>
  <c r="G139" i="40"/>
  <c r="C91" i="40" s="1"/>
  <c r="G91" i="40" s="1"/>
  <c r="G125" i="40"/>
  <c r="C81" i="40" s="1"/>
  <c r="G123" i="40"/>
  <c r="C79" i="40" s="1"/>
  <c r="G55" i="40"/>
  <c r="G46" i="40"/>
  <c r="G170" i="40" l="1"/>
  <c r="G171" i="40"/>
  <c r="G79" i="40"/>
  <c r="C172" i="40"/>
  <c r="E222" i="40"/>
  <c r="C173" i="40"/>
  <c r="E223" i="40"/>
  <c r="C15" i="40"/>
  <c r="C24" i="40"/>
  <c r="C181" i="40"/>
  <c r="D186" i="40"/>
  <c r="C760" i="4"/>
  <c r="C687" i="4"/>
  <c r="C643" i="4"/>
  <c r="C616" i="4"/>
  <c r="C1094" i="4"/>
  <c r="B1094" i="4"/>
  <c r="C969" i="4"/>
  <c r="B969" i="4"/>
  <c r="C33" i="40" l="1"/>
  <c r="G172" i="40"/>
  <c r="E188" i="40" s="1"/>
  <c r="G173" i="40"/>
  <c r="E189" i="40" s="1"/>
  <c r="G15" i="40"/>
  <c r="D188" i="40"/>
  <c r="G24" i="40"/>
  <c r="D189" i="40"/>
  <c r="C139" i="91"/>
  <c r="D42" i="91" l="1"/>
  <c r="F357" i="54"/>
  <c r="F361" i="54"/>
  <c r="F360" i="54"/>
  <c r="F359" i="54"/>
  <c r="B4" i="69"/>
  <c r="J175" i="54" l="1"/>
  <c r="J191" i="54" s="1"/>
  <c r="C179" i="54"/>
  <c r="C195" i="54" s="1"/>
  <c r="C151" i="54"/>
  <c r="C163" i="54" s="1"/>
  <c r="D66" i="59" l="1"/>
  <c r="C1065" i="4" l="1"/>
  <c r="B1065" i="4"/>
  <c r="B1062" i="4"/>
  <c r="C888" i="4"/>
  <c r="B888" i="4"/>
  <c r="B760" i="4"/>
  <c r="B687" i="4"/>
  <c r="C27" i="4"/>
  <c r="B27" i="4"/>
  <c r="B616" i="4"/>
  <c r="A1094" i="4" l="1"/>
  <c r="I34" i="51"/>
  <c r="I47" i="53" l="1"/>
  <c r="U44" i="53" s="1"/>
  <c r="C170" i="91"/>
  <c r="C357" i="54"/>
  <c r="C287" i="91"/>
  <c r="C285" i="91"/>
  <c r="U45" i="53" l="1"/>
  <c r="U46" i="53"/>
  <c r="C9" i="54"/>
  <c r="C33" i="54"/>
  <c r="G41" i="54"/>
  <c r="C41" i="54"/>
  <c r="H38" i="54"/>
  <c r="F38" i="54"/>
  <c r="E38" i="54"/>
  <c r="D38" i="54"/>
  <c r="G18" i="54"/>
  <c r="C18" i="54"/>
  <c r="I16" i="54"/>
  <c r="I38" i="54" s="1"/>
  <c r="G16" i="54"/>
  <c r="G38" i="54" s="1"/>
  <c r="C16" i="54"/>
  <c r="C38" i="54" s="1"/>
  <c r="F16" i="54"/>
  <c r="E16" i="54"/>
  <c r="D16" i="54"/>
  <c r="H16" i="54"/>
  <c r="B2" i="52"/>
  <c r="B2" i="53"/>
  <c r="B2" i="54"/>
  <c r="B2" i="51"/>
  <c r="B2" i="78"/>
  <c r="B2" i="49"/>
  <c r="B2" i="69"/>
  <c r="B2" i="75"/>
  <c r="H63" i="43"/>
  <c r="B2" i="43"/>
  <c r="B2" i="40"/>
  <c r="C290" i="54"/>
  <c r="B287" i="54"/>
  <c r="U47" i="53" l="1"/>
  <c r="A27" i="4"/>
  <c r="H393" i="49"/>
  <c r="G382" i="49"/>
  <c r="G387" i="49"/>
  <c r="G368" i="49"/>
  <c r="G373" i="49"/>
  <c r="A969" i="4"/>
  <c r="C358" i="49"/>
  <c r="C356" i="49"/>
  <c r="C352" i="49" l="1"/>
  <c r="A1065" i="4"/>
  <c r="A1062" i="4"/>
  <c r="C13" i="52" s="1"/>
  <c r="C9" i="52"/>
  <c r="C90" i="49"/>
  <c r="A888" i="4"/>
  <c r="I23" i="51"/>
  <c r="C22" i="51"/>
  <c r="C21" i="51"/>
  <c r="C20" i="51"/>
  <c r="C19" i="51"/>
  <c r="C16" i="51"/>
  <c r="C6" i="49"/>
  <c r="I22" i="49"/>
  <c r="G22" i="49"/>
  <c r="E22" i="49"/>
  <c r="K21" i="49"/>
  <c r="L21" i="49" s="1"/>
  <c r="K20" i="49"/>
  <c r="L20" i="49" s="1"/>
  <c r="C17" i="52" l="1"/>
  <c r="C54" i="52"/>
  <c r="C269" i="49"/>
  <c r="C93" i="49"/>
  <c r="K22" i="49"/>
  <c r="L22" i="49"/>
  <c r="C125" i="75" l="1"/>
  <c r="C140" i="75" s="1"/>
  <c r="D125" i="75"/>
  <c r="H125" i="75"/>
  <c r="H140" i="75" s="1"/>
  <c r="C131" i="75"/>
  <c r="C146" i="75" s="1"/>
  <c r="H131" i="75"/>
  <c r="H146" i="75" s="1"/>
  <c r="C108" i="75"/>
  <c r="C98" i="75"/>
  <c r="C102" i="75"/>
  <c r="C104" i="75"/>
  <c r="C106" i="75"/>
  <c r="C112" i="75"/>
  <c r="C114" i="75"/>
  <c r="C115" i="75"/>
  <c r="C116" i="75"/>
  <c r="C117" i="75"/>
  <c r="C82" i="75"/>
  <c r="C89" i="75"/>
  <c r="C90" i="75"/>
  <c r="C91" i="75"/>
  <c r="C92" i="75"/>
  <c r="C94" i="75"/>
  <c r="C95" i="75"/>
  <c r="C96" i="75"/>
  <c r="C80" i="75"/>
  <c r="C70" i="75"/>
  <c r="F74" i="75"/>
  <c r="D74" i="75"/>
  <c r="C74" i="75"/>
  <c r="D131" i="75" l="1"/>
  <c r="D140" i="75"/>
  <c r="D146" i="75" s="1"/>
  <c r="I53" i="43"/>
  <c r="F53" i="43"/>
  <c r="E53" i="43"/>
  <c r="J52" i="43"/>
  <c r="E44" i="43" s="1"/>
  <c r="J44" i="43" s="1"/>
  <c r="J51" i="43"/>
  <c r="E43" i="43" s="1"/>
  <c r="C39" i="43"/>
  <c r="C26" i="43"/>
  <c r="I29" i="43"/>
  <c r="G29" i="43"/>
  <c r="C24" i="43"/>
  <c r="I18" i="43"/>
  <c r="G18" i="43"/>
  <c r="F18" i="43"/>
  <c r="C47" i="43" l="1"/>
  <c r="C86" i="75"/>
  <c r="J53" i="43"/>
  <c r="G238" i="40" l="1"/>
  <c r="G239" i="40"/>
  <c r="B240" i="40"/>
  <c r="B251" i="40" s="1"/>
  <c r="C240" i="40"/>
  <c r="D240" i="40"/>
  <c r="E240" i="40"/>
  <c r="F240" i="40"/>
  <c r="D221" i="40"/>
  <c r="D220" i="40"/>
  <c r="F215" i="40"/>
  <c r="E215" i="40"/>
  <c r="D215" i="40"/>
  <c r="C215" i="40"/>
  <c r="F208" i="40"/>
  <c r="E208" i="40"/>
  <c r="D208" i="40"/>
  <c r="C208" i="40"/>
  <c r="B192" i="40"/>
  <c r="B194" i="40"/>
  <c r="D183" i="40"/>
  <c r="D217" i="40" s="1"/>
  <c r="D187" i="40"/>
  <c r="E177" i="40"/>
  <c r="E211" i="40" s="1"/>
  <c r="D177" i="40"/>
  <c r="D211" i="40" s="1"/>
  <c r="D181" i="40"/>
  <c r="E181" i="40"/>
  <c r="F181" i="40"/>
  <c r="E186" i="40"/>
  <c r="B167" i="40"/>
  <c r="B176" i="40" s="1"/>
  <c r="B183" i="40" s="1"/>
  <c r="C167" i="40"/>
  <c r="C201" i="40" s="1"/>
  <c r="E168" i="40"/>
  <c r="E202" i="40" s="1"/>
  <c r="B180" i="40"/>
  <c r="B187" i="40" s="1"/>
  <c r="B174" i="40"/>
  <c r="B181" i="40" s="1"/>
  <c r="B190" i="40" s="1"/>
  <c r="C174" i="40"/>
  <c r="D174" i="40"/>
  <c r="E174" i="40"/>
  <c r="F174" i="40"/>
  <c r="E155" i="40"/>
  <c r="E154" i="40"/>
  <c r="E153" i="40"/>
  <c r="E152" i="40"/>
  <c r="E151" i="40"/>
  <c r="E150" i="40"/>
  <c r="E149" i="40"/>
  <c r="F144" i="40"/>
  <c r="E144" i="40"/>
  <c r="D144" i="40"/>
  <c r="C144" i="40"/>
  <c r="G143" i="40"/>
  <c r="C95" i="40" s="1"/>
  <c r="G142" i="40"/>
  <c r="C94" i="40" s="1"/>
  <c r="G141" i="40"/>
  <c r="C93" i="40" s="1"/>
  <c r="G140" i="40"/>
  <c r="C92" i="40" s="1"/>
  <c r="F130" i="40"/>
  <c r="E130" i="40"/>
  <c r="D130" i="40"/>
  <c r="C130" i="40"/>
  <c r="G129" i="40"/>
  <c r="G128" i="40"/>
  <c r="G127" i="40"/>
  <c r="C83" i="40" s="1"/>
  <c r="G126" i="40"/>
  <c r="C82" i="40" s="1"/>
  <c r="G124" i="40"/>
  <c r="C80" i="40" s="1"/>
  <c r="E103" i="40"/>
  <c r="E146" i="40" s="1"/>
  <c r="E106" i="40"/>
  <c r="B116" i="40"/>
  <c r="B132" i="40" s="1"/>
  <c r="E108" i="40" l="1"/>
  <c r="E109" i="40"/>
  <c r="E110" i="40"/>
  <c r="E107" i="40"/>
  <c r="F154" i="40"/>
  <c r="C84" i="40"/>
  <c r="F155" i="40"/>
  <c r="C85" i="40"/>
  <c r="G208" i="40"/>
  <c r="G215" i="40"/>
  <c r="G181" i="40"/>
  <c r="G174" i="40"/>
  <c r="E187" i="40"/>
  <c r="G240" i="40"/>
  <c r="B208" i="40"/>
  <c r="B215" i="40" s="1"/>
  <c r="B224" i="40" s="1"/>
  <c r="D190" i="40"/>
  <c r="D224" i="40"/>
  <c r="B207" i="40"/>
  <c r="B205" i="40"/>
  <c r="B214" i="40" s="1"/>
  <c r="B221" i="40" s="1"/>
  <c r="H222" i="40"/>
  <c r="B201" i="40"/>
  <c r="E221" i="40"/>
  <c r="H221" i="40" s="1"/>
  <c r="E220" i="40"/>
  <c r="H220" i="40" s="1"/>
  <c r="H223" i="40"/>
  <c r="F151" i="40"/>
  <c r="H151" i="40" s="1"/>
  <c r="F152" i="40"/>
  <c r="F150" i="40"/>
  <c r="G144" i="40"/>
  <c r="G130" i="40"/>
  <c r="F149" i="40"/>
  <c r="H149" i="40" s="1"/>
  <c r="F153" i="40"/>
  <c r="E156" i="40"/>
  <c r="B88" i="40"/>
  <c r="B76" i="40"/>
  <c r="B120" i="40" s="1"/>
  <c r="G92" i="40"/>
  <c r="G93" i="40"/>
  <c r="G94" i="40"/>
  <c r="G95" i="40"/>
  <c r="E89" i="40"/>
  <c r="E137" i="40" s="1"/>
  <c r="D89" i="40"/>
  <c r="D137" i="40" s="1"/>
  <c r="C96" i="40"/>
  <c r="D96" i="40"/>
  <c r="E96" i="40"/>
  <c r="F96" i="40"/>
  <c r="G80" i="40"/>
  <c r="G81" i="40"/>
  <c r="G82" i="40"/>
  <c r="G83" i="40"/>
  <c r="F106" i="40"/>
  <c r="D77" i="40"/>
  <c r="D13" i="40"/>
  <c r="C76" i="40"/>
  <c r="C120" i="40" s="1"/>
  <c r="E77" i="40"/>
  <c r="E121" i="40" s="1"/>
  <c r="F77" i="40"/>
  <c r="F168" i="40" s="1"/>
  <c r="B79" i="40"/>
  <c r="B80" i="40"/>
  <c r="B81" i="40"/>
  <c r="B82" i="40"/>
  <c r="B83" i="40"/>
  <c r="B84" i="40"/>
  <c r="B86" i="40"/>
  <c r="B130" i="40" s="1"/>
  <c r="B156" i="40" s="1"/>
  <c r="D86" i="40"/>
  <c r="E86" i="40"/>
  <c r="F86" i="40"/>
  <c r="E112" i="40" l="1"/>
  <c r="E111" i="40"/>
  <c r="H152" i="40"/>
  <c r="H150" i="40"/>
  <c r="H153" i="40"/>
  <c r="H154" i="40"/>
  <c r="G84" i="40"/>
  <c r="F111" i="40" s="1"/>
  <c r="B210" i="40"/>
  <c r="B217" i="40" s="1"/>
  <c r="C86" i="40"/>
  <c r="G86" i="40" s="1"/>
  <c r="H155" i="40"/>
  <c r="G85" i="40"/>
  <c r="F112" i="40" s="1"/>
  <c r="E113" i="40"/>
  <c r="E224" i="40"/>
  <c r="H224" i="40" s="1"/>
  <c r="F177" i="40"/>
  <c r="F211" i="40" s="1"/>
  <c r="F202" i="40"/>
  <c r="E190" i="40"/>
  <c r="D121" i="40"/>
  <c r="D168" i="40"/>
  <c r="D202" i="40" s="1"/>
  <c r="B103" i="40"/>
  <c r="B136" i="40"/>
  <c r="B146" i="40" s="1"/>
  <c r="F156" i="40"/>
  <c r="G96" i="40"/>
  <c r="B111" i="40"/>
  <c r="B128" i="40"/>
  <c r="B154" i="40" s="1"/>
  <c r="B95" i="40"/>
  <c r="B127" i="40"/>
  <c r="B91" i="40"/>
  <c r="B123" i="40"/>
  <c r="B94" i="40"/>
  <c r="B126" i="40"/>
  <c r="F89" i="40"/>
  <c r="F137" i="40" s="1"/>
  <c r="F121" i="40"/>
  <c r="F109" i="40"/>
  <c r="B93" i="40"/>
  <c r="B125" i="40"/>
  <c r="B92" i="40"/>
  <c r="B124" i="40"/>
  <c r="F108" i="40"/>
  <c r="F107" i="40"/>
  <c r="F110" i="40"/>
  <c r="B96" i="40"/>
  <c r="B144" i="40" s="1"/>
  <c r="B113" i="40"/>
  <c r="A643" i="4"/>
  <c r="C64" i="40"/>
  <c r="C67" i="40"/>
  <c r="C66" i="40"/>
  <c r="C65" i="40"/>
  <c r="F59" i="40"/>
  <c r="E59" i="40"/>
  <c r="D59" i="40"/>
  <c r="C59" i="40"/>
  <c r="G58" i="40"/>
  <c r="C27" i="40" s="1"/>
  <c r="G27" i="40" s="1"/>
  <c r="G57" i="40"/>
  <c r="C26" i="40" s="1"/>
  <c r="G26" i="40" s="1"/>
  <c r="G56" i="40"/>
  <c r="C25" i="40" s="1"/>
  <c r="G25" i="40" s="1"/>
  <c r="F50" i="40"/>
  <c r="E50" i="40"/>
  <c r="D50" i="40"/>
  <c r="C50" i="40"/>
  <c r="G49" i="40"/>
  <c r="C18" i="40" s="1"/>
  <c r="G48" i="40"/>
  <c r="C17" i="40" s="1"/>
  <c r="G47" i="40"/>
  <c r="C16" i="40" s="1"/>
  <c r="F22" i="40"/>
  <c r="F53" i="40" s="1"/>
  <c r="D22" i="40"/>
  <c r="D53" i="40" s="1"/>
  <c r="A616" i="4"/>
  <c r="C40" i="75" s="1"/>
  <c r="B39" i="40"/>
  <c r="D44" i="40"/>
  <c r="D19" i="40"/>
  <c r="C245" i="91"/>
  <c r="C120" i="91"/>
  <c r="C292" i="54"/>
  <c r="C216" i="54"/>
  <c r="C248" i="54"/>
  <c r="C264" i="54"/>
  <c r="L181" i="54"/>
  <c r="J181" i="54"/>
  <c r="I181" i="54"/>
  <c r="G181" i="54"/>
  <c r="L177" i="54"/>
  <c r="J177" i="54"/>
  <c r="I177" i="54"/>
  <c r="G177" i="54"/>
  <c r="J152" i="54"/>
  <c r="I152" i="54"/>
  <c r="G152" i="54"/>
  <c r="E152" i="54"/>
  <c r="L175" i="54"/>
  <c r="L191" i="54" s="1"/>
  <c r="I174" i="54"/>
  <c r="I190" i="54" s="1"/>
  <c r="C180" i="54"/>
  <c r="C183" i="54"/>
  <c r="C199" i="54" s="1"/>
  <c r="C178" i="54"/>
  <c r="C181" i="54"/>
  <c r="C197" i="54" s="1"/>
  <c r="C177" i="54"/>
  <c r="C193" i="54" s="1"/>
  <c r="C176" i="54"/>
  <c r="C192" i="54" s="1"/>
  <c r="C173" i="54"/>
  <c r="C189" i="54" s="1"/>
  <c r="C135" i="54"/>
  <c r="C149" i="54"/>
  <c r="C161" i="54" s="1"/>
  <c r="C156" i="54"/>
  <c r="C145" i="54"/>
  <c r="L149" i="54"/>
  <c r="L161" i="54" s="1"/>
  <c r="C154" i="54"/>
  <c r="C150" i="54"/>
  <c r="C162" i="54" s="1"/>
  <c r="J149" i="54"/>
  <c r="J161" i="54" s="1"/>
  <c r="E149" i="54"/>
  <c r="E161" i="54" s="1"/>
  <c r="C169" i="54"/>
  <c r="C141" i="54"/>
  <c r="C137" i="54"/>
  <c r="C133" i="54"/>
  <c r="C129" i="54"/>
  <c r="C125" i="54"/>
  <c r="C101" i="54"/>
  <c r="C97" i="54"/>
  <c r="C93" i="54"/>
  <c r="C89" i="54"/>
  <c r="C85" i="54"/>
  <c r="C81" i="54"/>
  <c r="C77" i="54"/>
  <c r="C143" i="54"/>
  <c r="C167" i="54"/>
  <c r="C203" i="54"/>
  <c r="C127" i="54"/>
  <c r="C131" i="54"/>
  <c r="C139" i="54"/>
  <c r="C91" i="54"/>
  <c r="C95" i="54"/>
  <c r="C87" i="54"/>
  <c r="C83" i="54"/>
  <c r="C79" i="54"/>
  <c r="C75" i="54"/>
  <c r="C73" i="54"/>
  <c r="C69" i="54"/>
  <c r="B66" i="54"/>
  <c r="C35" i="40" l="1"/>
  <c r="C36" i="40"/>
  <c r="B170" i="40"/>
  <c r="B204" i="40" s="1"/>
  <c r="B213" i="40" s="1"/>
  <c r="B220" i="40" s="1"/>
  <c r="B161" i="40"/>
  <c r="B197" i="40" s="1"/>
  <c r="B222" i="40"/>
  <c r="B188" i="40"/>
  <c r="B172" i="40"/>
  <c r="G17" i="40"/>
  <c r="G18" i="40"/>
  <c r="B233" i="40"/>
  <c r="B165" i="40"/>
  <c r="B244" i="40"/>
  <c r="B199" i="40"/>
  <c r="C57" i="49"/>
  <c r="I207" i="49"/>
  <c r="I119" i="49"/>
  <c r="C50" i="49"/>
  <c r="C10" i="75"/>
  <c r="C38" i="53"/>
  <c r="C24" i="75"/>
  <c r="C24" i="53"/>
  <c r="C171" i="54"/>
  <c r="C147" i="54"/>
  <c r="C159" i="54"/>
  <c r="C187" i="54"/>
  <c r="C184" i="54"/>
  <c r="C196" i="54"/>
  <c r="C182" i="54"/>
  <c r="C198" i="54" s="1"/>
  <c r="C194" i="54"/>
  <c r="C103" i="54"/>
  <c r="C113" i="54"/>
  <c r="C71" i="43"/>
  <c r="B10" i="40"/>
  <c r="C82" i="43"/>
  <c r="B41" i="40"/>
  <c r="H156" i="40"/>
  <c r="C19" i="40"/>
  <c r="G16" i="40"/>
  <c r="E67" i="40"/>
  <c r="C10" i="49"/>
  <c r="C17" i="49"/>
  <c r="L185" i="54"/>
  <c r="B101" i="40"/>
  <c r="B74" i="40"/>
  <c r="B134" i="40"/>
  <c r="B118" i="40"/>
  <c r="B108" i="40"/>
  <c r="B141" i="40"/>
  <c r="B151" i="40" s="1"/>
  <c r="B109" i="40"/>
  <c r="B142" i="40"/>
  <c r="B152" i="40" s="1"/>
  <c r="B110" i="40"/>
  <c r="B143" i="40"/>
  <c r="B153" i="40" s="1"/>
  <c r="B106" i="40"/>
  <c r="B139" i="40"/>
  <c r="B149" i="40" s="1"/>
  <c r="B107" i="40"/>
  <c r="B140" i="40"/>
  <c r="B150" i="40" s="1"/>
  <c r="F113" i="40"/>
  <c r="E65" i="40"/>
  <c r="E66" i="40"/>
  <c r="G59" i="40"/>
  <c r="G50" i="40"/>
  <c r="E64" i="40"/>
  <c r="H64" i="40" s="1"/>
  <c r="C68" i="40"/>
  <c r="J185" i="54"/>
  <c r="G185" i="54"/>
  <c r="I185" i="54"/>
  <c r="B179" i="40" l="1"/>
  <c r="B186" i="40" s="1"/>
  <c r="B206" i="40"/>
  <c r="C200" i="54"/>
  <c r="E68" i="40"/>
  <c r="C61" i="54" l="1"/>
  <c r="B59" i="54"/>
  <c r="G57" i="51"/>
  <c r="C395" i="49" l="1"/>
  <c r="C394" i="49"/>
  <c r="C389" i="49"/>
  <c r="C384" i="49"/>
  <c r="C57" i="69"/>
  <c r="C55" i="69"/>
  <c r="C55" i="43"/>
  <c r="C32" i="75" l="1"/>
  <c r="C18" i="75"/>
  <c r="B16" i="5"/>
  <c r="D21" i="5"/>
  <c r="C78" i="91"/>
  <c r="C256" i="91"/>
  <c r="C23" i="91"/>
  <c r="B3" i="91" l="1"/>
  <c r="B3" i="40"/>
  <c r="B3" i="54"/>
  <c r="B3" i="69"/>
  <c r="B3" i="52"/>
  <c r="B3" i="78"/>
  <c r="B3" i="43"/>
  <c r="B3" i="53"/>
  <c r="B3" i="51"/>
  <c r="B3" i="49"/>
  <c r="B3" i="75"/>
  <c r="C132" i="4" l="1"/>
  <c r="B132" i="4"/>
  <c r="A132" i="4"/>
  <c r="C38" i="75" l="1"/>
  <c r="C269" i="91"/>
  <c r="J43" i="43" l="1"/>
  <c r="C63" i="43"/>
  <c r="C45" i="43"/>
  <c r="C53" i="43" s="1"/>
  <c r="F80" i="43"/>
  <c r="I80" i="43"/>
  <c r="C189" i="91" l="1"/>
  <c r="I60" i="43" l="1"/>
  <c r="C60" i="43"/>
  <c r="C58" i="43"/>
  <c r="I15" i="49" l="1"/>
  <c r="G15" i="49"/>
  <c r="E15" i="49"/>
  <c r="K14" i="49"/>
  <c r="K13" i="49"/>
  <c r="C60" i="51" l="1"/>
  <c r="C349" i="49"/>
  <c r="F61" i="43"/>
  <c r="H16" i="69" l="1"/>
  <c r="H11" i="69"/>
  <c r="F45" i="43" l="1"/>
  <c r="E45" i="43"/>
  <c r="C43" i="43"/>
  <c r="C51" i="43" s="1"/>
  <c r="C41" i="43"/>
  <c r="C49" i="43" s="1"/>
  <c r="J99" i="49" l="1"/>
  <c r="K54" i="49"/>
  <c r="C76" i="91" l="1"/>
  <c r="C375" i="49"/>
  <c r="C360" i="49"/>
  <c r="C65" i="91"/>
  <c r="C89" i="53" l="1"/>
  <c r="C79" i="53"/>
  <c r="C75" i="53"/>
  <c r="I30" i="53"/>
  <c r="I31" i="53"/>
  <c r="I32" i="53"/>
  <c r="I33" i="53"/>
  <c r="I34" i="53"/>
  <c r="I35" i="53"/>
  <c r="I36" i="53"/>
  <c r="I28" i="53"/>
  <c r="I42" i="53" s="1"/>
  <c r="C135" i="4" l="1"/>
  <c r="B142" i="4"/>
  <c r="B135" i="4"/>
  <c r="A142" i="4"/>
  <c r="C142" i="4"/>
  <c r="C148" i="91"/>
  <c r="G12" i="49"/>
  <c r="G19" i="49" s="1"/>
  <c r="E12" i="49"/>
  <c r="E19" i="49" s="1"/>
  <c r="I12" i="49"/>
  <c r="I19" i="49" s="1"/>
  <c r="C12" i="49"/>
  <c r="C19" i="49" s="1"/>
  <c r="C257" i="4" l="1"/>
  <c r="B257" i="4"/>
  <c r="D36" i="5"/>
  <c r="D41" i="5" s="1"/>
  <c r="D40" i="5"/>
  <c r="D34" i="5"/>
  <c r="A257" i="4" l="1"/>
  <c r="E34" i="5"/>
  <c r="E33" i="5" s="1"/>
  <c r="D33" i="5"/>
  <c r="D39" i="5"/>
  <c r="C278" i="91"/>
  <c r="E39" i="5" l="1"/>
  <c r="E38" i="5" s="1"/>
  <c r="B881" i="4"/>
  <c r="C701" i="4"/>
  <c r="A701" i="4"/>
  <c r="B701" i="4"/>
  <c r="C627" i="4"/>
  <c r="B627" i="4"/>
  <c r="A627" i="4"/>
  <c r="B717" i="4"/>
  <c r="C717" i="4"/>
  <c r="A717" i="4"/>
  <c r="A881" i="4"/>
  <c r="C881" i="4"/>
  <c r="C187" i="49"/>
  <c r="C179" i="49"/>
  <c r="C163" i="49"/>
  <c r="C147" i="49"/>
  <c r="C140" i="49"/>
  <c r="C128" i="49"/>
  <c r="E22" i="91"/>
  <c r="E21" i="91"/>
  <c r="F15" i="43" l="1"/>
  <c r="C295" i="49"/>
  <c r="D26" i="75"/>
  <c r="C119" i="75"/>
  <c r="G84" i="43"/>
  <c r="C44" i="40"/>
  <c r="E147" i="40"/>
  <c r="E84" i="43"/>
  <c r="C246" i="40"/>
  <c r="C121" i="40"/>
  <c r="D218" i="40"/>
  <c r="C211" i="40"/>
  <c r="C137" i="40"/>
  <c r="E49" i="43"/>
  <c r="C59" i="49"/>
  <c r="C202" i="40"/>
  <c r="C120" i="43"/>
  <c r="C121" i="43"/>
  <c r="C122" i="43"/>
  <c r="C123" i="43"/>
  <c r="C125" i="43"/>
  <c r="C126" i="43"/>
  <c r="C119" i="43"/>
  <c r="C118" i="43"/>
  <c r="C117" i="43"/>
  <c r="C116" i="43"/>
  <c r="C115" i="43"/>
  <c r="C110" i="43"/>
  <c r="H114" i="43"/>
  <c r="H97" i="43"/>
  <c r="C98" i="43"/>
  <c r="C103" i="43"/>
  <c r="C104" i="43"/>
  <c r="C105" i="43"/>
  <c r="C106" i="43"/>
  <c r="C107" i="43"/>
  <c r="C108" i="43"/>
  <c r="C109" i="43"/>
  <c r="C111" i="43"/>
  <c r="C102" i="43"/>
  <c r="C101" i="43"/>
  <c r="C100" i="43"/>
  <c r="C99" i="43"/>
  <c r="H111" i="43"/>
  <c r="C62" i="40" l="1"/>
  <c r="C53" i="40"/>
  <c r="I134" i="78"/>
  <c r="I123" i="78"/>
  <c r="I107" i="78"/>
  <c r="I84" i="78"/>
  <c r="I72" i="78"/>
  <c r="I58" i="78"/>
  <c r="I45" i="78"/>
  <c r="G61" i="81"/>
  <c r="E61" i="81"/>
  <c r="G61" i="79"/>
  <c r="E61" i="79"/>
  <c r="Q128" i="81" l="1"/>
  <c r="Q127" i="81"/>
  <c r="O125" i="81"/>
  <c r="C183" i="49" l="1"/>
  <c r="C184" i="49"/>
  <c r="C185" i="49"/>
  <c r="C186" i="49"/>
  <c r="C182" i="49"/>
  <c r="C173" i="49"/>
  <c r="C174" i="49"/>
  <c r="C175" i="49"/>
  <c r="C176" i="49"/>
  <c r="C177" i="49"/>
  <c r="C178" i="49"/>
  <c r="C170" i="49"/>
  <c r="K173" i="49"/>
  <c r="K174" i="49"/>
  <c r="K175" i="49"/>
  <c r="K176" i="49"/>
  <c r="K177" i="49"/>
  <c r="C150" i="49"/>
  <c r="C144" i="49"/>
  <c r="C143" i="49"/>
  <c r="C139" i="49"/>
  <c r="C138" i="49"/>
  <c r="C137" i="49"/>
  <c r="C132" i="49"/>
  <c r="C133" i="49"/>
  <c r="C134" i="49"/>
  <c r="C131" i="49"/>
  <c r="C125" i="49"/>
  <c r="C126" i="49"/>
  <c r="C127" i="49"/>
  <c r="C124" i="49"/>
  <c r="I144" i="96" l="1"/>
  <c r="R144" i="96" s="1"/>
  <c r="R140" i="96"/>
  <c r="J140" i="96"/>
  <c r="M137" i="96"/>
  <c r="D137" i="96"/>
  <c r="E134" i="96"/>
  <c r="E132" i="96"/>
  <c r="F130" i="96"/>
  <c r="G128" i="96"/>
  <c r="I125" i="96"/>
  <c r="I124" i="96"/>
  <c r="I123" i="96"/>
  <c r="H122" i="96"/>
  <c r="I120" i="96"/>
  <c r="I119" i="96"/>
  <c r="I118" i="96"/>
  <c r="I117" i="96"/>
  <c r="H116" i="96"/>
  <c r="I114" i="96"/>
  <c r="I113" i="96"/>
  <c r="I112" i="96"/>
  <c r="I111" i="96"/>
  <c r="H110" i="96"/>
  <c r="G109" i="96"/>
  <c r="F107" i="96"/>
  <c r="H105" i="96"/>
  <c r="H104" i="96"/>
  <c r="H103" i="96"/>
  <c r="T99" i="96"/>
  <c r="T92" i="96" s="1"/>
  <c r="S99" i="96"/>
  <c r="I100" i="96"/>
  <c r="Q98" i="96"/>
  <c r="I99" i="96"/>
  <c r="Q97" i="96"/>
  <c r="H98" i="96"/>
  <c r="P96" i="96"/>
  <c r="G97" i="96"/>
  <c r="P94" i="96"/>
  <c r="O92" i="96"/>
  <c r="P89" i="96"/>
  <c r="G89" i="96"/>
  <c r="Q87" i="96"/>
  <c r="H87" i="96"/>
  <c r="H94" i="96" s="1"/>
  <c r="Q86" i="96"/>
  <c r="Q84" i="96"/>
  <c r="I84" i="96"/>
  <c r="I92" i="96" s="1"/>
  <c r="Q83" i="96"/>
  <c r="I83" i="96"/>
  <c r="I91" i="96" s="1"/>
  <c r="Q82" i="96"/>
  <c r="H82" i="96"/>
  <c r="H90" i="96" s="1"/>
  <c r="G81" i="96"/>
  <c r="R80" i="96"/>
  <c r="R79" i="96"/>
  <c r="F79" i="96"/>
  <c r="Q78" i="96"/>
  <c r="Q77" i="96"/>
  <c r="G77" i="96"/>
  <c r="Q76" i="96"/>
  <c r="G76" i="96"/>
  <c r="Q75" i="96"/>
  <c r="G75" i="96"/>
  <c r="P74" i="96"/>
  <c r="G73" i="96"/>
  <c r="F71" i="96"/>
  <c r="E69" i="96"/>
  <c r="G66" i="96"/>
  <c r="P65" i="96"/>
  <c r="G65" i="96"/>
  <c r="Q63" i="96"/>
  <c r="Q72" i="96" s="1"/>
  <c r="F63" i="96"/>
  <c r="G61" i="96"/>
  <c r="R60" i="96"/>
  <c r="R69" i="96" s="1"/>
  <c r="C60" i="96"/>
  <c r="R59" i="96"/>
  <c r="R68" i="96" s="1"/>
  <c r="Q58" i="96"/>
  <c r="Q67" i="96" s="1"/>
  <c r="I58" i="96"/>
  <c r="P57" i="96"/>
  <c r="I57" i="96"/>
  <c r="I56" i="96"/>
  <c r="O55" i="96"/>
  <c r="I55" i="96"/>
  <c r="U48" i="96"/>
  <c r="Q51" i="96"/>
  <c r="Q50" i="96"/>
  <c r="Q49" i="96"/>
  <c r="Q48" i="96"/>
  <c r="Q47" i="96"/>
  <c r="P46" i="96"/>
  <c r="I46" i="96"/>
  <c r="I52" i="96" s="1"/>
  <c r="I45" i="96"/>
  <c r="I51" i="96" s="1"/>
  <c r="P44" i="96"/>
  <c r="I44" i="96"/>
  <c r="I50" i="96" s="1"/>
  <c r="P43" i="96"/>
  <c r="I43" i="96"/>
  <c r="I49" i="96" s="1"/>
  <c r="H42" i="96"/>
  <c r="O41" i="96"/>
  <c r="G41" i="96"/>
  <c r="G40" i="96"/>
  <c r="G39" i="96"/>
  <c r="Q37" i="96"/>
  <c r="F37" i="96"/>
  <c r="Q36" i="96"/>
  <c r="P35" i="96"/>
  <c r="G35" i="96"/>
  <c r="G34" i="96"/>
  <c r="C34" i="96"/>
  <c r="Q33" i="96"/>
  <c r="G33" i="96"/>
  <c r="Q32" i="96"/>
  <c r="P31" i="96"/>
  <c r="F31" i="96"/>
  <c r="P30" i="96"/>
  <c r="G29" i="96"/>
  <c r="O28" i="96"/>
  <c r="G28" i="96"/>
  <c r="N26" i="96"/>
  <c r="V25" i="96"/>
  <c r="H25" i="96"/>
  <c r="H24" i="96"/>
  <c r="H23" i="96"/>
  <c r="H22" i="96"/>
  <c r="O21" i="96"/>
  <c r="H21" i="96"/>
  <c r="O20" i="96"/>
  <c r="O19" i="96"/>
  <c r="Q18" i="96"/>
  <c r="F18" i="96"/>
  <c r="V17" i="96"/>
  <c r="Q17" i="96"/>
  <c r="O16" i="96"/>
  <c r="G16" i="96"/>
  <c r="Q15" i="96"/>
  <c r="G15" i="96"/>
  <c r="O14" i="96"/>
  <c r="G14" i="96"/>
  <c r="Q13" i="96"/>
  <c r="G13" i="96"/>
  <c r="O12" i="96"/>
  <c r="O11" i="96"/>
  <c r="K11" i="96"/>
  <c r="J11" i="96"/>
  <c r="F11" i="96"/>
  <c r="C10" i="96"/>
  <c r="N9" i="96"/>
  <c r="E9" i="96"/>
  <c r="T6" i="96"/>
  <c r="M6" i="96"/>
  <c r="K6" i="96"/>
  <c r="D6" i="96"/>
  <c r="D2" i="96"/>
  <c r="S92" i="96" l="1"/>
  <c r="I115" i="78"/>
  <c r="I76" i="49"/>
  <c r="G76" i="49"/>
  <c r="I94" i="78"/>
  <c r="H50" i="75"/>
  <c r="E76" i="49"/>
  <c r="J76" i="49"/>
  <c r="S28" i="96"/>
  <c r="U26" i="96" s="1"/>
  <c r="T28" i="96"/>
  <c r="M43" i="78" l="1"/>
  <c r="I119" i="78"/>
  <c r="I120" i="78" s="1"/>
  <c r="K76" i="49"/>
  <c r="K77" i="49"/>
  <c r="H47" i="75"/>
  <c r="E96" i="75"/>
  <c r="S26" i="96"/>
  <c r="T26" i="96"/>
  <c r="J9" i="96"/>
  <c r="K9" i="96"/>
  <c r="J137" i="96" l="1"/>
  <c r="K137" i="96"/>
  <c r="E52" i="7" l="1"/>
  <c r="S31" i="53" l="1"/>
  <c r="U31" i="53" s="1"/>
  <c r="S32" i="53"/>
  <c r="U32" i="53" s="1"/>
  <c r="L14" i="49"/>
  <c r="S30" i="53"/>
  <c r="U30" i="53" s="1"/>
  <c r="L13" i="49"/>
  <c r="E50" i="7"/>
  <c r="E64" i="7"/>
  <c r="C271" i="91"/>
  <c r="C251" i="91"/>
  <c r="C243" i="91"/>
  <c r="C241" i="91"/>
  <c r="C239" i="91"/>
  <c r="C237" i="91"/>
  <c r="C233" i="91"/>
  <c r="C231" i="91"/>
  <c r="C229" i="91"/>
  <c r="C227" i="91"/>
  <c r="C224" i="91"/>
  <c r="C225" i="91"/>
  <c r="C223" i="91"/>
  <c r="C221" i="91"/>
  <c r="C219" i="91"/>
  <c r="C215" i="91"/>
  <c r="C213" i="91"/>
  <c r="C212" i="91"/>
  <c r="C209" i="91"/>
  <c r="C210" i="91"/>
  <c r="C208" i="91"/>
  <c r="C206" i="91"/>
  <c r="C204" i="91"/>
  <c r="C203" i="91"/>
  <c r="C201" i="91"/>
  <c r="C198" i="91"/>
  <c r="C197" i="91"/>
  <c r="C195" i="91"/>
  <c r="C193" i="91"/>
  <c r="C191" i="91"/>
  <c r="C188" i="91"/>
  <c r="C186" i="91"/>
  <c r="C184" i="91"/>
  <c r="C182" i="91"/>
  <c r="C180" i="91"/>
  <c r="C178" i="91"/>
  <c r="C176" i="91"/>
  <c r="C174" i="91"/>
  <c r="C168" i="91"/>
  <c r="C166" i="91"/>
  <c r="C162" i="91"/>
  <c r="C163" i="91"/>
  <c r="C164" i="91"/>
  <c r="C161" i="91"/>
  <c r="C159" i="91"/>
  <c r="C157" i="91"/>
  <c r="C155" i="91"/>
  <c r="C153" i="91"/>
  <c r="C149" i="91"/>
  <c r="C150" i="91"/>
  <c r="C146" i="91"/>
  <c r="C144" i="91"/>
  <c r="C142" i="91"/>
  <c r="C140" i="91"/>
  <c r="C138" i="91"/>
  <c r="C137" i="91"/>
  <c r="C135" i="91"/>
  <c r="C133" i="91"/>
  <c r="C132" i="91"/>
  <c r="C129" i="91"/>
  <c r="C128" i="91"/>
  <c r="C126" i="91"/>
  <c r="C116" i="91"/>
  <c r="C117" i="91"/>
  <c r="C118" i="91"/>
  <c r="C111" i="91"/>
  <c r="C112" i="91"/>
  <c r="C113" i="91"/>
  <c r="C114" i="91"/>
  <c r="C106" i="91"/>
  <c r="C100" i="91"/>
  <c r="C98" i="91"/>
  <c r="C96" i="91"/>
  <c r="C95" i="91"/>
  <c r="C93" i="91"/>
  <c r="C91" i="91"/>
  <c r="C90" i="91"/>
  <c r="C88" i="91"/>
  <c r="C84" i="91"/>
  <c r="C266" i="91"/>
  <c r="C267" i="91"/>
  <c r="C268" i="91"/>
  <c r="C82" i="91"/>
  <c r="C58" i="91"/>
  <c r="C50" i="91"/>
  <c r="C51" i="91"/>
  <c r="C49" i="91"/>
  <c r="C39" i="91"/>
  <c r="C28" i="91"/>
  <c r="C24" i="91"/>
  <c r="C25" i="91"/>
  <c r="C26" i="91"/>
  <c r="C16" i="91"/>
  <c r="C11" i="91"/>
  <c r="C9" i="91"/>
  <c r="C8" i="91"/>
  <c r="C110" i="91"/>
  <c r="U33" i="53" l="1"/>
  <c r="E35" i="7"/>
  <c r="I47" i="78"/>
  <c r="E42" i="7"/>
  <c r="I48" i="78"/>
  <c r="E20" i="7"/>
  <c r="I46" i="78" l="1"/>
  <c r="I56" i="78" s="1"/>
  <c r="M56" i="78" s="1"/>
  <c r="H97" i="49"/>
  <c r="H106" i="49" s="1"/>
  <c r="F97" i="49"/>
  <c r="F106" i="49" s="1"/>
  <c r="C97" i="49"/>
  <c r="C106" i="49" s="1"/>
  <c r="C95" i="49"/>
  <c r="O126" i="81" l="1"/>
  <c r="C60" i="91"/>
  <c r="C30" i="91"/>
  <c r="C13" i="91" l="1"/>
  <c r="C261" i="91"/>
  <c r="C62" i="91"/>
  <c r="C54" i="91"/>
  <c r="C47" i="91"/>
  <c r="C45" i="91"/>
  <c r="E69" i="79" l="1"/>
  <c r="E66" i="79"/>
  <c r="E63" i="79"/>
  <c r="E64" i="81"/>
  <c r="E59" i="81"/>
  <c r="E54" i="81"/>
  <c r="C379" i="49"/>
  <c r="C365" i="49"/>
  <c r="J120" i="49"/>
  <c r="I120" i="49"/>
  <c r="C199" i="49"/>
  <c r="C195" i="49"/>
  <c r="C192" i="49"/>
  <c r="C189" i="49"/>
  <c r="C181" i="49"/>
  <c r="C167" i="49"/>
  <c r="C149" i="49"/>
  <c r="C142" i="49"/>
  <c r="I52" i="49"/>
  <c r="G52" i="49"/>
  <c r="E52" i="49"/>
  <c r="C48" i="69"/>
  <c r="C53" i="69"/>
  <c r="E59" i="79"/>
  <c r="E54" i="79"/>
  <c r="C25" i="57"/>
  <c r="C73" i="49" l="1"/>
  <c r="C84" i="49" s="1"/>
  <c r="G59" i="49"/>
  <c r="C74" i="49"/>
  <c r="C85" i="49" s="1"/>
  <c r="I59" i="49"/>
  <c r="C72" i="49"/>
  <c r="C83" i="49" s="1"/>
  <c r="E59" i="49"/>
  <c r="J165" i="49"/>
  <c r="J208" i="49"/>
  <c r="J253" i="49" s="1"/>
  <c r="K165" i="49"/>
  <c r="K208" i="49"/>
  <c r="K253" i="49" s="1"/>
  <c r="I165" i="49"/>
  <c r="I208" i="49"/>
  <c r="I253" i="49" s="1"/>
  <c r="I387" i="49"/>
  <c r="I382" i="49"/>
  <c r="C193" i="49"/>
  <c r="K190" i="49"/>
  <c r="K179" i="49"/>
  <c r="K178" i="49"/>
  <c r="K170" i="49"/>
  <c r="I195" i="49" l="1"/>
  <c r="I197" i="49" l="1"/>
  <c r="I199" i="49" l="1"/>
  <c r="C85" i="53"/>
  <c r="J313" i="49" l="1"/>
  <c r="B1492" i="4"/>
  <c r="H324" i="49" l="1"/>
  <c r="H326" i="49" s="1"/>
  <c r="C27" i="57"/>
  <c r="C15" i="78"/>
  <c r="C16" i="78"/>
  <c r="C17" i="78"/>
  <c r="C23" i="78"/>
  <c r="C24" i="78"/>
  <c r="C25" i="78"/>
  <c r="C26" i="78"/>
  <c r="C27" i="78"/>
  <c r="C28" i="78"/>
  <c r="C28" i="69"/>
  <c r="U81" i="96"/>
  <c r="K201" i="49" l="1"/>
  <c r="L326" i="49" s="1"/>
  <c r="B63" i="96"/>
  <c r="B111" i="96"/>
  <c r="C199" i="73"/>
  <c r="C206" i="73"/>
  <c r="C205" i="70"/>
  <c r="C198" i="70"/>
  <c r="F28" i="40"/>
  <c r="D28" i="40"/>
  <c r="I8" i="59"/>
  <c r="I88" i="65"/>
  <c r="I89" i="60"/>
  <c r="I27" i="78" l="1"/>
  <c r="C77" i="53"/>
  <c r="C13" i="96" l="1"/>
  <c r="I368" i="49"/>
  <c r="C62" i="53" l="1"/>
  <c r="C87" i="53"/>
  <c r="G49" i="31"/>
  <c r="F49" i="31"/>
  <c r="C54" i="53" l="1"/>
  <c r="C31" i="54"/>
  <c r="C64" i="75"/>
  <c r="C69" i="43"/>
  <c r="E12" i="7" l="1"/>
  <c r="E33" i="7" l="1"/>
  <c r="E48" i="7" s="1"/>
  <c r="E74" i="7" s="1"/>
  <c r="J121" i="49" l="1"/>
  <c r="L66" i="75"/>
  <c r="C11" i="51"/>
  <c r="B4" i="52"/>
  <c r="C370" i="49"/>
  <c r="C24" i="69"/>
  <c r="C19" i="69"/>
  <c r="C14" i="69"/>
  <c r="C16" i="69"/>
  <c r="I16" i="69"/>
  <c r="J195" i="49" l="1"/>
  <c r="K121" i="49"/>
  <c r="J197" i="49"/>
  <c r="K197" i="49" s="1"/>
  <c r="C347" i="49"/>
  <c r="C346" i="49"/>
  <c r="L121" i="49" l="1"/>
  <c r="K195" i="49"/>
  <c r="K199" i="49"/>
  <c r="J199" i="49"/>
  <c r="C31" i="43"/>
  <c r="C31" i="57"/>
  <c r="C30" i="57"/>
  <c r="C29" i="57"/>
  <c r="C28" i="57"/>
  <c r="L197" i="49" l="1"/>
  <c r="L199" i="49"/>
  <c r="K204" i="49"/>
  <c r="B4" i="43"/>
  <c r="C6" i="78"/>
  <c r="I21" i="69"/>
  <c r="H21" i="69"/>
  <c r="C21" i="69"/>
  <c r="I11" i="69"/>
  <c r="C11" i="69"/>
  <c r="C6" i="69"/>
  <c r="B4" i="54"/>
  <c r="B4" i="53"/>
  <c r="B4" i="51"/>
  <c r="C341" i="49"/>
  <c r="D42" i="49"/>
  <c r="C45" i="75"/>
  <c r="C44" i="75"/>
  <c r="C58" i="75" s="1"/>
  <c r="L204" i="49" l="1"/>
  <c r="J47" i="75"/>
  <c r="C59" i="75"/>
  <c r="J61" i="75" s="1"/>
  <c r="H26" i="69"/>
  <c r="I26" i="69"/>
  <c r="F43" i="75"/>
  <c r="E46" i="75"/>
  <c r="E52" i="75" s="1"/>
  <c r="C52" i="75"/>
  <c r="C66" i="75" s="1"/>
  <c r="H51" i="75"/>
  <c r="C65" i="75"/>
  <c r="H49" i="75"/>
  <c r="C63" i="75"/>
  <c r="H48" i="75"/>
  <c r="C62" i="75"/>
  <c r="C61" i="75"/>
  <c r="G46" i="75"/>
  <c r="G52" i="75" s="1"/>
  <c r="F46" i="75"/>
  <c r="F52" i="75" s="1"/>
  <c r="C46" i="75"/>
  <c r="C60" i="75" s="1"/>
  <c r="G43" i="75"/>
  <c r="D57" i="75"/>
  <c r="H42" i="75"/>
  <c r="H56" i="75" s="1"/>
  <c r="D42" i="75"/>
  <c r="D56" i="75" s="1"/>
  <c r="C42" i="75"/>
  <c r="C56" i="75" s="1"/>
  <c r="J45" i="43"/>
  <c r="I41" i="43"/>
  <c r="I49" i="43" s="1"/>
  <c r="G41" i="43"/>
  <c r="G49" i="43" s="1"/>
  <c r="F41" i="43"/>
  <c r="F49" i="43" s="1"/>
  <c r="C35" i="43"/>
  <c r="C20" i="43"/>
  <c r="C11" i="43"/>
  <c r="E81" i="59"/>
  <c r="H46" i="75" l="1"/>
  <c r="K52" i="75" s="1"/>
  <c r="E69" i="59"/>
  <c r="I9" i="60" l="1"/>
  <c r="F9" i="31"/>
  <c r="E9" i="7"/>
  <c r="G47" i="31"/>
  <c r="F47" i="31"/>
  <c r="G61" i="31"/>
  <c r="F61" i="31"/>
  <c r="E57" i="31"/>
  <c r="E66" i="31" s="1"/>
  <c r="E55" i="31"/>
  <c r="E52" i="31"/>
  <c r="E51" i="31"/>
  <c r="E53" i="31" s="1"/>
  <c r="D36" i="31"/>
  <c r="C39" i="7"/>
  <c r="D60" i="7"/>
  <c r="D69" i="7" s="1"/>
  <c r="D58" i="7"/>
  <c r="D55" i="7"/>
  <c r="D54" i="7"/>
  <c r="D56" i="7" s="1"/>
  <c r="B74" i="7"/>
  <c r="D29" i="7"/>
  <c r="C86" i="78" l="1"/>
  <c r="F57" i="52"/>
  <c r="J57" i="52" s="1"/>
  <c r="H45" i="75" l="1"/>
  <c r="J52" i="75" s="1"/>
  <c r="B44" i="5"/>
  <c r="C220" i="73" l="1"/>
  <c r="C210" i="73"/>
  <c r="D68" i="73"/>
  <c r="D66" i="73"/>
  <c r="D64" i="73"/>
  <c r="C219" i="70"/>
  <c r="C209" i="70"/>
  <c r="D68" i="70"/>
  <c r="D66" i="70"/>
  <c r="D64" i="70"/>
  <c r="C73" i="53"/>
  <c r="C72" i="53"/>
  <c r="C71" i="53"/>
  <c r="C70" i="53"/>
  <c r="C334" i="49"/>
  <c r="C337" i="49" s="1"/>
  <c r="G33" i="59"/>
  <c r="U68" i="73" l="1"/>
  <c r="U66" i="73"/>
  <c r="U70" i="70"/>
  <c r="U68" i="70"/>
  <c r="U66" i="70"/>
  <c r="U64" i="70"/>
  <c r="U62" i="70"/>
  <c r="U60" i="70"/>
  <c r="U58" i="70"/>
  <c r="U56" i="70"/>
  <c r="U54" i="70"/>
  <c r="U64" i="73"/>
  <c r="U62" i="73"/>
  <c r="C20" i="54"/>
  <c r="B94" i="73"/>
  <c r="B240" i="73" l="1"/>
  <c r="B238" i="73"/>
  <c r="C27" i="54"/>
  <c r="B252" i="73" l="1"/>
  <c r="B157" i="73"/>
  <c r="B155" i="73"/>
  <c r="D143" i="73"/>
  <c r="D142" i="73"/>
  <c r="D140" i="73"/>
  <c r="D139" i="73"/>
  <c r="D137" i="73"/>
  <c r="D136" i="73"/>
  <c r="D134" i="73"/>
  <c r="D133" i="73"/>
  <c r="E110" i="73"/>
  <c r="E108" i="73"/>
  <c r="E106" i="73"/>
  <c r="E100" i="73"/>
  <c r="E98" i="73"/>
  <c r="C90" i="73"/>
  <c r="C86" i="73"/>
  <c r="C82" i="73"/>
  <c r="B244" i="70"/>
  <c r="B232" i="70" l="1"/>
  <c r="B230" i="70"/>
  <c r="B157" i="70"/>
  <c r="B155" i="70"/>
  <c r="B153" i="70"/>
  <c r="D141" i="70"/>
  <c r="D140" i="70"/>
  <c r="D138" i="70"/>
  <c r="D137" i="70"/>
  <c r="D135" i="70"/>
  <c r="D134" i="70"/>
  <c r="D132" i="70"/>
  <c r="D131" i="70"/>
  <c r="E108" i="70"/>
  <c r="E106" i="70"/>
  <c r="E104" i="70"/>
  <c r="E98" i="70"/>
  <c r="E96" i="70"/>
  <c r="C88" i="70"/>
  <c r="C84" i="70"/>
  <c r="C80" i="70"/>
  <c r="K45" i="54"/>
  <c r="L45" i="54"/>
  <c r="I45" i="54"/>
  <c r="J45" i="54"/>
  <c r="I22" i="54"/>
  <c r="J22" i="54"/>
  <c r="G22" i="54"/>
  <c r="H22" i="54"/>
  <c r="C23" i="54"/>
  <c r="D23" i="54"/>
  <c r="E23" i="54"/>
  <c r="F23" i="54"/>
  <c r="C24" i="54"/>
  <c r="D24" i="54"/>
  <c r="E24" i="54"/>
  <c r="F24" i="54"/>
  <c r="C25" i="54"/>
  <c r="D25" i="54"/>
  <c r="E25" i="54"/>
  <c r="F25" i="54"/>
  <c r="C22" i="54"/>
  <c r="F22" i="54"/>
  <c r="E22" i="54"/>
  <c r="D22" i="54"/>
  <c r="C81" i="53"/>
  <c r="C50" i="51"/>
  <c r="C49" i="51"/>
  <c r="C44" i="51"/>
  <c r="C43" i="51"/>
  <c r="D56" i="73" l="1"/>
  <c r="C235" i="73"/>
  <c r="C229" i="73"/>
  <c r="C189" i="73"/>
  <c r="C182" i="73"/>
  <c r="C163" i="73"/>
  <c r="C152" i="73"/>
  <c r="B131" i="73"/>
  <c r="C115" i="73"/>
  <c r="B113" i="73"/>
  <c r="C104" i="73"/>
  <c r="B102" i="73"/>
  <c r="B88" i="73"/>
  <c r="C78" i="73"/>
  <c r="C75" i="73"/>
  <c r="D72" i="73"/>
  <c r="D70" i="73"/>
  <c r="D62" i="73"/>
  <c r="D60" i="73"/>
  <c r="D58" i="73"/>
  <c r="D54" i="73"/>
  <c r="T48" i="73"/>
  <c r="B47" i="73"/>
  <c r="C227" i="70"/>
  <c r="C188" i="70"/>
  <c r="C180" i="70"/>
  <c r="C161" i="70"/>
  <c r="B129" i="70"/>
  <c r="C113" i="70"/>
  <c r="B111" i="70"/>
  <c r="C102" i="70"/>
  <c r="B100" i="70"/>
  <c r="B92" i="70"/>
  <c r="B86" i="70"/>
  <c r="C76" i="70"/>
  <c r="D70" i="70"/>
  <c r="D62" i="70"/>
  <c r="D60" i="70"/>
  <c r="D58" i="70"/>
  <c r="D56" i="70"/>
  <c r="C150" i="70"/>
  <c r="T48" i="70"/>
  <c r="B47" i="70"/>
  <c r="D54" i="70"/>
  <c r="C73" i="70"/>
  <c r="H21" i="70"/>
  <c r="C7" i="51"/>
  <c r="C1492" i="4"/>
  <c r="A1492" i="4"/>
  <c r="C96" i="73" s="1"/>
  <c r="U72" i="73"/>
  <c r="U70" i="73"/>
  <c r="U60" i="73"/>
  <c r="U58" i="73"/>
  <c r="U56" i="73"/>
  <c r="U54" i="73"/>
  <c r="H21" i="73"/>
  <c r="H22" i="73"/>
  <c r="C80" i="73"/>
  <c r="B33" i="7"/>
  <c r="B35" i="7"/>
  <c r="B42" i="7"/>
  <c r="B48" i="7"/>
  <c r="B50" i="7"/>
  <c r="B64" i="7"/>
  <c r="B76" i="7"/>
  <c r="B78" i="7"/>
  <c r="B81" i="7"/>
  <c r="C24" i="31"/>
  <c r="C26" i="31"/>
  <c r="C28" i="31"/>
  <c r="C30" i="31"/>
  <c r="C32" i="31"/>
  <c r="C39" i="31"/>
  <c r="C45" i="31"/>
  <c r="C47" i="31"/>
  <c r="C61" i="31"/>
  <c r="C70" i="31"/>
  <c r="C72" i="31"/>
  <c r="C74" i="31"/>
  <c r="C77" i="31"/>
  <c r="B246" i="73"/>
  <c r="C62" i="51"/>
  <c r="C61" i="51"/>
  <c r="C58" i="51"/>
  <c r="C53" i="51"/>
  <c r="F12" i="31"/>
  <c r="F18" i="31"/>
  <c r="F32" i="31"/>
  <c r="F39" i="31"/>
  <c r="B53" i="5"/>
  <c r="B46" i="5"/>
  <c r="B43" i="5"/>
  <c r="B38" i="5"/>
  <c r="D28" i="5"/>
  <c r="D23" i="5"/>
  <c r="B10" i="5"/>
  <c r="J80" i="59"/>
  <c r="G12" i="31"/>
  <c r="G18" i="31"/>
  <c r="G32" i="31"/>
  <c r="G39" i="31"/>
  <c r="E57" i="59"/>
  <c r="C39" i="96"/>
  <c r="J69" i="60"/>
  <c r="J62" i="60"/>
  <c r="I69" i="60"/>
  <c r="I62" i="60"/>
  <c r="C78" i="43"/>
  <c r="F12" i="7"/>
  <c r="F33" i="7" s="1"/>
  <c r="F48" i="7" s="1"/>
  <c r="F74" i="7" s="1"/>
  <c r="F81" i="7" s="1"/>
  <c r="K69" i="78"/>
  <c r="B40" i="5"/>
  <c r="B41" i="5"/>
  <c r="B39" i="5"/>
  <c r="B3" i="59"/>
  <c r="B3" i="65"/>
  <c r="B3" i="60"/>
  <c r="B3" i="31"/>
  <c r="A3" i="7"/>
  <c r="B47" i="5"/>
  <c r="H22" i="70"/>
  <c r="D53" i="5"/>
  <c r="B238" i="70"/>
  <c r="B12" i="7"/>
  <c r="C78" i="70"/>
  <c r="C34" i="40"/>
  <c r="E20" i="60"/>
  <c r="K72" i="78"/>
  <c r="K84" i="78" s="1"/>
  <c r="K107" i="78" s="1"/>
  <c r="K123" i="78" s="1"/>
  <c r="K134" i="78" s="1"/>
  <c r="D13" i="59"/>
  <c r="E20" i="59"/>
  <c r="F21" i="59"/>
  <c r="G22" i="59"/>
  <c r="F24" i="59"/>
  <c r="G25" i="59"/>
  <c r="E31" i="59"/>
  <c r="F32" i="59"/>
  <c r="G34" i="59"/>
  <c r="G35" i="59"/>
  <c r="F38" i="59"/>
  <c r="G39" i="59"/>
  <c r="E45" i="59"/>
  <c r="F46" i="59"/>
  <c r="F49" i="59"/>
  <c r="G50" i="59"/>
  <c r="F58" i="59"/>
  <c r="F61" i="59"/>
  <c r="E71" i="59"/>
  <c r="F72" i="59"/>
  <c r="G73" i="59"/>
  <c r="F75" i="59"/>
  <c r="E83" i="59"/>
  <c r="F84" i="59"/>
  <c r="G85" i="59"/>
  <c r="F87" i="59"/>
  <c r="C6" i="54"/>
  <c r="C12" i="54"/>
  <c r="C29" i="54"/>
  <c r="C36" i="54"/>
  <c r="C43" i="54"/>
  <c r="C45" i="54"/>
  <c r="C46" i="54"/>
  <c r="C47" i="54"/>
  <c r="C48" i="54"/>
  <c r="C49" i="54"/>
  <c r="C50" i="54"/>
  <c r="C6" i="53"/>
  <c r="F10" i="53"/>
  <c r="I10" i="53"/>
  <c r="C11" i="53"/>
  <c r="C12" i="53"/>
  <c r="C13" i="53"/>
  <c r="C14" i="53"/>
  <c r="C15" i="53"/>
  <c r="C18" i="53"/>
  <c r="C20" i="53"/>
  <c r="C28" i="53"/>
  <c r="C42" i="53" s="1"/>
  <c r="F28" i="53"/>
  <c r="F42" i="53" s="1"/>
  <c r="G28" i="53"/>
  <c r="G42" i="53" s="1"/>
  <c r="H28" i="53"/>
  <c r="H42" i="53" s="1"/>
  <c r="C52" i="53"/>
  <c r="C56" i="53"/>
  <c r="F56" i="53"/>
  <c r="G56" i="53"/>
  <c r="H56" i="53"/>
  <c r="I56" i="53"/>
  <c r="C59" i="53"/>
  <c r="C60" i="53"/>
  <c r="C64" i="53"/>
  <c r="C68" i="53"/>
  <c r="C7" i="52"/>
  <c r="C11" i="52"/>
  <c r="C15" i="52"/>
  <c r="C19" i="52"/>
  <c r="C18" i="51"/>
  <c r="C27" i="51"/>
  <c r="C33" i="51"/>
  <c r="G34" i="51"/>
  <c r="C37" i="51"/>
  <c r="C42" i="51"/>
  <c r="F42" i="51"/>
  <c r="H42" i="51"/>
  <c r="J42" i="51"/>
  <c r="F45" i="51"/>
  <c r="C47" i="51"/>
  <c r="C48" i="51"/>
  <c r="F48" i="51"/>
  <c r="H48" i="51"/>
  <c r="J48" i="51"/>
  <c r="F51" i="51"/>
  <c r="B4" i="49"/>
  <c r="K12" i="49"/>
  <c r="K19" i="49" s="1"/>
  <c r="C13" i="49"/>
  <c r="C14" i="49"/>
  <c r="C21" i="49" s="1"/>
  <c r="C46" i="49"/>
  <c r="C64" i="49"/>
  <c r="C197" i="49"/>
  <c r="D201" i="49"/>
  <c r="C204" i="49"/>
  <c r="C26" i="49"/>
  <c r="C33" i="49"/>
  <c r="C34" i="49"/>
  <c r="C36" i="49"/>
  <c r="C37" i="49"/>
  <c r="C38" i="49"/>
  <c r="C39" i="49"/>
  <c r="C40" i="49"/>
  <c r="C43" i="49"/>
  <c r="C328" i="49"/>
  <c r="C333" i="49"/>
  <c r="C336" i="49"/>
  <c r="C355" i="49"/>
  <c r="C357" i="49"/>
  <c r="I373" i="49"/>
  <c r="F62" i="43"/>
  <c r="C67" i="43"/>
  <c r="F73" i="43"/>
  <c r="H73" i="43"/>
  <c r="I73" i="43"/>
  <c r="G74" i="43"/>
  <c r="C75" i="43"/>
  <c r="G75" i="43"/>
  <c r="C76" i="43"/>
  <c r="G76" i="43"/>
  <c r="C77" i="43"/>
  <c r="G77" i="43"/>
  <c r="C79" i="43"/>
  <c r="G79" i="43"/>
  <c r="C95" i="43"/>
  <c r="B12" i="40"/>
  <c r="C12" i="40"/>
  <c r="C43" i="40" s="1"/>
  <c r="C30" i="40"/>
  <c r="C61" i="40" s="1"/>
  <c r="E13" i="40"/>
  <c r="E44" i="40" s="1"/>
  <c r="F13" i="40"/>
  <c r="F44" i="40" s="1"/>
  <c r="E22" i="40"/>
  <c r="E53" i="40" s="1"/>
  <c r="B15" i="40"/>
  <c r="B16" i="40"/>
  <c r="B17" i="40"/>
  <c r="B18" i="40"/>
  <c r="B19" i="40"/>
  <c r="E19" i="40"/>
  <c r="F19" i="40"/>
  <c r="C28" i="40"/>
  <c r="E28" i="40"/>
  <c r="B4" i="59"/>
  <c r="C11" i="59"/>
  <c r="J68" i="59"/>
  <c r="J71" i="59" s="1"/>
  <c r="C15" i="59"/>
  <c r="D18" i="59"/>
  <c r="E27" i="59"/>
  <c r="D29" i="59"/>
  <c r="E41" i="59"/>
  <c r="D43" i="59"/>
  <c r="E52" i="59"/>
  <c r="D55" i="59"/>
  <c r="E64" i="59"/>
  <c r="E68" i="59"/>
  <c r="E70" i="59"/>
  <c r="E78" i="59"/>
  <c r="E80" i="59"/>
  <c r="E82" i="59"/>
  <c r="E90" i="59"/>
  <c r="E92" i="59"/>
  <c r="D94" i="59"/>
  <c r="E96" i="59"/>
  <c r="E97" i="59"/>
  <c r="E98" i="59"/>
  <c r="C100" i="59"/>
  <c r="C103" i="59"/>
  <c r="G108" i="59"/>
  <c r="I108" i="59"/>
  <c r="B4" i="65"/>
  <c r="B6" i="65"/>
  <c r="J9" i="65"/>
  <c r="C13" i="65"/>
  <c r="D15" i="65"/>
  <c r="I15" i="65"/>
  <c r="J15" i="65"/>
  <c r="E17" i="65"/>
  <c r="E18" i="65"/>
  <c r="D20" i="65"/>
  <c r="I20" i="65"/>
  <c r="J20" i="65"/>
  <c r="E22" i="65"/>
  <c r="E23" i="65"/>
  <c r="E24" i="65"/>
  <c r="E25" i="65"/>
  <c r="E26" i="65"/>
  <c r="D28" i="65"/>
  <c r="C30" i="65"/>
  <c r="D32" i="65"/>
  <c r="I38" i="65"/>
  <c r="J38" i="65"/>
  <c r="E34" i="65"/>
  <c r="E35" i="65"/>
  <c r="E36" i="65"/>
  <c r="F37" i="65"/>
  <c r="F38" i="65"/>
  <c r="G39" i="65"/>
  <c r="G40" i="65"/>
  <c r="G41" i="65"/>
  <c r="G42" i="65"/>
  <c r="E44" i="65"/>
  <c r="D46" i="65"/>
  <c r="I52" i="65"/>
  <c r="J52" i="65"/>
  <c r="E48" i="65"/>
  <c r="E49" i="65"/>
  <c r="E50" i="65"/>
  <c r="F51" i="65"/>
  <c r="F52" i="65"/>
  <c r="G53" i="65"/>
  <c r="G54" i="65"/>
  <c r="E55" i="65"/>
  <c r="D57" i="65"/>
  <c r="C59" i="65"/>
  <c r="D61" i="65"/>
  <c r="I61" i="65"/>
  <c r="J61" i="65"/>
  <c r="E63" i="65"/>
  <c r="E64" i="65"/>
  <c r="E65" i="65"/>
  <c r="E66" i="65"/>
  <c r="D68" i="65"/>
  <c r="I68" i="65"/>
  <c r="J68" i="65"/>
  <c r="E70" i="65"/>
  <c r="E71" i="65"/>
  <c r="E72" i="65"/>
  <c r="E73" i="65"/>
  <c r="E74" i="65"/>
  <c r="E75" i="65"/>
  <c r="E76" i="65"/>
  <c r="E77" i="65"/>
  <c r="E78" i="65"/>
  <c r="D80" i="65"/>
  <c r="C82" i="65"/>
  <c r="C84" i="65"/>
  <c r="D86" i="65"/>
  <c r="C88" i="65"/>
  <c r="C91" i="65"/>
  <c r="D93" i="65"/>
  <c r="G97" i="65"/>
  <c r="I97" i="65"/>
  <c r="B4" i="60"/>
  <c r="B6" i="60"/>
  <c r="C12" i="60"/>
  <c r="D14" i="60"/>
  <c r="D16" i="60"/>
  <c r="I18" i="60"/>
  <c r="J18" i="60"/>
  <c r="L18" i="60" s="1"/>
  <c r="E18" i="60"/>
  <c r="E19" i="60"/>
  <c r="E21" i="60"/>
  <c r="E22" i="60"/>
  <c r="E23" i="60"/>
  <c r="E24" i="60"/>
  <c r="E25" i="60"/>
  <c r="E26" i="60"/>
  <c r="E27" i="60"/>
  <c r="D29" i="60"/>
  <c r="C31" i="60"/>
  <c r="D33" i="60"/>
  <c r="J39" i="60"/>
  <c r="E35" i="60"/>
  <c r="E36" i="60"/>
  <c r="E37" i="60"/>
  <c r="F38" i="60"/>
  <c r="F39" i="60"/>
  <c r="G40" i="60"/>
  <c r="G41" i="60"/>
  <c r="G42" i="60"/>
  <c r="G43" i="60"/>
  <c r="E45" i="60"/>
  <c r="D47" i="60"/>
  <c r="I53" i="60"/>
  <c r="J53" i="60"/>
  <c r="E49" i="60"/>
  <c r="E50" i="60"/>
  <c r="E51" i="60"/>
  <c r="F52" i="60"/>
  <c r="F53" i="60"/>
  <c r="G54" i="60"/>
  <c r="G55" i="60"/>
  <c r="E56" i="60"/>
  <c r="D58" i="60"/>
  <c r="C60" i="60"/>
  <c r="D62" i="60"/>
  <c r="E64" i="60"/>
  <c r="E65" i="60"/>
  <c r="E66" i="60"/>
  <c r="E67" i="60"/>
  <c r="D69" i="60"/>
  <c r="E71" i="60"/>
  <c r="E72" i="60"/>
  <c r="E73" i="60"/>
  <c r="E74" i="60"/>
  <c r="E75" i="60"/>
  <c r="E76" i="60"/>
  <c r="E77" i="60"/>
  <c r="E78" i="60"/>
  <c r="E79" i="60"/>
  <c r="D81" i="60"/>
  <c r="C83" i="60"/>
  <c r="C85" i="60"/>
  <c r="D87" i="60"/>
  <c r="C89" i="60"/>
  <c r="C92" i="60"/>
  <c r="D93" i="60"/>
  <c r="G97" i="60"/>
  <c r="I97" i="60"/>
  <c r="B4" i="31"/>
  <c r="B6" i="31"/>
  <c r="G9" i="31"/>
  <c r="C12" i="31"/>
  <c r="E14" i="31"/>
  <c r="D15" i="31"/>
  <c r="D16" i="31"/>
  <c r="C18" i="31"/>
  <c r="E20" i="31"/>
  <c r="D21" i="31"/>
  <c r="D22" i="31"/>
  <c r="D34" i="31"/>
  <c r="D35" i="31"/>
  <c r="D37" i="31"/>
  <c r="D41" i="31"/>
  <c r="D42" i="31"/>
  <c r="D43" i="31"/>
  <c r="D49" i="31"/>
  <c r="E50" i="31"/>
  <c r="D54" i="31"/>
  <c r="D56" i="31"/>
  <c r="D58" i="31"/>
  <c r="D59" i="31"/>
  <c r="D63" i="31"/>
  <c r="E64" i="31"/>
  <c r="D67" i="31"/>
  <c r="D68" i="31"/>
  <c r="E81" i="31"/>
  <c r="F81" i="31"/>
  <c r="A6" i="7"/>
  <c r="D14" i="7"/>
  <c r="C15" i="7"/>
  <c r="C16" i="7"/>
  <c r="C17" i="7"/>
  <c r="C18" i="7"/>
  <c r="C22" i="7"/>
  <c r="C23" i="7"/>
  <c r="C24" i="7"/>
  <c r="C25" i="7"/>
  <c r="D26" i="7"/>
  <c r="C28" i="7"/>
  <c r="C30" i="7"/>
  <c r="C31" i="7"/>
  <c r="C37" i="7"/>
  <c r="C38" i="7"/>
  <c r="C40" i="7"/>
  <c r="C44" i="7"/>
  <c r="C45" i="7"/>
  <c r="C46" i="7"/>
  <c r="C52" i="7"/>
  <c r="D53" i="7"/>
  <c r="C57" i="7"/>
  <c r="C59" i="7"/>
  <c r="C61" i="7"/>
  <c r="C62" i="7"/>
  <c r="C66" i="7"/>
  <c r="D67" i="7"/>
  <c r="C70" i="7"/>
  <c r="C71" i="7"/>
  <c r="D85" i="7"/>
  <c r="E85" i="7"/>
  <c r="C1" i="57"/>
  <c r="C3" i="57"/>
  <c r="C5" i="57"/>
  <c r="C6" i="57"/>
  <c r="C9" i="57"/>
  <c r="C11" i="57"/>
  <c r="C12" i="57"/>
  <c r="C14" i="57"/>
  <c r="C15" i="57"/>
  <c r="C16" i="57"/>
  <c r="C17" i="57"/>
  <c r="C18" i="57"/>
  <c r="C19" i="57"/>
  <c r="C20" i="57"/>
  <c r="C23" i="57"/>
  <c r="C24" i="57"/>
  <c r="C26" i="57"/>
  <c r="C35" i="57"/>
  <c r="B2" i="5"/>
  <c r="B4" i="5"/>
  <c r="B5" i="5"/>
  <c r="B6" i="5"/>
  <c r="B7" i="5"/>
  <c r="B12" i="5"/>
  <c r="B17" i="5"/>
  <c r="B18" i="5"/>
  <c r="B19" i="5"/>
  <c r="B23" i="5"/>
  <c r="B24" i="5"/>
  <c r="B25" i="5"/>
  <c r="B26" i="5"/>
  <c r="B28" i="5"/>
  <c r="B29" i="5"/>
  <c r="B30" i="5"/>
  <c r="B31" i="5"/>
  <c r="B33" i="5"/>
  <c r="B34" i="5"/>
  <c r="B35" i="5"/>
  <c r="B36" i="5"/>
  <c r="B54" i="5"/>
  <c r="B55" i="5"/>
  <c r="B56" i="5"/>
  <c r="T20" i="96" l="1"/>
  <c r="F87" i="7"/>
  <c r="C123" i="75"/>
  <c r="M51" i="5"/>
  <c r="M54" i="5" s="1"/>
  <c r="D236" i="54" s="1"/>
  <c r="A1174" i="4"/>
  <c r="I343" i="54"/>
  <c r="I332" i="54"/>
  <c r="I337" i="54" s="1"/>
  <c r="I69" i="78"/>
  <c r="I70" i="78" s="1"/>
  <c r="C30" i="78"/>
  <c r="C120" i="78"/>
  <c r="C94" i="70"/>
  <c r="H36" i="69"/>
  <c r="I84" i="43"/>
  <c r="H84" i="43"/>
  <c r="F84" i="43"/>
  <c r="H114" i="40"/>
  <c r="C700" i="4"/>
  <c r="B700" i="4"/>
  <c r="A700" i="4"/>
  <c r="B626" i="4"/>
  <c r="A626" i="4"/>
  <c r="C715" i="4"/>
  <c r="C626" i="4"/>
  <c r="K59" i="43"/>
  <c r="B639" i="4"/>
  <c r="A639" i="4"/>
  <c r="C639" i="4"/>
  <c r="M69" i="78"/>
  <c r="H66" i="40"/>
  <c r="H67" i="40"/>
  <c r="I81" i="60"/>
  <c r="R73" i="43"/>
  <c r="B1273" i="4"/>
  <c r="B878" i="4"/>
  <c r="B877" i="4"/>
  <c r="B880" i="4"/>
  <c r="B1161" i="4"/>
  <c r="S73" i="43"/>
  <c r="B879" i="4"/>
  <c r="J83" i="59"/>
  <c r="C20" i="49"/>
  <c r="K112" i="78"/>
  <c r="C716" i="4"/>
  <c r="A716" i="4"/>
  <c r="I21" i="75"/>
  <c r="B716" i="4"/>
  <c r="C879" i="4"/>
  <c r="A715" i="4"/>
  <c r="B715" i="4"/>
  <c r="C877" i="4"/>
  <c r="C880" i="4"/>
  <c r="C1161" i="4"/>
  <c r="C878" i="4"/>
  <c r="K18" i="60"/>
  <c r="A1236" i="4"/>
  <c r="L76" i="49"/>
  <c r="A880" i="4"/>
  <c r="A877" i="4"/>
  <c r="E86" i="75"/>
  <c r="E102" i="75" s="1"/>
  <c r="E112" i="75" s="1"/>
  <c r="A878" i="4"/>
  <c r="A879" i="4"/>
  <c r="F54" i="52"/>
  <c r="H54" i="52" s="1"/>
  <c r="A1161" i="4"/>
  <c r="A1273" i="4"/>
  <c r="M141" i="78"/>
  <c r="M131" i="78"/>
  <c r="M120" i="78"/>
  <c r="M104" i="78"/>
  <c r="M55" i="78"/>
  <c r="M81" i="78"/>
  <c r="M62" i="78"/>
  <c r="M42" i="78"/>
  <c r="M26" i="59"/>
  <c r="M51" i="59"/>
  <c r="M91" i="59"/>
  <c r="L83" i="65"/>
  <c r="M40" i="59"/>
  <c r="M63" i="59"/>
  <c r="L15" i="49"/>
  <c r="J77" i="43"/>
  <c r="R77" i="43" s="1"/>
  <c r="J76" i="43"/>
  <c r="R76" i="43" s="1"/>
  <c r="F63" i="43"/>
  <c r="K60" i="43" s="1"/>
  <c r="J75" i="43"/>
  <c r="R75" i="43" s="1"/>
  <c r="G28" i="40"/>
  <c r="H323" i="49"/>
  <c r="H299" i="49"/>
  <c r="L312" i="49" s="1"/>
  <c r="L320" i="49" s="1"/>
  <c r="L325" i="49" s="1"/>
  <c r="H52" i="69"/>
  <c r="H315" i="49"/>
  <c r="C773" i="4"/>
  <c r="C737" i="4"/>
  <c r="C30" i="4"/>
  <c r="B773" i="4"/>
  <c r="B737" i="4"/>
  <c r="J50" i="65"/>
  <c r="I50" i="65"/>
  <c r="J36" i="65"/>
  <c r="H285" i="91"/>
  <c r="C1236" i="4"/>
  <c r="B1236" i="4"/>
  <c r="I36" i="65"/>
  <c r="I95" i="75"/>
  <c r="I116" i="75"/>
  <c r="H185" i="40"/>
  <c r="H105" i="40"/>
  <c r="I114" i="40"/>
  <c r="C14" i="96"/>
  <c r="H65" i="40"/>
  <c r="B21" i="40"/>
  <c r="B43" i="40"/>
  <c r="B27" i="40"/>
  <c r="B49" i="40"/>
  <c r="B25" i="40"/>
  <c r="B47" i="40"/>
  <c r="B28" i="40"/>
  <c r="B50" i="40"/>
  <c r="B24" i="40"/>
  <c r="B46" i="40"/>
  <c r="B26" i="40"/>
  <c r="B48" i="40"/>
  <c r="G19" i="40"/>
  <c r="J74" i="43"/>
  <c r="D140" i="96"/>
  <c r="C56" i="91"/>
  <c r="C23" i="96"/>
  <c r="C61" i="96"/>
  <c r="C22" i="96"/>
  <c r="I28" i="65"/>
  <c r="C28" i="96"/>
  <c r="C37" i="96"/>
  <c r="J16" i="60"/>
  <c r="C25" i="96"/>
  <c r="C16" i="96"/>
  <c r="U80" i="96"/>
  <c r="U41" i="96"/>
  <c r="U25" i="96"/>
  <c r="U17" i="96"/>
  <c r="B10" i="96"/>
  <c r="J6" i="96"/>
  <c r="B110" i="96"/>
  <c r="U47" i="96"/>
  <c r="B60" i="96"/>
  <c r="B34" i="96"/>
  <c r="S6" i="96"/>
  <c r="A30" i="4"/>
  <c r="B30" i="4"/>
  <c r="C27" i="96"/>
  <c r="J51" i="60"/>
  <c r="J80" i="65"/>
  <c r="C21" i="96"/>
  <c r="C15" i="96"/>
  <c r="I51" i="60"/>
  <c r="C38" i="96"/>
  <c r="J37" i="60"/>
  <c r="C24" i="96"/>
  <c r="I80" i="65"/>
  <c r="B244" i="73"/>
  <c r="I39" i="60"/>
  <c r="B80" i="31"/>
  <c r="A84" i="7"/>
  <c r="B96" i="65"/>
  <c r="H10" i="69"/>
  <c r="D38" i="5"/>
  <c r="J24" i="59"/>
  <c r="A286" i="4"/>
  <c r="A1667" i="4"/>
  <c r="B1667" i="4"/>
  <c r="A773" i="4"/>
  <c r="A737" i="4"/>
  <c r="C44" i="43" s="1"/>
  <c r="C52" i="43" s="1"/>
  <c r="C286" i="4"/>
  <c r="C37" i="40"/>
  <c r="C82" i="70"/>
  <c r="J28" i="65"/>
  <c r="C35" i="96"/>
  <c r="J32" i="59"/>
  <c r="B1476" i="4"/>
  <c r="I9" i="65"/>
  <c r="E36" i="40"/>
  <c r="C84" i="73"/>
  <c r="J81" i="60"/>
  <c r="K25" i="78" s="1"/>
  <c r="A1476" i="4"/>
  <c r="J87" i="59"/>
  <c r="J84" i="59"/>
  <c r="G24" i="31"/>
  <c r="K15" i="49"/>
  <c r="J75" i="59"/>
  <c r="J61" i="59"/>
  <c r="J49" i="59"/>
  <c r="J46" i="59"/>
  <c r="J38" i="59"/>
  <c r="E35" i="40"/>
  <c r="E33" i="40"/>
  <c r="B474" i="4"/>
  <c r="B236" i="70"/>
  <c r="B107" i="59"/>
  <c r="B96" i="60"/>
  <c r="C474" i="4"/>
  <c r="M99" i="59"/>
  <c r="A418" i="4"/>
  <c r="B286" i="4"/>
  <c r="H32" i="40"/>
  <c r="C1476" i="4"/>
  <c r="C418" i="4"/>
  <c r="A474" i="4"/>
  <c r="B418" i="4"/>
  <c r="K82" i="60"/>
  <c r="I58" i="59"/>
  <c r="C18" i="96"/>
  <c r="I87" i="59"/>
  <c r="F24" i="31"/>
  <c r="I61" i="59"/>
  <c r="J72" i="59"/>
  <c r="J58" i="59"/>
  <c r="E34" i="40"/>
  <c r="T9" i="96" l="1"/>
  <c r="T137" i="96" s="1"/>
  <c r="F44" i="52"/>
  <c r="J44" i="52" s="1"/>
  <c r="M56" i="5"/>
  <c r="M55" i="5"/>
  <c r="M52" i="5"/>
  <c r="M53" i="5"/>
  <c r="J20" i="59"/>
  <c r="N51" i="5"/>
  <c r="N54" i="5" s="1"/>
  <c r="C138" i="75"/>
  <c r="I25" i="78"/>
  <c r="C323" i="54"/>
  <c r="K343" i="54"/>
  <c r="K332" i="54"/>
  <c r="K337" i="54" s="1"/>
  <c r="C246" i="54"/>
  <c r="F125" i="75"/>
  <c r="F131" i="75" s="1"/>
  <c r="C104" i="49"/>
  <c r="H60" i="43"/>
  <c r="C114" i="49"/>
  <c r="J97" i="49"/>
  <c r="J106" i="49" s="1"/>
  <c r="C15" i="43"/>
  <c r="C263" i="91"/>
  <c r="E43" i="75"/>
  <c r="C93" i="75"/>
  <c r="G43" i="65"/>
  <c r="G44" i="60"/>
  <c r="C82" i="49"/>
  <c r="C117" i="49"/>
  <c r="B251" i="73"/>
  <c r="B243" i="70"/>
  <c r="I314" i="54"/>
  <c r="B51" i="70"/>
  <c r="B51" i="73"/>
  <c r="G70" i="49"/>
  <c r="G81" i="49" s="1"/>
  <c r="G74" i="96"/>
  <c r="G149" i="54"/>
  <c r="G173" i="54"/>
  <c r="G189" i="54" s="1"/>
  <c r="D65" i="31"/>
  <c r="C68" i="7"/>
  <c r="C27" i="7"/>
  <c r="C36" i="75"/>
  <c r="C22" i="75"/>
  <c r="H238" i="54"/>
  <c r="J238" i="54"/>
  <c r="G20" i="96"/>
  <c r="C176" i="40"/>
  <c r="C210" i="40" s="1"/>
  <c r="C88" i="40"/>
  <c r="C136" i="40" s="1"/>
  <c r="C21" i="40"/>
  <c r="C52" i="40" s="1"/>
  <c r="I36" i="69"/>
  <c r="J61" i="43"/>
  <c r="J62" i="43"/>
  <c r="C309" i="54"/>
  <c r="D12" i="75"/>
  <c r="H12" i="75"/>
  <c r="G73" i="43"/>
  <c r="E73" i="43"/>
  <c r="E41" i="43"/>
  <c r="C52" i="49"/>
  <c r="C177" i="40"/>
  <c r="C13" i="40"/>
  <c r="C235" i="40"/>
  <c r="C168" i="40"/>
  <c r="D184" i="40"/>
  <c r="E104" i="40"/>
  <c r="C77" i="40"/>
  <c r="C89" i="40"/>
  <c r="C22" i="40"/>
  <c r="C31" i="40"/>
  <c r="J41" i="43"/>
  <c r="G15" i="43"/>
  <c r="G26" i="43"/>
  <c r="G168" i="40"/>
  <c r="K52" i="49"/>
  <c r="G235" i="40"/>
  <c r="G177" i="40"/>
  <c r="G13" i="40"/>
  <c r="J73" i="43"/>
  <c r="F104" i="40"/>
  <c r="E184" i="40"/>
  <c r="G77" i="40"/>
  <c r="G89" i="40"/>
  <c r="E31" i="40"/>
  <c r="G22" i="40"/>
  <c r="B638" i="4"/>
  <c r="A638" i="4"/>
  <c r="C638" i="4"/>
  <c r="H68" i="40"/>
  <c r="I38" i="40"/>
  <c r="B14" i="96"/>
  <c r="I62" i="78"/>
  <c r="C76" i="49"/>
  <c r="C71" i="49"/>
  <c r="C75" i="49"/>
  <c r="C77" i="49"/>
  <c r="B882" i="4"/>
  <c r="B884" i="4"/>
  <c r="B1074" i="4"/>
  <c r="B883" i="4"/>
  <c r="B1075" i="4"/>
  <c r="K62" i="78"/>
  <c r="B718" i="4"/>
  <c r="J21" i="75"/>
  <c r="I35" i="75" s="1"/>
  <c r="C718" i="4"/>
  <c r="A718" i="4"/>
  <c r="C884" i="4"/>
  <c r="C1075" i="4"/>
  <c r="C883" i="4"/>
  <c r="C882" i="4"/>
  <c r="C1074" i="4"/>
  <c r="G86" i="75"/>
  <c r="G102" i="75" s="1"/>
  <c r="G112" i="75" s="1"/>
  <c r="C1237" i="4"/>
  <c r="B1237" i="4"/>
  <c r="A1237" i="4"/>
  <c r="L87" i="49"/>
  <c r="A884" i="4"/>
  <c r="A882" i="4"/>
  <c r="A883" i="4"/>
  <c r="H60" i="52"/>
  <c r="J54" i="52"/>
  <c r="A1075" i="4"/>
  <c r="C17" i="53" s="1"/>
  <c r="A1074" i="4"/>
  <c r="C16" i="53" s="1"/>
  <c r="N141" i="78"/>
  <c r="N55" i="78"/>
  <c r="N42" i="78"/>
  <c r="N26" i="59"/>
  <c r="N51" i="59"/>
  <c r="N91" i="59"/>
  <c r="N40" i="59"/>
  <c r="N63" i="59"/>
  <c r="K315" i="49"/>
  <c r="K299" i="49"/>
  <c r="I52" i="69"/>
  <c r="K323" i="49"/>
  <c r="J315" i="49"/>
  <c r="J299" i="49"/>
  <c r="M312" i="49" s="1"/>
  <c r="M320" i="49" s="1"/>
  <c r="M325" i="49" s="1"/>
  <c r="J323" i="49"/>
  <c r="I10" i="69"/>
  <c r="I46" i="65"/>
  <c r="E64" i="79"/>
  <c r="I32" i="65"/>
  <c r="J32" i="65"/>
  <c r="J46" i="65"/>
  <c r="N99" i="59"/>
  <c r="J116" i="75"/>
  <c r="J95" i="75"/>
  <c r="H148" i="40"/>
  <c r="I185" i="40"/>
  <c r="H219" i="40" s="1"/>
  <c r="I105" i="40"/>
  <c r="H63" i="40"/>
  <c r="B37" i="40"/>
  <c r="B59" i="40"/>
  <c r="B68" i="40" s="1"/>
  <c r="B35" i="40"/>
  <c r="B57" i="40"/>
  <c r="B66" i="40" s="1"/>
  <c r="B36" i="40"/>
  <c r="B58" i="40"/>
  <c r="B67" i="40" s="1"/>
  <c r="B33" i="40"/>
  <c r="B55" i="40"/>
  <c r="B64" i="40" s="1"/>
  <c r="B34" i="40"/>
  <c r="B56" i="40"/>
  <c r="B65" i="40" s="1"/>
  <c r="B30" i="40"/>
  <c r="B52" i="40"/>
  <c r="B61" i="40" s="1"/>
  <c r="D3" i="96"/>
  <c r="B61" i="96"/>
  <c r="B39" i="96"/>
  <c r="B37" i="96"/>
  <c r="B27" i="96"/>
  <c r="I47" i="60"/>
  <c r="J47" i="60"/>
  <c r="B38" i="96"/>
  <c r="B22" i="96"/>
  <c r="B24" i="96"/>
  <c r="B28" i="96"/>
  <c r="C11" i="96"/>
  <c r="J33" i="60"/>
  <c r="B25" i="96"/>
  <c r="B23" i="96"/>
  <c r="B13" i="96"/>
  <c r="B21" i="96"/>
  <c r="I37" i="60"/>
  <c r="B16" i="96"/>
  <c r="B15" i="96"/>
  <c r="J78" i="59"/>
  <c r="H23" i="73"/>
  <c r="I32" i="40"/>
  <c r="J90" i="59"/>
  <c r="B166" i="73"/>
  <c r="B164" i="70"/>
  <c r="J57" i="59"/>
  <c r="J31" i="59"/>
  <c r="H23" i="70"/>
  <c r="I45" i="59"/>
  <c r="E37" i="40"/>
  <c r="J45" i="59"/>
  <c r="B5" i="65"/>
  <c r="B5" i="60"/>
  <c r="B5" i="31"/>
  <c r="B5" i="59"/>
  <c r="A5" i="7"/>
  <c r="F30" i="31"/>
  <c r="G30" i="31"/>
  <c r="I57" i="59"/>
  <c r="K144" i="96" l="1"/>
  <c r="T144" i="96"/>
  <c r="J92" i="59"/>
  <c r="N92" i="59" s="1"/>
  <c r="C1634" i="4"/>
  <c r="B1634" i="4"/>
  <c r="A1634" i="4"/>
  <c r="N55" i="5"/>
  <c r="N56" i="5"/>
  <c r="N52" i="5"/>
  <c r="N53" i="5"/>
  <c r="D235" i="54"/>
  <c r="D234" i="54"/>
  <c r="V26" i="96"/>
  <c r="I89" i="78"/>
  <c r="I104" i="78" s="1"/>
  <c r="H191" i="40"/>
  <c r="H44" i="75"/>
  <c r="I52" i="75" s="1"/>
  <c r="D52" i="75"/>
  <c r="M70" i="78"/>
  <c r="F140" i="75"/>
  <c r="F146" i="75" s="1"/>
  <c r="B85" i="40"/>
  <c r="B112" i="40" s="1"/>
  <c r="F60" i="43"/>
  <c r="C211" i="49"/>
  <c r="C123" i="49"/>
  <c r="C209" i="49"/>
  <c r="C121" i="49"/>
  <c r="I149" i="54"/>
  <c r="I161" i="54" s="1"/>
  <c r="G174" i="54"/>
  <c r="G190" i="54" s="1"/>
  <c r="C68" i="49"/>
  <c r="C218" i="49"/>
  <c r="C130" i="49"/>
  <c r="J53" i="52"/>
  <c r="J41" i="52"/>
  <c r="J31" i="52"/>
  <c r="J63" i="43"/>
  <c r="H26" i="75"/>
  <c r="F31" i="52"/>
  <c r="F41" i="52" s="1"/>
  <c r="G45" i="31"/>
  <c r="F45" i="31"/>
  <c r="I15" i="43"/>
  <c r="G211" i="40"/>
  <c r="G44" i="40"/>
  <c r="F147" i="40"/>
  <c r="G202" i="40"/>
  <c r="J84" i="43"/>
  <c r="K59" i="49"/>
  <c r="J49" i="43"/>
  <c r="G137" i="40"/>
  <c r="E218" i="40"/>
  <c r="G121" i="40"/>
  <c r="G246" i="40"/>
  <c r="I26" i="43"/>
  <c r="G161" i="54"/>
  <c r="H31" i="52"/>
  <c r="H41" i="52" s="1"/>
  <c r="C86" i="49"/>
  <c r="C88" i="49"/>
  <c r="C87" i="49"/>
  <c r="I77" i="78"/>
  <c r="I81" i="78" s="1"/>
  <c r="I63" i="78"/>
  <c r="K89" i="78"/>
  <c r="K104" i="78" s="1"/>
  <c r="K77" i="78"/>
  <c r="K81" i="78" s="1"/>
  <c r="J57" i="65"/>
  <c r="I57" i="65"/>
  <c r="I191" i="40"/>
  <c r="B35" i="96"/>
  <c r="B18" i="96"/>
  <c r="J64" i="59"/>
  <c r="N64" i="59" s="1"/>
  <c r="I33" i="60"/>
  <c r="J52" i="59"/>
  <c r="N52" i="59" s="1"/>
  <c r="B11" i="96"/>
  <c r="J27" i="59"/>
  <c r="N27" i="59" s="1"/>
  <c r="J41" i="59"/>
  <c r="N41" i="59" s="1"/>
  <c r="J58" i="60"/>
  <c r="K24" i="78" s="1"/>
  <c r="E81" i="7"/>
  <c r="H38" i="40"/>
  <c r="S20" i="96" l="1"/>
  <c r="E87" i="7"/>
  <c r="C1635" i="4"/>
  <c r="B1635" i="4"/>
  <c r="A1635" i="4"/>
  <c r="C10" i="78" s="1"/>
  <c r="C8" i="78"/>
  <c r="I105" i="78"/>
  <c r="L52" i="75"/>
  <c r="H52" i="75"/>
  <c r="B129" i="40"/>
  <c r="B155" i="40" s="1"/>
  <c r="H98" i="43"/>
  <c r="U18" i="96"/>
  <c r="F70" i="31"/>
  <c r="G70" i="31"/>
  <c r="G53" i="40"/>
  <c r="E62" i="40"/>
  <c r="I82" i="78"/>
  <c r="I55" i="59"/>
  <c r="I43" i="59"/>
  <c r="I29" i="59"/>
  <c r="I18" i="59"/>
  <c r="J46" i="52"/>
  <c r="J209" i="49"/>
  <c r="J82" i="65"/>
  <c r="J14" i="60"/>
  <c r="L14" i="60" s="1"/>
  <c r="I82" i="65"/>
  <c r="H115" i="43"/>
  <c r="I58" i="60"/>
  <c r="I14" i="60"/>
  <c r="H116" i="43" l="1"/>
  <c r="H117" i="43" s="1"/>
  <c r="H100" i="43"/>
  <c r="U42" i="96"/>
  <c r="I24" i="78"/>
  <c r="J283" i="49"/>
  <c r="M63" i="78"/>
  <c r="M105" i="78"/>
  <c r="I52" i="59"/>
  <c r="M52" i="59" s="1"/>
  <c r="I64" i="59"/>
  <c r="M64" i="59" s="1"/>
  <c r="G77" i="31"/>
  <c r="F77" i="31"/>
  <c r="K209" i="49"/>
  <c r="H32" i="52"/>
  <c r="H38" i="52" s="1"/>
  <c r="V18" i="96"/>
  <c r="F60" i="52"/>
  <c r="J60" i="52" s="1"/>
  <c r="K14" i="60"/>
  <c r="I91" i="65"/>
  <c r="J29" i="60"/>
  <c r="K23" i="78" s="1"/>
  <c r="I41" i="59"/>
  <c r="M41" i="59" s="1"/>
  <c r="I27" i="59"/>
  <c r="M27" i="59" s="1"/>
  <c r="S9" i="96"/>
  <c r="S137" i="96" s="1"/>
  <c r="S144" i="96" s="1"/>
  <c r="K283" i="49" l="1"/>
  <c r="M82" i="78"/>
  <c r="L209" i="49"/>
  <c r="H42" i="52"/>
  <c r="H80" i="43"/>
  <c r="J79" i="43"/>
  <c r="I68" i="59"/>
  <c r="I71" i="59" s="1"/>
  <c r="H45" i="52"/>
  <c r="J45" i="52" s="1"/>
  <c r="J285" i="49"/>
  <c r="J287" i="49" s="1"/>
  <c r="J32" i="52"/>
  <c r="J83" i="60"/>
  <c r="J144" i="96"/>
  <c r="I94" i="59"/>
  <c r="F51" i="52" l="1"/>
  <c r="H91" i="43"/>
  <c r="J90" i="43"/>
  <c r="J91" i="43" s="1"/>
  <c r="A277" i="4"/>
  <c r="B277" i="4"/>
  <c r="C277" i="4"/>
  <c r="E80" i="43"/>
  <c r="S80" i="43"/>
  <c r="I80" i="59"/>
  <c r="J94" i="59"/>
  <c r="G78" i="43"/>
  <c r="K285" i="49"/>
  <c r="C276" i="4"/>
  <c r="B276" i="4"/>
  <c r="A276" i="4"/>
  <c r="K26" i="78"/>
  <c r="H51" i="52"/>
  <c r="J42" i="52"/>
  <c r="H54" i="96" l="1"/>
  <c r="H48" i="96"/>
  <c r="L287" i="49"/>
  <c r="L285" i="49"/>
  <c r="J51" i="52"/>
  <c r="I66" i="59"/>
  <c r="K88" i="59" s="1"/>
  <c r="I83" i="59"/>
  <c r="J100" i="59"/>
  <c r="N100" i="59" s="1"/>
  <c r="J78" i="43"/>
  <c r="G80" i="43"/>
  <c r="K287" i="49"/>
  <c r="I78" i="59"/>
  <c r="G76" i="7"/>
  <c r="H72" i="31"/>
  <c r="I11" i="59" l="1"/>
  <c r="I15" i="59" s="1"/>
  <c r="J103" i="59"/>
  <c r="I90" i="59"/>
  <c r="J80" i="43"/>
  <c r="R80" i="43"/>
  <c r="K292" i="49"/>
  <c r="L292" i="49" s="1"/>
  <c r="I92" i="59" l="1"/>
  <c r="M132" i="78"/>
  <c r="M123" i="78"/>
  <c r="I100" i="59" l="1"/>
  <c r="M92" i="59"/>
  <c r="H23" i="51"/>
  <c r="I103" i="59" l="1"/>
  <c r="M100" i="59"/>
  <c r="I112" i="78"/>
  <c r="I113" i="78" s="1"/>
  <c r="I121" i="78" s="1"/>
  <c r="F38" i="52" l="1"/>
  <c r="J38" i="52" s="1"/>
  <c r="J35" i="52"/>
  <c r="I16" i="60" l="1"/>
  <c r="M121" i="78"/>
  <c r="I29" i="60" l="1"/>
  <c r="I83" i="60" l="1"/>
  <c r="K83" i="60" s="1"/>
  <c r="I23" i="78"/>
  <c r="I92" i="60" l="1"/>
  <c r="I26" i="78"/>
  <c r="I28" i="7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alicja.rozanska</author>
    <author>zbigniew.obara</author>
    <author>Zbigniew.Obara</author>
    <author>Suchocka, Elżbieta</author>
    <author>Kolenkiewicz, Paweł</author>
  </authors>
  <commentList>
    <comment ref="B2" authorId="0" shapeId="0" xr:uid="{00000000-0006-0000-3000-000001000000}">
      <text>
        <r>
          <rPr>
            <b/>
            <sz val="9"/>
            <color indexed="81"/>
            <rFont val="Tahoma"/>
            <family val="2"/>
            <charset val="238"/>
          </rPr>
          <t>alicja.rozanska:</t>
        </r>
        <r>
          <rPr>
            <sz val="9"/>
            <color indexed="81"/>
            <rFont val="Tahoma"/>
            <family val="2"/>
            <charset val="238"/>
          </rPr>
          <t xml:space="preserve">
do sprawdzenia formuły z tłumaczenia DE</t>
        </r>
      </text>
    </comment>
    <comment ref="C2" authorId="0" shapeId="0" xr:uid="{00000000-0006-0000-3000-000002000000}">
      <text>
        <r>
          <rPr>
            <b/>
            <sz val="9"/>
            <color indexed="81"/>
            <rFont val="Tahoma"/>
            <family val="2"/>
            <charset val="238"/>
          </rPr>
          <t>alicja.rozanska:</t>
        </r>
        <r>
          <rPr>
            <sz val="9"/>
            <color indexed="81"/>
            <rFont val="Tahoma"/>
            <family val="2"/>
            <charset val="238"/>
          </rPr>
          <t xml:space="preserve">
do sprawdzenia formuły en</t>
        </r>
      </text>
    </comment>
    <comment ref="B84" authorId="1" shapeId="0" xr:uid="{00000000-0006-0000-3000-000003000000}">
      <text>
        <r>
          <rPr>
            <sz val="11"/>
            <color theme="1"/>
            <rFont val="Calibri"/>
            <family val="2"/>
            <scheme val="minor"/>
          </rPr>
          <t>tu problem o tyle, jak bedzie oddzial</t>
        </r>
      </text>
    </comment>
    <comment ref="B210" authorId="2" shapeId="0" xr:uid="{00000000-0006-0000-3000-000004000000}">
      <text>
        <r>
          <rPr>
            <b/>
            <sz val="9"/>
            <color indexed="81"/>
            <rFont val="Tahoma"/>
            <family val="2"/>
            <charset val="238"/>
          </rPr>
          <t>Zbigniew.Obara:</t>
        </r>
        <r>
          <rPr>
            <sz val="9"/>
            <color indexed="81"/>
            <rFont val="Tahoma"/>
            <family val="2"/>
            <charset val="238"/>
          </rPr>
          <t xml:space="preserve">
Herstellung -&gt; Enstehung?</t>
        </r>
      </text>
    </comment>
    <comment ref="B215" authorId="2" shapeId="0" xr:uid="{00000000-0006-0000-3000-000005000000}">
      <text>
        <r>
          <rPr>
            <b/>
            <sz val="9"/>
            <color indexed="81"/>
            <rFont val="Tahoma"/>
            <family val="2"/>
            <charset val="238"/>
          </rPr>
          <t>Zbigniew.Obara:</t>
        </r>
        <r>
          <rPr>
            <sz val="9"/>
            <color indexed="81"/>
            <rFont val="Tahoma"/>
            <family val="2"/>
            <charset val="238"/>
          </rPr>
          <t xml:space="preserve">
j.w.</t>
        </r>
      </text>
    </comment>
    <comment ref="B1293" authorId="1" shapeId="0" xr:uid="{00000000-0006-0000-3000-000006000000}">
      <text>
        <r>
          <rPr>
            <b/>
            <sz val="9"/>
            <color indexed="81"/>
            <rFont val="Tahoma"/>
            <family val="2"/>
            <charset val="238"/>
          </rPr>
          <t>zbigniew.obara:</t>
        </r>
        <r>
          <rPr>
            <sz val="9"/>
            <color indexed="81"/>
            <rFont val="Tahoma"/>
            <family val="2"/>
            <charset val="238"/>
          </rPr>
          <t xml:space="preserve">
jest Geschäftsführung/Vorstand opcja tu i w kolejnych segmentach</t>
        </r>
      </text>
    </comment>
    <comment ref="B1671" authorId="3" shapeId="0" xr:uid="{00000000-0006-0000-3000-000007000000}">
      <text>
        <r>
          <rPr>
            <b/>
            <sz val="9"/>
            <color indexed="81"/>
            <rFont val="Tahoma"/>
            <family val="2"/>
            <charset val="238"/>
          </rPr>
          <t>Suchocka, Elżbieta:</t>
        </r>
        <r>
          <rPr>
            <sz val="9"/>
            <color indexed="81"/>
            <rFont val="Tahoma"/>
            <family val="2"/>
            <charset val="238"/>
          </rPr>
          <t xml:space="preserve">
Tu powinna być alternatywa na Geschäftsführer i Vorstandsmitglied</t>
        </r>
      </text>
    </comment>
    <comment ref="B1672" authorId="3" shapeId="0" xr:uid="{00000000-0006-0000-3000-000008000000}">
      <text>
        <r>
          <rPr>
            <b/>
            <sz val="9"/>
            <color indexed="81"/>
            <rFont val="Tahoma"/>
            <family val="2"/>
            <charset val="238"/>
          </rPr>
          <t>Suchocka, Elżbieta:</t>
        </r>
        <r>
          <rPr>
            <sz val="9"/>
            <color indexed="81"/>
            <rFont val="Tahoma"/>
            <family val="2"/>
            <charset val="238"/>
          </rPr>
          <t xml:space="preserve">
Tu również alternatywa na Geschäftsführung und Vorstand</t>
        </r>
      </text>
    </comment>
    <comment ref="A1751" authorId="4" shapeId="0" xr:uid="{00000000-0006-0000-3000-000009000000}">
      <text>
        <r>
          <rPr>
            <b/>
            <sz val="8"/>
            <color indexed="8"/>
            <rFont val="Arial"/>
            <family val="2"/>
            <charset val="238"/>
          </rPr>
          <t>Kolenkiewicz, Paweł:</t>
        </r>
        <r>
          <rPr>
            <sz val="8"/>
            <color indexed="8"/>
            <rFont val="Arial"/>
            <family val="2"/>
            <charset val="238"/>
          </rPr>
          <t xml:space="preserve">
(także skutki korekty błędu, zmian zasad polityki rachunkowości lub poniesienia straty na przedaży bądź umorzenia akcji udziałów własnych)</t>
        </r>
      </text>
    </comment>
    <comment ref="A1767" authorId="4" shapeId="0" xr:uid="{00000000-0006-0000-3000-00000A000000}">
      <text>
        <r>
          <rPr>
            <b/>
            <sz val="8"/>
            <color indexed="8"/>
            <rFont val="Arial"/>
            <family val="2"/>
            <charset val="238"/>
          </rPr>
          <t>Kolenkiewicz, Paweł:</t>
        </r>
        <r>
          <rPr>
            <sz val="8"/>
            <color indexed="8"/>
            <rFont val="Arial"/>
            <family val="2"/>
            <charset val="238"/>
          </rPr>
          <t xml:space="preserve">
(także skutki korekty błędu, zmian zasad polityki rachunkowości lub poniesienia straty na przedaży bądź umorzenia akcji udziałów własnych)</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KasiaK</author>
    <author>alicja.rozanska</author>
    <author>Kupczak, Alicja</author>
  </authors>
  <commentList>
    <comment ref="I22" authorId="0" shapeId="0" xr:uid="{00000000-0006-0000-2600-000001000000}">
      <text>
        <r>
          <rPr>
            <b/>
            <sz val="8"/>
            <color indexed="81"/>
            <rFont val="Tahoma"/>
            <family val="2"/>
            <charset val="238"/>
          </rPr>
          <t>sprawdzenie zgodności z pozycjami bilansu</t>
        </r>
        <r>
          <rPr>
            <sz val="8"/>
            <color indexed="81"/>
            <rFont val="Tahoma"/>
            <family val="2"/>
            <charset val="238"/>
          </rPr>
          <t xml:space="preserve">
</t>
        </r>
      </text>
    </comment>
    <comment ref="J22" authorId="0" shapeId="0" xr:uid="{00000000-0006-0000-2600-000002000000}">
      <text>
        <r>
          <rPr>
            <b/>
            <sz val="8"/>
            <color indexed="81"/>
            <rFont val="Tahoma"/>
            <family val="2"/>
            <charset val="238"/>
          </rPr>
          <t>sprawdzenie zgodności z pozycjami bilansu</t>
        </r>
        <r>
          <rPr>
            <sz val="8"/>
            <color indexed="81"/>
            <rFont val="Tahoma"/>
            <family val="2"/>
            <charset val="238"/>
          </rPr>
          <t xml:space="preserve">
</t>
        </r>
      </text>
    </comment>
    <comment ref="I36" authorId="0" shapeId="0" xr:uid="{00000000-0006-0000-2600-000003000000}">
      <text>
        <r>
          <rPr>
            <b/>
            <sz val="8"/>
            <color indexed="81"/>
            <rFont val="Tahoma"/>
            <family val="2"/>
            <charset val="238"/>
          </rPr>
          <t>sprawdzenie zgodności z pozycjami bilansu</t>
        </r>
        <r>
          <rPr>
            <sz val="8"/>
            <color indexed="81"/>
            <rFont val="Tahoma"/>
            <family val="2"/>
            <charset val="238"/>
          </rPr>
          <t xml:space="preserve">
</t>
        </r>
      </text>
    </comment>
    <comment ref="C38" authorId="1" shapeId="0" xr:uid="{00000000-0006-0000-2600-000004000000}">
      <text>
        <r>
          <rPr>
            <b/>
            <sz val="9"/>
            <color indexed="81"/>
            <rFont val="Tahoma"/>
            <family val="2"/>
            <charset val="238"/>
          </rPr>
          <t>alicja.rozanska:</t>
        </r>
        <r>
          <rPr>
            <sz val="9"/>
            <color indexed="81"/>
            <rFont val="Tahoma"/>
            <family val="2"/>
            <charset val="238"/>
          </rPr>
          <t xml:space="preserve">
nota dotyczy wyłącznie zobowiązań długoterminowych i powinna być zgodna z pozycją zobowiązań długoterminowych w bilansie spółki</t>
        </r>
      </text>
    </comment>
    <comment ref="D51" authorId="2" shapeId="0" xr:uid="{0B4378FB-7A5C-4709-906B-DC8DB2FBD506}">
      <text>
        <r>
          <rPr>
            <b/>
            <sz val="9"/>
            <color indexed="81"/>
            <rFont val="Tahoma"/>
            <family val="2"/>
            <charset val="238"/>
          </rPr>
          <t>Kupczak, Alicja:</t>
        </r>
        <r>
          <rPr>
            <sz val="9"/>
            <color indexed="81"/>
            <rFont val="Tahoma"/>
            <family val="2"/>
            <charset val="238"/>
          </rPr>
          <t xml:space="preserve">
tu wyłącznie te zobowiązania krótkoterm., które są w części długoterm.</t>
        </r>
      </text>
    </comment>
    <comment ref="I52" authorId="0" shapeId="0" xr:uid="{00000000-0006-0000-2600-000005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J52" authorId="0" shapeId="0" xr:uid="{00000000-0006-0000-2600-000006000000}">
      <text>
        <r>
          <rPr>
            <b/>
            <sz val="8"/>
            <color indexed="81"/>
            <rFont val="Tahoma"/>
            <family val="2"/>
            <charset val="238"/>
          </rPr>
          <t>sprawdzenie zgodności z pozycją bilansu zobowiązania długoterminowe</t>
        </r>
      </text>
    </comment>
    <comment ref="K52" authorId="0" shapeId="0" xr:uid="{00000000-0006-0000-2600-000007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D65" authorId="2" shapeId="0" xr:uid="{295C97FD-B413-4495-B282-58837B0389A7}">
      <text>
        <r>
          <rPr>
            <b/>
            <sz val="9"/>
            <color indexed="81"/>
            <rFont val="Tahoma"/>
            <family val="2"/>
            <charset val="238"/>
          </rPr>
          <t>Kupczak, Alicja:</t>
        </r>
        <r>
          <rPr>
            <sz val="9"/>
            <color indexed="81"/>
            <rFont val="Tahoma"/>
            <family val="2"/>
            <charset val="238"/>
          </rPr>
          <t xml:space="preserve">
tu wyłącznie te zobowiązania krótkoterm., które są w części długoterm.</t>
        </r>
      </text>
    </comment>
    <comment ref="I66" authorId="0" shapeId="0" xr:uid="{00000000-0006-0000-2600-000008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J66" authorId="0" shapeId="0" xr:uid="{00000000-0006-0000-2600-000009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K66" authorId="0" shapeId="0" xr:uid="{00000000-0006-0000-2600-00000A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I96" authorId="0" shapeId="0" xr:uid="{00000000-0006-0000-2600-00000B000000}">
      <text>
        <r>
          <rPr>
            <b/>
            <sz val="8"/>
            <color indexed="81"/>
            <rFont val="Tahoma"/>
            <family val="2"/>
            <charset val="238"/>
          </rPr>
          <t>sprawdzenie zgodności z pozycjami bilansu</t>
        </r>
        <r>
          <rPr>
            <sz val="8"/>
            <color indexed="81"/>
            <rFont val="Tahoma"/>
            <family val="2"/>
            <charset val="238"/>
          </rPr>
          <t xml:space="preserve">
</t>
        </r>
      </text>
    </comment>
    <comment ref="I117" authorId="0" shapeId="0" xr:uid="{00000000-0006-0000-2600-00000C000000}">
      <text>
        <r>
          <rPr>
            <b/>
            <sz val="8"/>
            <color indexed="81"/>
            <rFont val="Tahoma"/>
            <family val="2"/>
            <charset val="238"/>
          </rPr>
          <t>sprawdzenie zgodności z pozycjami bilansu</t>
        </r>
        <r>
          <rPr>
            <sz val="8"/>
            <color indexed="81"/>
            <rFont val="Tahoma"/>
            <family val="2"/>
            <charset val="23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KasiaK</author>
  </authors>
  <commentList>
    <comment ref="L13" authorId="0" shapeId="0" xr:uid="{00000000-0006-0000-2800-000001000000}">
      <text>
        <r>
          <rPr>
            <b/>
            <sz val="8"/>
            <color indexed="81"/>
            <rFont val="Tahoma"/>
            <family val="2"/>
            <charset val="238"/>
          </rPr>
          <t>sprawdzenie zgodności z rachunkiem zysków i strat</t>
        </r>
        <r>
          <rPr>
            <sz val="8"/>
            <color indexed="81"/>
            <rFont val="Tahoma"/>
            <family val="2"/>
            <charset val="238"/>
          </rPr>
          <t xml:space="preserve">
</t>
        </r>
      </text>
    </comment>
    <comment ref="L14" authorId="0" shapeId="0" xr:uid="{00000000-0006-0000-2800-000002000000}">
      <text>
        <r>
          <rPr>
            <b/>
            <sz val="8"/>
            <color indexed="81"/>
            <rFont val="Tahoma"/>
            <family val="2"/>
            <charset val="238"/>
          </rPr>
          <t>sprawdzenie zgodności z rachunkiem zysków i strat</t>
        </r>
        <r>
          <rPr>
            <sz val="8"/>
            <color indexed="81"/>
            <rFont val="Tahoma"/>
            <family val="2"/>
            <charset val="238"/>
          </rPr>
          <t xml:space="preserve">
</t>
        </r>
      </text>
    </comment>
    <comment ref="L20" authorId="0" shapeId="0" xr:uid="{00000000-0006-0000-2800-000003000000}">
      <text>
        <r>
          <rPr>
            <b/>
            <sz val="8"/>
            <color indexed="81"/>
            <rFont val="Tahoma"/>
            <family val="2"/>
            <charset val="238"/>
          </rPr>
          <t>sprawdzenie zgodności z rachunkiem zysków i strat</t>
        </r>
        <r>
          <rPr>
            <sz val="8"/>
            <color indexed="81"/>
            <rFont val="Tahoma"/>
            <family val="2"/>
            <charset val="238"/>
          </rPr>
          <t xml:space="preserve">
</t>
        </r>
      </text>
    </comment>
    <comment ref="L21" authorId="0" shapeId="0" xr:uid="{00000000-0006-0000-2800-000004000000}">
      <text>
        <r>
          <rPr>
            <b/>
            <sz val="8"/>
            <color indexed="81"/>
            <rFont val="Tahoma"/>
            <family val="2"/>
            <charset val="238"/>
          </rPr>
          <t>sprawdzenie zgodności z rachunkiem zysków i strat</t>
        </r>
        <r>
          <rPr>
            <sz val="8"/>
            <color indexed="81"/>
            <rFont val="Tahoma"/>
            <family val="2"/>
            <charset val="238"/>
          </rPr>
          <t xml:space="preserve">
</t>
        </r>
      </text>
    </comment>
    <comment ref="L121" authorId="0" shapeId="0" xr:uid="{00000000-0006-0000-2800-000005000000}">
      <text>
        <r>
          <rPr>
            <b/>
            <sz val="8"/>
            <color indexed="81"/>
            <rFont val="Tahoma"/>
            <family val="2"/>
            <charset val="238"/>
          </rPr>
          <t>sprawdzenie zgodności z podatkiem dochodowym wykazanym w rachunku zysków i strat</t>
        </r>
        <r>
          <rPr>
            <sz val="8"/>
            <color indexed="81"/>
            <rFont val="Tahoma"/>
            <family val="2"/>
            <charset val="238"/>
          </rPr>
          <t xml:space="preserve">
</t>
        </r>
      </text>
    </comment>
    <comment ref="L204" authorId="0" shapeId="0" xr:uid="{00000000-0006-0000-2800-000006000000}">
      <text>
        <r>
          <rPr>
            <b/>
            <sz val="8"/>
            <color indexed="81"/>
            <rFont val="Tahoma"/>
            <family val="2"/>
            <charset val="238"/>
          </rPr>
          <t>sprawdzenie zgodności z podatkiem dochodowym wykazanym w rachunku zysków i strat</t>
        </r>
        <r>
          <rPr>
            <sz val="8"/>
            <color indexed="81"/>
            <rFont val="Tahoma"/>
            <family val="2"/>
            <charset val="238"/>
          </rPr>
          <t xml:space="preserve">
</t>
        </r>
      </text>
    </comment>
    <comment ref="L209" authorId="0" shapeId="0" xr:uid="{00000000-0006-0000-2800-000007000000}">
      <text>
        <r>
          <rPr>
            <b/>
            <sz val="8"/>
            <color indexed="81"/>
            <rFont val="Tahoma"/>
            <family val="2"/>
            <charset val="238"/>
          </rPr>
          <t>sprawdzenie zgodności z podatkiem dochodowym wykazanym w rachunku zysków i strat</t>
        </r>
        <r>
          <rPr>
            <sz val="8"/>
            <color indexed="81"/>
            <rFont val="Tahoma"/>
            <family val="2"/>
            <charset val="238"/>
          </rPr>
          <t xml:space="preserve">
</t>
        </r>
      </text>
    </comment>
    <comment ref="L292" authorId="0" shapeId="0" xr:uid="{00000000-0006-0000-2800-000008000000}">
      <text>
        <r>
          <rPr>
            <b/>
            <sz val="8"/>
            <color indexed="81"/>
            <rFont val="Tahoma"/>
            <family val="2"/>
            <charset val="238"/>
          </rPr>
          <t>sprawdzenie zgodności z podatkiem dochodowym wykazanym w rachunku zysków i strat</t>
        </r>
        <r>
          <rPr>
            <sz val="8"/>
            <color indexed="81"/>
            <rFont val="Tahoma"/>
            <family val="2"/>
            <charset val="23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Alicja.Rozanska</author>
  </authors>
  <commentList>
    <comment ref="C30" authorId="0" shapeId="0" xr:uid="{00000000-0006-0000-2A00-000001000000}">
      <text>
        <r>
          <rPr>
            <sz val="8"/>
            <color indexed="81"/>
            <rFont val="Tahoma"/>
            <family val="2"/>
            <charset val="238"/>
          </rPr>
          <t>wstaw z odpowiednim znakiem:
+ zapłacone,
– otrzymane</t>
        </r>
      </text>
    </comment>
    <comment ref="C47" authorId="1" shapeId="0" xr:uid="{00000000-0006-0000-2A00-000002000000}">
      <text>
        <r>
          <rPr>
            <b/>
            <sz val="9"/>
            <color indexed="81"/>
            <rFont val="Tahoma"/>
            <family val="2"/>
            <charset val="238"/>
          </rPr>
          <t>Alicja.Rozanska:</t>
        </r>
        <r>
          <rPr>
            <sz val="9"/>
            <color indexed="81"/>
            <rFont val="Tahoma"/>
            <family val="2"/>
            <charset val="238"/>
          </rPr>
          <t xml:space="preserve">
podgrupy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alicja.rozanska</author>
  </authors>
  <commentList>
    <comment ref="C309" authorId="0" shapeId="0" xr:uid="{00000000-0006-0000-2F00-000001000000}">
      <text>
        <r>
          <rPr>
            <sz val="8"/>
            <color indexed="81"/>
            <rFont val="Tahoma"/>
            <family val="2"/>
            <charset val="238"/>
          </rPr>
          <t>ujawnienia zalecane przez Krajowe Standardy Rachunkowości
Dotyczy w przypadku istotnych pozycji, np. leasingi operacyjne stanowią większość majątku operacyjnego spółki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Kupczak, Alicja</author>
    <author>alicja.rozanska</author>
  </authors>
  <commentList>
    <comment ref="D15" authorId="0" shapeId="0" xr:uid="{4CEA9D18-B7AB-4951-949C-20C8B405C416}">
      <text>
        <r>
          <rPr>
            <b/>
            <sz val="9"/>
            <color indexed="81"/>
            <rFont val="Tahoma"/>
            <family val="2"/>
            <charset val="238"/>
          </rPr>
          <t>Kupczak, Alicja:</t>
        </r>
        <r>
          <rPr>
            <sz val="9"/>
            <color indexed="81"/>
            <rFont val="Tahoma"/>
            <family val="2"/>
            <charset val="238"/>
          </rPr>
          <t xml:space="preserve">
jeżeli rok łamany, wpisujemy 2022/2023</t>
        </r>
      </text>
    </comment>
    <comment ref="D57" authorId="1" shapeId="0" xr:uid="{00000000-0006-0000-0900-000001000000}">
      <text>
        <r>
          <rPr>
            <b/>
            <sz val="9"/>
            <color indexed="81"/>
            <rFont val="Tahoma"/>
            <family val="2"/>
            <charset val="238"/>
          </rPr>
          <t>alicja.rozanska:</t>
        </r>
        <r>
          <rPr>
            <sz val="9"/>
            <color indexed="81"/>
            <rFont val="Tahoma"/>
            <family val="2"/>
            <charset val="238"/>
          </rPr>
          <t xml:space="preserve">
WPISZ ODPOWIEDNIĄ NAZWĘ FOLDERU W FOLDERZE KLIENTA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KasiaK</author>
  </authors>
  <commentList>
    <comment ref="B11" authorId="0" shapeId="0" xr:uid="{00000000-0006-0000-1100-000001000000}">
      <text>
        <r>
          <rPr>
            <b/>
            <sz val="8"/>
            <color indexed="81"/>
            <rFont val="Tahoma"/>
            <family val="2"/>
            <charset val="238"/>
          </rPr>
          <t>sprawdzenie zgodności z notą 1.1.a</t>
        </r>
      </text>
    </comment>
    <comment ref="C11" authorId="0" shapeId="0" xr:uid="{00000000-0006-0000-1100-000002000000}">
      <text>
        <r>
          <rPr>
            <b/>
            <sz val="8"/>
            <color indexed="81"/>
            <rFont val="Tahoma"/>
            <family val="2"/>
            <charset val="238"/>
          </rPr>
          <t>sprawdzenie zgodności z notą 1.1.a</t>
        </r>
      </text>
    </comment>
    <comment ref="B13" authorId="0" shapeId="0" xr:uid="{00000000-0006-0000-1100-000003000000}">
      <text>
        <r>
          <rPr>
            <b/>
            <sz val="8"/>
            <color indexed="81"/>
            <rFont val="Tahoma"/>
            <family val="2"/>
            <charset val="238"/>
          </rPr>
          <t>sprawdzenie zgodności z notą 1.1.a</t>
        </r>
        <r>
          <rPr>
            <sz val="8"/>
            <color indexed="81"/>
            <rFont val="Tahoma"/>
            <family val="2"/>
            <charset val="238"/>
          </rPr>
          <t xml:space="preserve">
</t>
        </r>
      </text>
    </comment>
    <comment ref="C13" authorId="0" shapeId="0" xr:uid="{00000000-0006-0000-1100-000004000000}">
      <text>
        <r>
          <rPr>
            <b/>
            <sz val="8"/>
            <color indexed="81"/>
            <rFont val="Tahoma"/>
            <family val="2"/>
            <charset val="238"/>
          </rPr>
          <t>sprawdzenie zgodności z notą 1.1.a</t>
        </r>
      </text>
    </comment>
    <comment ref="B14" authorId="0" shapeId="0" xr:uid="{00000000-0006-0000-1100-000005000000}">
      <text>
        <r>
          <rPr>
            <b/>
            <sz val="8"/>
            <color indexed="81"/>
            <rFont val="Tahoma"/>
            <family val="2"/>
            <charset val="238"/>
          </rPr>
          <t>sprawdzenie zgodności z notą 1.1.a</t>
        </r>
      </text>
    </comment>
    <comment ref="C14" authorId="0" shapeId="0" xr:uid="{00000000-0006-0000-1100-000006000000}">
      <text>
        <r>
          <rPr>
            <b/>
            <sz val="8"/>
            <color indexed="81"/>
            <rFont val="Tahoma"/>
            <family val="2"/>
            <charset val="238"/>
          </rPr>
          <t>sprawdzenie zgodności z notą 1.1.a</t>
        </r>
      </text>
    </comment>
    <comment ref="B15" authorId="0" shapeId="0" xr:uid="{00000000-0006-0000-1100-000007000000}">
      <text>
        <r>
          <rPr>
            <b/>
            <sz val="8"/>
            <color indexed="81"/>
            <rFont val="Tahoma"/>
            <family val="2"/>
            <charset val="238"/>
          </rPr>
          <t>sprawdzenie zgodności z notą 1.1.a</t>
        </r>
      </text>
    </comment>
    <comment ref="C15" authorId="0" shapeId="0" xr:uid="{00000000-0006-0000-1100-000008000000}">
      <text>
        <r>
          <rPr>
            <b/>
            <sz val="8"/>
            <color indexed="81"/>
            <rFont val="Tahoma"/>
            <family val="2"/>
            <charset val="238"/>
          </rPr>
          <t>sprawdzenie zgodności z notą 1.1.a</t>
        </r>
      </text>
    </comment>
    <comment ref="B16" authorId="0" shapeId="0" xr:uid="{00000000-0006-0000-1100-000009000000}">
      <text>
        <r>
          <rPr>
            <b/>
            <sz val="8"/>
            <color indexed="81"/>
            <rFont val="Tahoma"/>
            <family val="2"/>
            <charset val="238"/>
          </rPr>
          <t>sprawdzenie zgodności z notą 1.1.a</t>
        </r>
      </text>
    </comment>
    <comment ref="C16" authorId="0" shapeId="0" xr:uid="{00000000-0006-0000-1100-00000A000000}">
      <text>
        <r>
          <rPr>
            <b/>
            <sz val="8"/>
            <color indexed="81"/>
            <rFont val="Tahoma"/>
            <family val="2"/>
            <charset val="238"/>
          </rPr>
          <t>sprawdzenie zgodności z notą 1.1.a</t>
        </r>
      </text>
    </comment>
    <comment ref="B18" authorId="0" shapeId="0" xr:uid="{00000000-0006-0000-1100-00000B000000}">
      <text>
        <r>
          <rPr>
            <b/>
            <sz val="8"/>
            <color indexed="81"/>
            <rFont val="Tahoma"/>
            <family val="2"/>
            <charset val="238"/>
          </rPr>
          <t>sprawdzenie zgodności z notą 1.1.b</t>
        </r>
      </text>
    </comment>
    <comment ref="C18" authorId="0" shapeId="0" xr:uid="{00000000-0006-0000-1100-00000C000000}">
      <text>
        <r>
          <rPr>
            <b/>
            <sz val="8"/>
            <color indexed="81"/>
            <rFont val="Tahoma"/>
            <family val="2"/>
            <charset val="238"/>
          </rPr>
          <t>sprawdzenie zgodności z notą 1.1.b</t>
        </r>
      </text>
    </comment>
    <comment ref="U18" authorId="0" shapeId="0" xr:uid="{00000000-0006-0000-1100-00000D000000}">
      <text>
        <r>
          <rPr>
            <b/>
            <sz val="8"/>
            <color indexed="81"/>
            <rFont val="Tahoma"/>
            <family val="2"/>
            <charset val="238"/>
          </rPr>
          <t>kontrola zgodności wyniku netto z wykazanym w rachunku zysków i strat</t>
        </r>
      </text>
    </comment>
    <comment ref="V18" authorId="0" shapeId="0" xr:uid="{00000000-0006-0000-1100-00000E000000}">
      <text>
        <r>
          <rPr>
            <b/>
            <sz val="8"/>
            <color indexed="81"/>
            <rFont val="Tahoma"/>
            <family val="2"/>
            <charset val="238"/>
          </rPr>
          <t>kontrola zgodności wyniku netto z wykazanym w rachunku zysków i strat</t>
        </r>
      </text>
    </comment>
    <comment ref="B21" authorId="0" shapeId="0" xr:uid="{00000000-0006-0000-1100-00000F000000}">
      <text>
        <r>
          <rPr>
            <b/>
            <sz val="8"/>
            <color indexed="81"/>
            <rFont val="Tahoma"/>
            <family val="2"/>
            <charset val="238"/>
          </rPr>
          <t>sprawdzenie zgodności z notą 1.1.b</t>
        </r>
      </text>
    </comment>
    <comment ref="C21" authorId="0" shapeId="0" xr:uid="{00000000-0006-0000-1100-000010000000}">
      <text>
        <r>
          <rPr>
            <b/>
            <sz val="8"/>
            <color indexed="81"/>
            <rFont val="Tahoma"/>
            <family val="2"/>
            <charset val="238"/>
          </rPr>
          <t>sprawdzenie zgodności z notą 1.1.b</t>
        </r>
      </text>
    </comment>
    <comment ref="B22" authorId="0" shapeId="0" xr:uid="{00000000-0006-0000-1100-000011000000}">
      <text>
        <r>
          <rPr>
            <b/>
            <sz val="8"/>
            <color indexed="81"/>
            <rFont val="Tahoma"/>
            <family val="2"/>
            <charset val="238"/>
          </rPr>
          <t>sprawdzenie zgodności z notą 1.1.b</t>
        </r>
      </text>
    </comment>
    <comment ref="C22" authorId="0" shapeId="0" xr:uid="{00000000-0006-0000-1100-000012000000}">
      <text>
        <r>
          <rPr>
            <b/>
            <sz val="8"/>
            <color indexed="81"/>
            <rFont val="Tahoma"/>
            <family val="2"/>
            <charset val="238"/>
          </rPr>
          <t>sprawdzenie zgodności z notą 1.1.b</t>
        </r>
      </text>
    </comment>
    <comment ref="B23" authorId="0" shapeId="0" xr:uid="{00000000-0006-0000-1100-000013000000}">
      <text>
        <r>
          <rPr>
            <b/>
            <sz val="8"/>
            <color indexed="81"/>
            <rFont val="Tahoma"/>
            <family val="2"/>
            <charset val="238"/>
          </rPr>
          <t>sprawdzenie zgodności z notą 1.1.b</t>
        </r>
      </text>
    </comment>
    <comment ref="C23" authorId="0" shapeId="0" xr:uid="{00000000-0006-0000-1100-000014000000}">
      <text>
        <r>
          <rPr>
            <b/>
            <sz val="8"/>
            <color indexed="81"/>
            <rFont val="Tahoma"/>
            <family val="2"/>
            <charset val="238"/>
          </rPr>
          <t>sprawdzenie zgodności z notą 1.1.b</t>
        </r>
      </text>
    </comment>
    <comment ref="B24" authorId="0" shapeId="0" xr:uid="{00000000-0006-0000-1100-000015000000}">
      <text>
        <r>
          <rPr>
            <b/>
            <sz val="8"/>
            <color indexed="81"/>
            <rFont val="Tahoma"/>
            <family val="2"/>
            <charset val="238"/>
          </rPr>
          <t>sprawdzenie zgodności z notą 1.1.b</t>
        </r>
      </text>
    </comment>
    <comment ref="C24" authorId="0" shapeId="0" xr:uid="{00000000-0006-0000-1100-000016000000}">
      <text>
        <r>
          <rPr>
            <b/>
            <sz val="8"/>
            <color indexed="81"/>
            <rFont val="Tahoma"/>
            <family val="2"/>
            <charset val="238"/>
          </rPr>
          <t>sprawdzenie zgodności z notą 1.1.b</t>
        </r>
      </text>
    </comment>
    <comment ref="B25" authorId="0" shapeId="0" xr:uid="{00000000-0006-0000-1100-000017000000}">
      <text>
        <r>
          <rPr>
            <b/>
            <sz val="8"/>
            <color indexed="81"/>
            <rFont val="Tahoma"/>
            <family val="2"/>
            <charset val="238"/>
          </rPr>
          <t>sprawdzenie zgodności z notą 1.1.b</t>
        </r>
      </text>
    </comment>
    <comment ref="C25" authorId="0" shapeId="0" xr:uid="{00000000-0006-0000-1100-000018000000}">
      <text>
        <r>
          <rPr>
            <b/>
            <sz val="8"/>
            <color indexed="81"/>
            <rFont val="Tahoma"/>
            <family val="2"/>
            <charset val="238"/>
          </rPr>
          <t>sprawdzenie zgodności z notą 1.1.b</t>
        </r>
      </text>
    </comment>
    <comment ref="U26" authorId="0" shapeId="0" xr:uid="{00000000-0006-0000-1100-000019000000}">
      <text>
        <r>
          <rPr>
            <b/>
            <sz val="8"/>
            <color indexed="81"/>
            <rFont val="Tahoma"/>
            <family val="2"/>
            <charset val="238"/>
          </rPr>
          <t>sprawdzenie zgodności z notą 1.8</t>
        </r>
      </text>
    </comment>
    <comment ref="V26" authorId="0" shapeId="0" xr:uid="{00000000-0006-0000-1100-00001A000000}">
      <text>
        <r>
          <rPr>
            <b/>
            <sz val="8"/>
            <color indexed="81"/>
            <rFont val="Tahoma"/>
            <family val="2"/>
            <charset val="238"/>
          </rPr>
          <t>sprawdzenie zgodności z notą 1.8</t>
        </r>
      </text>
    </comment>
    <comment ref="B27" authorId="0" shapeId="0" xr:uid="{00000000-0006-0000-1100-00001B000000}">
      <text>
        <r>
          <rPr>
            <b/>
            <sz val="8"/>
            <color indexed="81"/>
            <rFont val="Tahoma"/>
            <family val="2"/>
            <charset val="238"/>
          </rPr>
          <t>sprawdzenie zgodności z notą 1.1.b</t>
        </r>
      </text>
    </comment>
    <comment ref="C27" authorId="0" shapeId="0" xr:uid="{00000000-0006-0000-1100-00001C000000}">
      <text>
        <r>
          <rPr>
            <b/>
            <sz val="8"/>
            <color indexed="81"/>
            <rFont val="Tahoma"/>
            <family val="2"/>
            <charset val="238"/>
          </rPr>
          <t>sprawdzenie zgodności z notą 1.1.b</t>
        </r>
      </text>
    </comment>
    <comment ref="B28" authorId="0" shapeId="0" xr:uid="{00000000-0006-0000-1100-00001D000000}">
      <text>
        <r>
          <rPr>
            <b/>
            <sz val="8"/>
            <color indexed="81"/>
            <rFont val="Tahoma"/>
            <family val="2"/>
            <charset val="238"/>
          </rPr>
          <t>sprawdzenie zgodności z notą 1.1.b</t>
        </r>
      </text>
    </comment>
    <comment ref="C28" authorId="0" shapeId="0" xr:uid="{00000000-0006-0000-1100-00001E000000}">
      <text>
        <r>
          <rPr>
            <b/>
            <sz val="8"/>
            <color indexed="81"/>
            <rFont val="Tahoma"/>
            <family val="2"/>
            <charset val="238"/>
          </rPr>
          <t>sprawdzenie zgodności z notą 1.1.b</t>
        </r>
      </text>
    </comment>
    <comment ref="B35" authorId="0" shapeId="0" xr:uid="{00000000-0006-0000-1100-00001F000000}">
      <text>
        <r>
          <rPr>
            <b/>
            <sz val="8"/>
            <color indexed="81"/>
            <rFont val="Tahoma"/>
            <family val="2"/>
            <charset val="238"/>
          </rPr>
          <t>sprawdzenie zgodności z notą 1.1.c</t>
        </r>
      </text>
    </comment>
    <comment ref="C35" authorId="0" shapeId="0" xr:uid="{00000000-0006-0000-1100-000020000000}">
      <text>
        <r>
          <rPr>
            <b/>
            <sz val="8"/>
            <color indexed="81"/>
            <rFont val="Tahoma"/>
            <family val="2"/>
            <charset val="238"/>
          </rPr>
          <t>sprawdzenie zgodności z notą 1.1.c</t>
        </r>
      </text>
    </comment>
    <comment ref="B37" authorId="0" shapeId="0" xr:uid="{00000000-0006-0000-1100-000021000000}">
      <text>
        <r>
          <rPr>
            <b/>
            <sz val="8"/>
            <color indexed="81"/>
            <rFont val="Tahoma"/>
            <family val="2"/>
            <charset val="238"/>
          </rPr>
          <t>sprawdzenie zgodności z notą 1.1.c</t>
        </r>
      </text>
    </comment>
    <comment ref="C37" authorId="0" shapeId="0" xr:uid="{00000000-0006-0000-1100-000022000000}">
      <text>
        <r>
          <rPr>
            <b/>
            <sz val="8"/>
            <color indexed="81"/>
            <rFont val="Tahoma"/>
            <family val="2"/>
            <charset val="238"/>
          </rPr>
          <t>sprawdzenie zgodności z notą 1.1.c</t>
        </r>
      </text>
    </comment>
    <comment ref="B38" authorId="0" shapeId="0" xr:uid="{00000000-0006-0000-1100-000023000000}">
      <text>
        <r>
          <rPr>
            <b/>
            <sz val="8"/>
            <color indexed="81"/>
            <rFont val="Tahoma"/>
            <family val="2"/>
            <charset val="238"/>
          </rPr>
          <t>sprawdzenie zgodności z notą 1.1.c</t>
        </r>
      </text>
    </comment>
    <comment ref="C38" authorId="0" shapeId="0" xr:uid="{00000000-0006-0000-1100-000024000000}">
      <text>
        <r>
          <rPr>
            <b/>
            <sz val="8"/>
            <color indexed="81"/>
            <rFont val="Tahoma"/>
            <family val="2"/>
            <charset val="238"/>
          </rPr>
          <t>sprawdzenie zgodności z notą 1.1.c</t>
        </r>
      </text>
    </comment>
    <comment ref="B39" authorId="0" shapeId="0" xr:uid="{00000000-0006-0000-1100-000025000000}">
      <text>
        <r>
          <rPr>
            <b/>
            <sz val="8"/>
            <color indexed="81"/>
            <rFont val="Tahoma"/>
            <family val="2"/>
            <charset val="238"/>
          </rPr>
          <t>sprawdzenie zgodności z notą 1.1.c</t>
        </r>
      </text>
    </comment>
    <comment ref="C39" authorId="0" shapeId="0" xr:uid="{00000000-0006-0000-1100-000026000000}">
      <text>
        <r>
          <rPr>
            <b/>
            <sz val="8"/>
            <color indexed="81"/>
            <rFont val="Tahoma"/>
            <family val="2"/>
            <charset val="238"/>
          </rPr>
          <t>sprawdzenie zgodności z notą 1.1.c</t>
        </r>
      </text>
    </comment>
    <comment ref="U42" authorId="0" shapeId="0" xr:uid="{00000000-0006-0000-1100-000027000000}">
      <text>
        <r>
          <rPr>
            <b/>
            <sz val="8"/>
            <color indexed="81"/>
            <rFont val="Tahoma"/>
            <family val="2"/>
            <charset val="238"/>
          </rPr>
          <t>sprawdzenie zgodności z notą 1.10</t>
        </r>
      </text>
    </comment>
    <comment ref="U48" authorId="0" shapeId="0" xr:uid="{00000000-0006-0000-1100-000028000000}">
      <text>
        <r>
          <rPr>
            <b/>
            <sz val="8"/>
            <color indexed="81"/>
            <rFont val="Tahoma"/>
            <family val="2"/>
            <charset val="238"/>
          </rPr>
          <t>sprawdzenie zgodności z notą 1.10</t>
        </r>
      </text>
    </comment>
    <comment ref="B61" authorId="0" shapeId="0" xr:uid="{00000000-0006-0000-1100-000029000000}">
      <text>
        <r>
          <rPr>
            <b/>
            <sz val="8"/>
            <color indexed="81"/>
            <rFont val="Tahoma"/>
            <family val="2"/>
            <charset val="238"/>
          </rPr>
          <t>sprawdzenie zgodności z notą 1.1.c</t>
        </r>
      </text>
    </comment>
    <comment ref="C61" authorId="0" shapeId="0" xr:uid="{00000000-0006-0000-1100-00002A000000}">
      <text>
        <r>
          <rPr>
            <b/>
            <sz val="8"/>
            <color indexed="81"/>
            <rFont val="Tahoma"/>
            <family val="2"/>
            <charset val="238"/>
          </rPr>
          <t>sprawdzenie zgodności z notą 1.1.c</t>
        </r>
      </text>
    </comment>
    <comment ref="B63" authorId="0" shapeId="0" xr:uid="{00000000-0006-0000-1100-00002B000000}">
      <text>
        <r>
          <rPr>
            <b/>
            <sz val="8"/>
            <color indexed="81"/>
            <rFont val="Tahoma"/>
            <family val="2"/>
            <charset val="238"/>
          </rPr>
          <t>sprawdzenie zgodności z notą 1.11</t>
        </r>
      </text>
    </comment>
    <comment ref="U81" authorId="0" shapeId="0" xr:uid="{00000000-0006-0000-1100-00002C000000}">
      <text>
        <r>
          <rPr>
            <b/>
            <sz val="8"/>
            <color indexed="81"/>
            <rFont val="Tahoma"/>
            <family val="2"/>
            <charset val="238"/>
          </rPr>
          <t>sprawdzenie zgodności z notą 1.11</t>
        </r>
      </text>
    </comment>
    <comment ref="B111" authorId="0" shapeId="0" xr:uid="{00000000-0006-0000-1100-00002D000000}">
      <text>
        <r>
          <rPr>
            <b/>
            <sz val="8"/>
            <color indexed="81"/>
            <rFont val="Tahoma"/>
            <family val="2"/>
            <charset val="238"/>
          </rPr>
          <t>sprawdzenie zgodności z notą 1.11</t>
        </r>
      </text>
    </comment>
    <comment ref="J144" authorId="0" shapeId="0" xr:uid="{00000000-0006-0000-1100-00002E000000}">
      <text>
        <r>
          <rPr>
            <b/>
            <sz val="8"/>
            <color indexed="81"/>
            <rFont val="Tahoma"/>
            <family val="2"/>
            <charset val="238"/>
          </rPr>
          <t>sprawdzenie zgodności aktywów z pasywami na dzień bilansowy</t>
        </r>
        <r>
          <rPr>
            <sz val="8"/>
            <color indexed="81"/>
            <rFont val="Tahoma"/>
            <family val="2"/>
            <charset val="238"/>
          </rPr>
          <t xml:space="preserve">
</t>
        </r>
      </text>
    </comment>
    <comment ref="K144" authorId="0" shapeId="0" xr:uid="{00000000-0006-0000-1100-00002F000000}">
      <text>
        <r>
          <rPr>
            <b/>
            <sz val="8"/>
            <color indexed="81"/>
            <rFont val="Tahoma"/>
            <family val="2"/>
            <charset val="238"/>
          </rPr>
          <t>sprawdzenie zgodności aktywów z pasywami na poprzedni dzień bilansowy</t>
        </r>
        <r>
          <rPr>
            <sz val="8"/>
            <color indexed="81"/>
            <rFont val="Tahoma"/>
            <family val="2"/>
            <charset val="238"/>
          </rPr>
          <t xml:space="preserve">
</t>
        </r>
      </text>
    </comment>
    <comment ref="S144" authorId="0" shapeId="0" xr:uid="{00000000-0006-0000-1100-000030000000}">
      <text>
        <r>
          <rPr>
            <b/>
            <sz val="8"/>
            <color indexed="81"/>
            <rFont val="Tahoma"/>
            <family val="2"/>
            <charset val="238"/>
          </rPr>
          <t>sprawdzenie zgodności aktywów z pasywami na dzień bilansowy</t>
        </r>
        <r>
          <rPr>
            <sz val="8"/>
            <color indexed="81"/>
            <rFont val="Tahoma"/>
            <family val="2"/>
            <charset val="238"/>
          </rPr>
          <t xml:space="preserve">
</t>
        </r>
      </text>
    </comment>
    <comment ref="T144" authorId="0" shapeId="0" xr:uid="{00000000-0006-0000-1100-000031000000}">
      <text>
        <r>
          <rPr>
            <b/>
            <sz val="8"/>
            <color indexed="81"/>
            <rFont val="Tahoma"/>
            <family val="2"/>
            <charset val="238"/>
          </rPr>
          <t>sprawdzenie zgodności aktywów z pasywami na poprzedni dzień bilansowy</t>
        </r>
        <r>
          <rPr>
            <sz val="8"/>
            <color indexed="81"/>
            <rFont val="Tahoma"/>
            <family val="2"/>
            <charset val="23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alicja.rozanska</author>
    <author>KasiaK</author>
    <author>krzysztof.stajkowski</author>
  </authors>
  <commentList>
    <comment ref="F9" authorId="0" shapeId="0" xr:uid="{00000000-0006-0000-1700-000001000000}">
      <text>
        <r>
          <rPr>
            <b/>
            <sz val="9"/>
            <color indexed="81"/>
            <rFont val="Tahoma"/>
            <family val="2"/>
            <charset val="238"/>
          </rPr>
          <t>alicja.rozanska:</t>
        </r>
        <r>
          <rPr>
            <sz val="9"/>
            <color indexed="81"/>
            <rFont val="Tahoma"/>
            <family val="2"/>
            <charset val="238"/>
          </rPr>
          <t xml:space="preserve">
skopiuj dane z RZIS z roku ubiegłego</t>
        </r>
      </text>
    </comment>
    <comment ref="G76" authorId="1" shapeId="0" xr:uid="{00000000-0006-0000-1700-000002000000}">
      <text>
        <r>
          <rPr>
            <b/>
            <sz val="8"/>
            <color indexed="81"/>
            <rFont val="Tahoma"/>
            <family val="2"/>
            <charset val="238"/>
          </rPr>
          <t>sprawdzenie zgodności z notą 2</t>
        </r>
        <r>
          <rPr>
            <sz val="8"/>
            <color indexed="81"/>
            <rFont val="Tahoma"/>
            <family val="2"/>
            <charset val="238"/>
          </rPr>
          <t xml:space="preserve">
</t>
        </r>
      </text>
    </comment>
    <comment ref="G81" authorId="2" shapeId="0" xr:uid="{00000000-0006-0000-1700-000003000000}">
      <text>
        <r>
          <rPr>
            <b/>
            <sz val="9"/>
            <color indexed="81"/>
            <rFont val="Tahoma"/>
            <family val="2"/>
            <charset val="238"/>
          </rPr>
          <t>W komórce obok dodana jest wartość +0,0001 aby nie wystąpił błąd duplikatu w Power BI</t>
        </r>
      </text>
    </comment>
    <comment ref="E87" authorId="1" shapeId="0" xr:uid="{00000000-0006-0000-1700-000004000000}">
      <text>
        <r>
          <rPr>
            <b/>
            <sz val="8"/>
            <color indexed="81"/>
            <rFont val="Tahoma"/>
            <family val="2"/>
            <charset val="238"/>
          </rPr>
          <t>kontrola zgodności z wynikem netto wykazanym w bilansie</t>
        </r>
      </text>
    </comment>
    <comment ref="F87" authorId="1" shapeId="0" xr:uid="{00000000-0006-0000-1700-000005000000}">
      <text>
        <r>
          <rPr>
            <b/>
            <sz val="8"/>
            <color indexed="81"/>
            <rFont val="Tahoma"/>
            <family val="2"/>
            <charset val="238"/>
          </rPr>
          <t>kontrola zgodności z wynikem netto wykazanym w bilansie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KasiaK</author>
  </authors>
  <commentList>
    <comment ref="H72" authorId="0" shapeId="0" xr:uid="{00000000-0006-0000-1A00-000001000000}">
      <text>
        <r>
          <rPr>
            <b/>
            <sz val="8"/>
            <color indexed="81"/>
            <rFont val="Tahoma"/>
            <family val="2"/>
            <charset val="238"/>
          </rPr>
          <t>sprawdzenie zgodności z notą 2</t>
        </r>
        <r>
          <rPr>
            <sz val="8"/>
            <color indexed="81"/>
            <rFont val="Tahoma"/>
            <family val="2"/>
            <charset val="238"/>
          </rPr>
          <t xml:space="preserve">
</t>
        </r>
      </text>
    </comment>
    <comment ref="F83" authorId="0" shapeId="0" xr:uid="{00000000-0006-0000-1A00-000002000000}">
      <text>
        <r>
          <rPr>
            <b/>
            <sz val="8"/>
            <color indexed="81"/>
            <rFont val="Tahoma"/>
            <family val="2"/>
            <charset val="238"/>
          </rPr>
          <t>kontrola zgodności z wynikem netto wykazanym w bilansie</t>
        </r>
      </text>
    </comment>
    <comment ref="G83" authorId="0" shapeId="0" xr:uid="{00000000-0006-0000-1A00-000003000000}">
      <text>
        <r>
          <rPr>
            <b/>
            <sz val="8"/>
            <color indexed="81"/>
            <rFont val="Tahoma"/>
            <family val="2"/>
            <charset val="238"/>
          </rPr>
          <t>kontrola zgodności z wynikem netto wykazanym w bilansie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alicja.rozanska</author>
    <author>Roedl</author>
  </authors>
  <commentList>
    <comment ref="I9" authorId="0" shapeId="0" xr:uid="{00000000-0006-0000-1E00-000001000000}">
      <text>
        <r>
          <rPr>
            <b/>
            <sz val="9"/>
            <color indexed="81"/>
            <rFont val="Tahoma"/>
            <family val="2"/>
            <charset val="238"/>
          </rPr>
          <t>alicja.rozanska:</t>
        </r>
        <r>
          <rPr>
            <sz val="9"/>
            <color indexed="81"/>
            <rFont val="Tahoma"/>
            <family val="2"/>
            <charset val="238"/>
          </rPr>
          <t xml:space="preserve">
można przekleić dane z CF kalkulacja</t>
        </r>
      </text>
    </comment>
    <comment ref="J9" authorId="0" shapeId="0" xr:uid="{00000000-0006-0000-1E00-000002000000}">
      <text>
        <r>
          <rPr>
            <b/>
            <sz val="9"/>
            <color indexed="81"/>
            <rFont val="Tahoma"/>
            <family val="2"/>
            <charset val="238"/>
          </rPr>
          <t>alicja.rozanska:</t>
        </r>
        <r>
          <rPr>
            <sz val="9"/>
            <color indexed="81"/>
            <rFont val="Tahoma"/>
            <family val="2"/>
            <charset val="238"/>
          </rPr>
          <t xml:space="preserve">
wklej dane z roku ubiegłego</t>
        </r>
      </text>
    </comment>
    <comment ref="I19" authorId="1" shapeId="0" xr:uid="{00000000-0006-0000-1E00-000003000000}">
      <text>
        <r>
          <rPr>
            <sz val="8"/>
            <color indexed="81"/>
            <rFont val="Tahoma"/>
            <family val="2"/>
            <charset val="238"/>
          </rPr>
          <t xml:space="preserve">Komórka nie powiązana
</t>
        </r>
      </text>
    </comment>
    <comment ref="I22" authorId="1" shapeId="0" xr:uid="{00000000-0006-0000-1E00-000004000000}">
      <text>
        <r>
          <rPr>
            <sz val="8"/>
            <color indexed="81"/>
            <rFont val="Tahoma"/>
            <family val="2"/>
            <charset val="238"/>
          </rPr>
          <t>wzrost stanu rezerw ze znakiem (+), spadek ze znakiem (-)</t>
        </r>
      </text>
    </comment>
    <comment ref="I23" authorId="1" shapeId="0" xr:uid="{00000000-0006-0000-1E00-000005000000}">
      <text>
        <r>
          <rPr>
            <sz val="8"/>
            <color indexed="81"/>
            <rFont val="Tahoma"/>
            <family val="2"/>
            <charset val="238"/>
          </rPr>
          <t>wzrost stanu zapasów ze znakiem (-), spadek stanu zapasów ze znakiem (+)</t>
        </r>
      </text>
    </comment>
    <comment ref="I24" authorId="1" shapeId="0" xr:uid="{00000000-0006-0000-1E00-000006000000}">
      <text>
        <r>
          <rPr>
            <sz val="8"/>
            <color indexed="81"/>
            <rFont val="Tahoma"/>
            <family val="2"/>
          </rPr>
          <t>wzrost stanu nalezności ze znakiem (-), spdek stanu należności ze znakiem (+)</t>
        </r>
        <r>
          <rPr>
            <b/>
            <sz val="8"/>
            <color indexed="81"/>
            <rFont val="Tahoma"/>
            <family val="2"/>
            <charset val="238"/>
          </rPr>
          <t xml:space="preserve">
</t>
        </r>
        <r>
          <rPr>
            <sz val="8"/>
            <color indexed="81"/>
            <rFont val="Tahoma"/>
            <family val="2"/>
            <charset val="238"/>
          </rPr>
          <t xml:space="preserve">
</t>
        </r>
      </text>
    </comment>
    <comment ref="I25" authorId="1" shapeId="0" xr:uid="{00000000-0006-0000-1E00-000007000000}">
      <text>
        <r>
          <rPr>
            <sz val="8"/>
            <color indexed="81"/>
            <rFont val="Tahoma"/>
            <family val="2"/>
          </rPr>
          <t>wzrost zobowiazań ze znakiem (+), spadek stanu zobowiązań ze znakiem (-)</t>
        </r>
      </text>
    </comment>
    <comment ref="I35" authorId="1" shapeId="0" xr:uid="{00000000-0006-0000-1E00-000008000000}">
      <text>
        <r>
          <rPr>
            <b/>
            <sz val="8"/>
            <color indexed="81"/>
            <rFont val="Tahoma"/>
            <family val="2"/>
            <charset val="238"/>
          </rPr>
          <t xml:space="preserve">wpływy ze sprzedaży </t>
        </r>
      </text>
    </comment>
    <comment ref="I78" authorId="1" shapeId="0" xr:uid="{00000000-0006-0000-1E00-000009000000}">
      <text>
        <r>
          <rPr>
            <sz val="8"/>
            <color indexed="81"/>
            <rFont val="Tahoma"/>
            <family val="2"/>
          </rPr>
          <t>odsetki zapłacone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alicja.rozanska</author>
  </authors>
  <commentList>
    <comment ref="B4" authorId="0" shapeId="0" xr:uid="{00000000-0006-0000-2200-000001000000}">
      <text>
        <r>
          <rPr>
            <b/>
            <sz val="9"/>
            <color indexed="81"/>
            <rFont val="Tahoma"/>
            <family val="2"/>
            <charset val="238"/>
          </rPr>
          <t>alicja.rozanska:</t>
        </r>
        <r>
          <rPr>
            <sz val="9"/>
            <color indexed="81"/>
            <rFont val="Tahoma"/>
            <family val="2"/>
            <charset val="238"/>
          </rPr>
          <t xml:space="preserve">
uwaga
1. przy wpisywaniu dodatkowych tytułów zwiększeń/zmniejszeń - formatka do JPK nie aktualizuje się automatycznie - należy dopisać ręcznie w eDek pozycje
2. Proszę nie usuwać wierzy - tylko je aktualizować, inaczej formatka ulegnie uszkodzeniu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KasiaK</author>
    <author>alicja.rozanska</author>
  </authors>
  <commentList>
    <comment ref="E13" authorId="0" shapeId="0" xr:uid="{00000000-0006-0000-2400-000001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22" authorId="0" shapeId="0" xr:uid="{00000000-0006-0000-2400-000002000000}">
      <text>
        <r>
          <rPr>
            <b/>
            <sz val="8"/>
            <color indexed="81"/>
            <rFont val="Tahoma"/>
            <family val="2"/>
            <charset val="238"/>
          </rPr>
          <t>przeksięgowania zmniejszające należy wpisać ze znakiem ujemnym</t>
        </r>
      </text>
    </comment>
    <comment ref="H33" authorId="0" shapeId="0" xr:uid="{00000000-0006-0000-2400-000003000000}">
      <text>
        <r>
          <rPr>
            <b/>
            <sz val="8"/>
            <color indexed="81"/>
            <rFont val="Tahoma"/>
            <family val="2"/>
            <charset val="238"/>
          </rPr>
          <t>sprawdzenie zgodności z pozycjami bilansu</t>
        </r>
      </text>
    </comment>
    <comment ref="I33" authorId="0" shapeId="0" xr:uid="{00000000-0006-0000-2400-000004000000}">
      <text>
        <r>
          <rPr>
            <b/>
            <sz val="8"/>
            <color indexed="81"/>
            <rFont val="Tahoma"/>
            <family val="2"/>
            <charset val="238"/>
          </rPr>
          <t>sprawdzenie zgodności z pozycjami bilansu</t>
        </r>
        <r>
          <rPr>
            <sz val="8"/>
            <color indexed="81"/>
            <rFont val="Tahoma"/>
            <family val="2"/>
            <charset val="238"/>
          </rPr>
          <t xml:space="preserve">
</t>
        </r>
      </text>
    </comment>
    <comment ref="H34" authorId="0" shapeId="0" xr:uid="{00000000-0006-0000-2400-000005000000}">
      <text>
        <r>
          <rPr>
            <b/>
            <sz val="8"/>
            <color indexed="81"/>
            <rFont val="Tahoma"/>
            <family val="2"/>
            <charset val="238"/>
          </rPr>
          <t>sprawdzenie zgodności z pozycjami bilansu:</t>
        </r>
        <r>
          <rPr>
            <sz val="8"/>
            <color indexed="81"/>
            <rFont val="Tahoma"/>
            <family val="2"/>
            <charset val="238"/>
          </rPr>
          <t xml:space="preserve">
</t>
        </r>
      </text>
    </comment>
    <comment ref="I34" authorId="0" shapeId="0" xr:uid="{00000000-0006-0000-2400-000006000000}">
      <text>
        <r>
          <rPr>
            <b/>
            <sz val="8"/>
            <color indexed="81"/>
            <rFont val="Tahoma"/>
            <family val="2"/>
            <charset val="238"/>
          </rPr>
          <t>sprawdzenie zgodności z pozycjami bilansu</t>
        </r>
        <r>
          <rPr>
            <sz val="8"/>
            <color indexed="81"/>
            <rFont val="Tahoma"/>
            <family val="2"/>
            <charset val="238"/>
          </rPr>
          <t xml:space="preserve">
</t>
        </r>
      </text>
    </comment>
    <comment ref="H35" authorId="0" shapeId="0" xr:uid="{00000000-0006-0000-2400-000007000000}">
      <text>
        <r>
          <rPr>
            <b/>
            <sz val="8"/>
            <color indexed="81"/>
            <rFont val="Tahoma"/>
            <family val="2"/>
            <charset val="238"/>
          </rPr>
          <t>sprawdzenie zgodności z pozycjami bilansu</t>
        </r>
        <r>
          <rPr>
            <sz val="8"/>
            <color indexed="81"/>
            <rFont val="Tahoma"/>
            <family val="2"/>
            <charset val="238"/>
          </rPr>
          <t xml:space="preserve">
</t>
        </r>
      </text>
    </comment>
    <comment ref="I35" authorId="0" shapeId="0" xr:uid="{00000000-0006-0000-2400-000008000000}">
      <text>
        <r>
          <rPr>
            <b/>
            <sz val="8"/>
            <color indexed="81"/>
            <rFont val="Tahoma"/>
            <family val="2"/>
            <charset val="238"/>
          </rPr>
          <t>sprawdzenie zgodności z pozycjami bilansu</t>
        </r>
        <r>
          <rPr>
            <sz val="8"/>
            <color indexed="81"/>
            <rFont val="Tahoma"/>
            <family val="2"/>
            <charset val="238"/>
          </rPr>
          <t xml:space="preserve">
</t>
        </r>
      </text>
    </comment>
    <comment ref="H36" authorId="0" shapeId="0" xr:uid="{00000000-0006-0000-2400-000009000000}">
      <text>
        <r>
          <rPr>
            <b/>
            <sz val="8"/>
            <color indexed="81"/>
            <rFont val="Tahoma"/>
            <family val="2"/>
            <charset val="238"/>
          </rPr>
          <t>sprawdzenie zgodności z pozycjami bilansu</t>
        </r>
        <r>
          <rPr>
            <sz val="8"/>
            <color indexed="81"/>
            <rFont val="Tahoma"/>
            <family val="2"/>
            <charset val="238"/>
          </rPr>
          <t xml:space="preserve">
</t>
        </r>
      </text>
    </comment>
    <comment ref="I36" authorId="0" shapeId="0" xr:uid="{00000000-0006-0000-2400-00000A000000}">
      <text>
        <r>
          <rPr>
            <b/>
            <sz val="8"/>
            <color indexed="81"/>
            <rFont val="Tahoma"/>
            <family val="2"/>
            <charset val="238"/>
          </rPr>
          <t>sprawdzenie zgodności z pozycjami bilansu</t>
        </r>
        <r>
          <rPr>
            <sz val="8"/>
            <color indexed="81"/>
            <rFont val="Tahoma"/>
            <family val="2"/>
            <charset val="238"/>
          </rPr>
          <t xml:space="preserve">
</t>
        </r>
      </text>
    </comment>
    <comment ref="H37" authorId="0" shapeId="0" xr:uid="{00000000-0006-0000-2400-00000B000000}">
      <text>
        <r>
          <rPr>
            <b/>
            <sz val="8"/>
            <color indexed="81"/>
            <rFont val="Tahoma"/>
            <family val="2"/>
            <charset val="238"/>
          </rPr>
          <t>sprawdzenie zgodności z pozycjami bilansu</t>
        </r>
        <r>
          <rPr>
            <sz val="8"/>
            <color indexed="81"/>
            <rFont val="Tahoma"/>
            <family val="2"/>
            <charset val="238"/>
          </rPr>
          <t xml:space="preserve">
</t>
        </r>
      </text>
    </comment>
    <comment ref="I37" authorId="0" shapeId="0" xr:uid="{00000000-0006-0000-2400-00000C000000}">
      <text>
        <r>
          <rPr>
            <b/>
            <sz val="8"/>
            <color indexed="81"/>
            <rFont val="Tahoma"/>
            <family val="2"/>
            <charset val="238"/>
          </rPr>
          <t>sprawdzenie zgodności z pozycjami bilansu</t>
        </r>
        <r>
          <rPr>
            <sz val="8"/>
            <color indexed="81"/>
            <rFont val="Tahoma"/>
            <family val="2"/>
            <charset val="238"/>
          </rPr>
          <t xml:space="preserve">
</t>
        </r>
      </text>
    </comment>
    <comment ref="E44" authorId="0" shapeId="0" xr:uid="{00000000-0006-0000-2400-00000D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53" authorId="0" shapeId="0" xr:uid="{00000000-0006-0000-2400-00000E000000}">
      <text>
        <r>
          <rPr>
            <b/>
            <sz val="8"/>
            <color indexed="81"/>
            <rFont val="Tahoma"/>
            <family val="2"/>
            <charset val="238"/>
          </rPr>
          <t>przeksięgowania zmniejszające należy wpisać ze znakiem ujemnym</t>
        </r>
      </text>
    </comment>
    <comment ref="H64" authorId="0" shapeId="0" xr:uid="{00000000-0006-0000-2400-00000F000000}">
      <text>
        <r>
          <rPr>
            <b/>
            <sz val="8"/>
            <color indexed="81"/>
            <rFont val="Tahoma"/>
            <family val="2"/>
            <charset val="238"/>
          </rPr>
          <t>sprawdzenie zgodności z pozycjami bilansu</t>
        </r>
        <r>
          <rPr>
            <sz val="8"/>
            <color indexed="81"/>
            <rFont val="Tahoma"/>
            <family val="2"/>
            <charset val="238"/>
          </rPr>
          <t xml:space="preserve">
</t>
        </r>
      </text>
    </comment>
    <comment ref="H65" authorId="0" shapeId="0" xr:uid="{00000000-0006-0000-2400-000010000000}">
      <text>
        <r>
          <rPr>
            <b/>
            <sz val="8"/>
            <color indexed="81"/>
            <rFont val="Tahoma"/>
            <family val="2"/>
            <charset val="238"/>
          </rPr>
          <t>sprawdzenie zgodności z pozycjami bilansu</t>
        </r>
        <r>
          <rPr>
            <sz val="8"/>
            <color indexed="81"/>
            <rFont val="Tahoma"/>
            <family val="2"/>
            <charset val="238"/>
          </rPr>
          <t xml:space="preserve">
</t>
        </r>
      </text>
    </comment>
    <comment ref="H66" authorId="0" shapeId="0" xr:uid="{00000000-0006-0000-2400-000011000000}">
      <text>
        <r>
          <rPr>
            <b/>
            <sz val="8"/>
            <color indexed="81"/>
            <rFont val="Tahoma"/>
            <family val="2"/>
            <charset val="238"/>
          </rPr>
          <t>sprawdzenie zgodności z pozycjami bilansu</t>
        </r>
        <r>
          <rPr>
            <sz val="8"/>
            <color indexed="81"/>
            <rFont val="Tahoma"/>
            <family val="2"/>
            <charset val="238"/>
          </rPr>
          <t xml:space="preserve">
</t>
        </r>
      </text>
    </comment>
    <comment ref="H67" authorId="0" shapeId="0" xr:uid="{00000000-0006-0000-2400-000012000000}">
      <text>
        <r>
          <rPr>
            <b/>
            <sz val="8"/>
            <color indexed="81"/>
            <rFont val="Tahoma"/>
            <family val="2"/>
            <charset val="238"/>
          </rPr>
          <t>sprawdzenie zgodności z pozycjami bilansu</t>
        </r>
        <r>
          <rPr>
            <sz val="8"/>
            <color indexed="81"/>
            <rFont val="Tahoma"/>
            <family val="2"/>
            <charset val="238"/>
          </rPr>
          <t xml:space="preserve">
</t>
        </r>
      </text>
    </comment>
    <comment ref="H68" authorId="0" shapeId="0" xr:uid="{00000000-0006-0000-2400-000013000000}">
      <text>
        <r>
          <rPr>
            <b/>
            <sz val="8"/>
            <color indexed="81"/>
            <rFont val="Tahoma"/>
            <family val="2"/>
            <charset val="238"/>
          </rPr>
          <t>sprawdzenie zgodności z pozycjami bilansu</t>
        </r>
        <r>
          <rPr>
            <sz val="8"/>
            <color indexed="81"/>
            <rFont val="Tahoma"/>
            <family val="2"/>
            <charset val="238"/>
          </rPr>
          <t xml:space="preserve">
</t>
        </r>
      </text>
    </comment>
    <comment ref="E77" authorId="0" shapeId="0" xr:uid="{00000000-0006-0000-2400-000014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89" authorId="0" shapeId="0" xr:uid="{00000000-0006-0000-2400-000015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H106" authorId="0" shapeId="0" xr:uid="{00000000-0006-0000-2400-000016000000}">
      <text>
        <r>
          <rPr>
            <b/>
            <sz val="8"/>
            <color indexed="81"/>
            <rFont val="Tahoma"/>
            <family val="2"/>
            <charset val="238"/>
          </rPr>
          <t>sprawdzenie zgodności z pozycjami bilansu</t>
        </r>
      </text>
    </comment>
    <comment ref="I106" authorId="0" shapeId="0" xr:uid="{00000000-0006-0000-2400-000017000000}">
      <text>
        <r>
          <rPr>
            <b/>
            <sz val="8"/>
            <color indexed="81"/>
            <rFont val="Tahoma"/>
            <family val="2"/>
            <charset val="238"/>
          </rPr>
          <t>sprawdzenie zgodności z pozycjami bilansu</t>
        </r>
      </text>
    </comment>
    <comment ref="H107" authorId="0" shapeId="0" xr:uid="{00000000-0006-0000-2400-000018000000}">
      <text>
        <r>
          <rPr>
            <b/>
            <sz val="8"/>
            <color indexed="81"/>
            <rFont val="Tahoma"/>
            <family val="2"/>
            <charset val="238"/>
          </rPr>
          <t>sprawdzenie zgodności z pozycjami bilansu</t>
        </r>
      </text>
    </comment>
    <comment ref="I107" authorId="0" shapeId="0" xr:uid="{00000000-0006-0000-2400-000019000000}">
      <text>
        <r>
          <rPr>
            <b/>
            <sz val="8"/>
            <color indexed="81"/>
            <rFont val="Tahoma"/>
            <family val="2"/>
            <charset val="238"/>
          </rPr>
          <t>sprawdzenie zgodności z pozycjami bilansu</t>
        </r>
      </text>
    </comment>
    <comment ref="H108" authorId="0" shapeId="0" xr:uid="{00000000-0006-0000-2400-00001A000000}">
      <text>
        <r>
          <rPr>
            <b/>
            <sz val="8"/>
            <color indexed="81"/>
            <rFont val="Tahoma"/>
            <family val="2"/>
            <charset val="238"/>
          </rPr>
          <t>sprawdzenie zgodności z pozycjami bilansu</t>
        </r>
      </text>
    </comment>
    <comment ref="I108" authorId="0" shapeId="0" xr:uid="{00000000-0006-0000-2400-00001B000000}">
      <text>
        <r>
          <rPr>
            <b/>
            <sz val="8"/>
            <color indexed="81"/>
            <rFont val="Tahoma"/>
            <family val="2"/>
            <charset val="238"/>
          </rPr>
          <t>sprawdzenie zgodności z pozycjami bilansu</t>
        </r>
      </text>
    </comment>
    <comment ref="H109" authorId="0" shapeId="0" xr:uid="{00000000-0006-0000-2400-00001C000000}">
      <text>
        <r>
          <rPr>
            <b/>
            <sz val="8"/>
            <color indexed="81"/>
            <rFont val="Tahoma"/>
            <family val="2"/>
            <charset val="238"/>
          </rPr>
          <t>sprawdzenie zgodności z pozycjami bilansu</t>
        </r>
      </text>
    </comment>
    <comment ref="I109" authorId="0" shapeId="0" xr:uid="{00000000-0006-0000-2400-00001D000000}">
      <text>
        <r>
          <rPr>
            <b/>
            <sz val="8"/>
            <color indexed="81"/>
            <rFont val="Tahoma"/>
            <family val="2"/>
            <charset val="238"/>
          </rPr>
          <t>sprawdzenie zgodności z pozycjami bilansu</t>
        </r>
      </text>
    </comment>
    <comment ref="H110" authorId="0" shapeId="0" xr:uid="{00000000-0006-0000-2400-00001E000000}">
      <text>
        <r>
          <rPr>
            <b/>
            <sz val="8"/>
            <color indexed="81"/>
            <rFont val="Tahoma"/>
            <family val="2"/>
            <charset val="238"/>
          </rPr>
          <t>sprawdzenie zgodności z pozycjami bilansu</t>
        </r>
      </text>
    </comment>
    <comment ref="I110" authorId="0" shapeId="0" xr:uid="{00000000-0006-0000-2400-00001F000000}">
      <text>
        <r>
          <rPr>
            <b/>
            <sz val="8"/>
            <color indexed="81"/>
            <rFont val="Tahoma"/>
            <family val="2"/>
            <charset val="238"/>
          </rPr>
          <t>sprawdzenie zgodności z pozycjami bilansu</t>
        </r>
      </text>
    </comment>
    <comment ref="H111" authorId="0" shapeId="0" xr:uid="{00000000-0006-0000-2400-000020000000}">
      <text>
        <r>
          <rPr>
            <b/>
            <sz val="8"/>
            <color indexed="81"/>
            <rFont val="Tahoma"/>
            <family val="2"/>
            <charset val="238"/>
          </rPr>
          <t>sprawdzenie zgodności z pozycjami bilansu</t>
        </r>
      </text>
    </comment>
    <comment ref="I111" authorId="0" shapeId="0" xr:uid="{00000000-0006-0000-2400-000021000000}">
      <text>
        <r>
          <rPr>
            <b/>
            <sz val="8"/>
            <color indexed="81"/>
            <rFont val="Tahoma"/>
            <family val="2"/>
            <charset val="238"/>
          </rPr>
          <t>sprawdzenie zgodności z pozycjami bilansu</t>
        </r>
      </text>
    </comment>
    <comment ref="H112" authorId="0" shapeId="0" xr:uid="{00000000-0006-0000-2400-000022000000}">
      <text>
        <r>
          <rPr>
            <b/>
            <sz val="8"/>
            <color indexed="81"/>
            <rFont val="Tahoma"/>
            <family val="2"/>
            <charset val="238"/>
          </rPr>
          <t>sprawdzenie zgodności z pozycjami bilansu</t>
        </r>
      </text>
    </comment>
    <comment ref="I112" authorId="0" shapeId="0" xr:uid="{00000000-0006-0000-2400-000023000000}">
      <text>
        <r>
          <rPr>
            <b/>
            <sz val="8"/>
            <color indexed="81"/>
            <rFont val="Tahoma"/>
            <family val="2"/>
            <charset val="238"/>
          </rPr>
          <t>sprawdzenie zgodności z pozycjami bilansu</t>
        </r>
      </text>
    </comment>
    <comment ref="H113" authorId="0" shapeId="0" xr:uid="{00000000-0006-0000-2400-000024000000}">
      <text>
        <r>
          <rPr>
            <b/>
            <sz val="8"/>
            <color indexed="81"/>
            <rFont val="Tahoma"/>
            <family val="2"/>
            <charset val="238"/>
          </rPr>
          <t>sprawdzenie zgodności z pozycjami bilansu</t>
        </r>
      </text>
    </comment>
    <comment ref="I113" authorId="0" shapeId="0" xr:uid="{00000000-0006-0000-2400-000025000000}">
      <text>
        <r>
          <rPr>
            <b/>
            <sz val="8"/>
            <color indexed="81"/>
            <rFont val="Tahoma"/>
            <family val="2"/>
            <charset val="238"/>
          </rPr>
          <t>sprawdzenie zgodności z pozycjami bilansu</t>
        </r>
        <r>
          <rPr>
            <sz val="8"/>
            <color indexed="81"/>
            <rFont val="Tahoma"/>
            <family val="2"/>
            <charset val="238"/>
          </rPr>
          <t xml:space="preserve">
</t>
        </r>
      </text>
    </comment>
    <comment ref="E121" authorId="0" shapeId="0" xr:uid="{00000000-0006-0000-2400-000026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137" authorId="0" shapeId="0" xr:uid="{00000000-0006-0000-2400-000027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H149" authorId="0" shapeId="0" xr:uid="{00000000-0006-0000-2400-000028000000}">
      <text>
        <r>
          <rPr>
            <b/>
            <sz val="8"/>
            <color indexed="81"/>
            <rFont val="Tahoma"/>
            <family val="2"/>
            <charset val="238"/>
          </rPr>
          <t>sprawdzenie zgodności z pozycjami bilansu</t>
        </r>
      </text>
    </comment>
    <comment ref="H150" authorId="0" shapeId="0" xr:uid="{00000000-0006-0000-2400-000029000000}">
      <text>
        <r>
          <rPr>
            <b/>
            <sz val="8"/>
            <color indexed="81"/>
            <rFont val="Tahoma"/>
            <family val="2"/>
            <charset val="238"/>
          </rPr>
          <t>sprawdzenie zgodności z pozycjami bilansu</t>
        </r>
      </text>
    </comment>
    <comment ref="H151" authorId="0" shapeId="0" xr:uid="{00000000-0006-0000-2400-00002A000000}">
      <text>
        <r>
          <rPr>
            <b/>
            <sz val="8"/>
            <color indexed="81"/>
            <rFont val="Tahoma"/>
            <family val="2"/>
            <charset val="238"/>
          </rPr>
          <t>sprawdzenie zgodności z pozycjami bilansu</t>
        </r>
      </text>
    </comment>
    <comment ref="H152" authorId="0" shapeId="0" xr:uid="{00000000-0006-0000-2400-00002B000000}">
      <text>
        <r>
          <rPr>
            <b/>
            <sz val="8"/>
            <color indexed="81"/>
            <rFont val="Tahoma"/>
            <family val="2"/>
            <charset val="238"/>
          </rPr>
          <t>sprawdzenie zgodności z pozycjami bilansu</t>
        </r>
      </text>
    </comment>
    <comment ref="H153" authorId="0" shapeId="0" xr:uid="{00000000-0006-0000-2400-00002C000000}">
      <text>
        <r>
          <rPr>
            <b/>
            <sz val="8"/>
            <color indexed="81"/>
            <rFont val="Tahoma"/>
            <family val="2"/>
            <charset val="238"/>
          </rPr>
          <t>sprawdzenie zgodności z pozycjami bilansu</t>
        </r>
      </text>
    </comment>
    <comment ref="H154" authorId="0" shapeId="0" xr:uid="{00000000-0006-0000-2400-00002D000000}">
      <text>
        <r>
          <rPr>
            <b/>
            <sz val="8"/>
            <color indexed="81"/>
            <rFont val="Tahoma"/>
            <family val="2"/>
            <charset val="238"/>
          </rPr>
          <t>sprawdzenie zgodności z pozycjami bilansu</t>
        </r>
      </text>
    </comment>
    <comment ref="H155" authorId="0" shapeId="0" xr:uid="{00000000-0006-0000-2400-00002E000000}">
      <text>
        <r>
          <rPr>
            <b/>
            <sz val="8"/>
            <color indexed="81"/>
            <rFont val="Tahoma"/>
            <family val="2"/>
            <charset val="238"/>
          </rPr>
          <t>sprawdzenie zgodności z pozycjami bilansu</t>
        </r>
      </text>
    </comment>
    <comment ref="H156" authorId="0" shapeId="0" xr:uid="{00000000-0006-0000-2400-00002F000000}">
      <text>
        <r>
          <rPr>
            <b/>
            <sz val="8"/>
            <color indexed="81"/>
            <rFont val="Tahoma"/>
            <family val="2"/>
            <charset val="238"/>
          </rPr>
          <t>sprawdzenie zgodności z pozycjami bilansu</t>
        </r>
        <r>
          <rPr>
            <sz val="8"/>
            <color indexed="81"/>
            <rFont val="Tahoma"/>
            <family val="2"/>
            <charset val="238"/>
          </rPr>
          <t xml:space="preserve">
</t>
        </r>
      </text>
    </comment>
    <comment ref="E168" authorId="0" shapeId="0" xr:uid="{00000000-0006-0000-2400-000030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177" authorId="0" shapeId="0" xr:uid="{00000000-0006-0000-2400-000031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H186" authorId="0" shapeId="0" xr:uid="{00000000-0006-0000-2400-000032000000}">
      <text>
        <r>
          <rPr>
            <b/>
            <sz val="8"/>
            <color indexed="81"/>
            <rFont val="Tahoma"/>
            <family val="2"/>
            <charset val="238"/>
          </rPr>
          <t>sprawdzenie zgodności z pozycjami bilansu</t>
        </r>
      </text>
    </comment>
    <comment ref="I186" authorId="0" shapeId="0" xr:uid="{00000000-0006-0000-2400-000033000000}">
      <text>
        <r>
          <rPr>
            <b/>
            <sz val="8"/>
            <color indexed="81"/>
            <rFont val="Tahoma"/>
            <family val="2"/>
            <charset val="238"/>
          </rPr>
          <t>sprawdzenie zgodności z pozycjami bilansu</t>
        </r>
      </text>
    </comment>
    <comment ref="H187" authorId="0" shapeId="0" xr:uid="{00000000-0006-0000-2400-000034000000}">
      <text>
        <r>
          <rPr>
            <b/>
            <sz val="8"/>
            <color indexed="81"/>
            <rFont val="Tahoma"/>
            <family val="2"/>
            <charset val="238"/>
          </rPr>
          <t>sprawdzenie zgodności z pozycjami bilansu</t>
        </r>
      </text>
    </comment>
    <comment ref="I187" authorId="0" shapeId="0" xr:uid="{00000000-0006-0000-2400-000035000000}">
      <text>
        <r>
          <rPr>
            <b/>
            <sz val="8"/>
            <color indexed="81"/>
            <rFont val="Tahoma"/>
            <family val="2"/>
            <charset val="238"/>
          </rPr>
          <t>sprawdzenie zgodności z pozycjami bilansu</t>
        </r>
      </text>
    </comment>
    <comment ref="H188" authorId="0" shapeId="0" xr:uid="{00000000-0006-0000-2400-000036000000}">
      <text>
        <r>
          <rPr>
            <b/>
            <sz val="8"/>
            <color indexed="81"/>
            <rFont val="Tahoma"/>
            <family val="2"/>
            <charset val="238"/>
          </rPr>
          <t>sprawdzenie zgodności z pozycjami bilansu</t>
        </r>
      </text>
    </comment>
    <comment ref="I188" authorId="0" shapeId="0" xr:uid="{00000000-0006-0000-2400-000037000000}">
      <text>
        <r>
          <rPr>
            <b/>
            <sz val="8"/>
            <color indexed="81"/>
            <rFont val="Tahoma"/>
            <family val="2"/>
            <charset val="238"/>
          </rPr>
          <t>sprawdzenie zgodności z pozycjami bilansu</t>
        </r>
      </text>
    </comment>
    <comment ref="H189" authorId="0" shapeId="0" xr:uid="{00000000-0006-0000-2400-000038000000}">
      <text>
        <r>
          <rPr>
            <b/>
            <sz val="8"/>
            <color indexed="81"/>
            <rFont val="Tahoma"/>
            <family val="2"/>
            <charset val="238"/>
          </rPr>
          <t>sprawdzenie zgodności z pozycjami bilansu</t>
        </r>
      </text>
    </comment>
    <comment ref="I189" authorId="0" shapeId="0" xr:uid="{00000000-0006-0000-2400-000039000000}">
      <text>
        <r>
          <rPr>
            <b/>
            <sz val="8"/>
            <color indexed="81"/>
            <rFont val="Tahoma"/>
            <family val="2"/>
            <charset val="238"/>
          </rPr>
          <t>sprawdzenie zgodności z pozycjami bilansu</t>
        </r>
      </text>
    </comment>
    <comment ref="H190" authorId="0" shapeId="0" xr:uid="{00000000-0006-0000-2400-00003A000000}">
      <text>
        <r>
          <rPr>
            <b/>
            <sz val="8"/>
            <color indexed="81"/>
            <rFont val="Tahoma"/>
            <family val="2"/>
            <charset val="238"/>
          </rPr>
          <t>sprawdzenie zgodności z pozycjami bilansu</t>
        </r>
      </text>
    </comment>
    <comment ref="I190" authorId="0" shapeId="0" xr:uid="{00000000-0006-0000-2400-00003B000000}">
      <text>
        <r>
          <rPr>
            <b/>
            <sz val="8"/>
            <color indexed="81"/>
            <rFont val="Tahoma"/>
            <family val="2"/>
            <charset val="238"/>
          </rPr>
          <t>sprawdzenie zgodności z pozycjami bilansu</t>
        </r>
        <r>
          <rPr>
            <sz val="8"/>
            <color indexed="81"/>
            <rFont val="Tahoma"/>
            <family val="2"/>
            <charset val="238"/>
          </rPr>
          <t xml:space="preserve">
</t>
        </r>
      </text>
    </comment>
    <comment ref="B192" authorId="1" shapeId="0" xr:uid="{00000000-0006-0000-2400-00003C000000}">
      <text>
        <r>
          <rPr>
            <b/>
            <sz val="9"/>
            <color indexed="81"/>
            <rFont val="Tahoma"/>
            <family val="2"/>
            <charset val="238"/>
          </rPr>
          <t>alicja.rozanska:</t>
        </r>
        <r>
          <rPr>
            <sz val="9"/>
            <color indexed="81"/>
            <rFont val="Tahoma"/>
            <family val="2"/>
            <charset val="238"/>
          </rPr>
          <t xml:space="preserve">
w przypadku, gdy nie jest konieczny komentarz, proszę ukryć wiersze</t>
        </r>
      </text>
    </comment>
    <comment ref="E202" authorId="0" shapeId="0" xr:uid="{00000000-0006-0000-2400-00003D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211" authorId="0" shapeId="0" xr:uid="{00000000-0006-0000-2400-00003E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H220" authorId="0" shapeId="0" xr:uid="{00000000-0006-0000-2400-00003F000000}">
      <text>
        <r>
          <rPr>
            <b/>
            <sz val="8"/>
            <color indexed="81"/>
            <rFont val="Tahoma"/>
            <family val="2"/>
            <charset val="238"/>
          </rPr>
          <t>sprawdzenie zgodności z pozycjami bilansu</t>
        </r>
      </text>
    </comment>
    <comment ref="H221" authorId="0" shapeId="0" xr:uid="{00000000-0006-0000-2400-000040000000}">
      <text>
        <r>
          <rPr>
            <b/>
            <sz val="8"/>
            <color indexed="81"/>
            <rFont val="Tahoma"/>
            <family val="2"/>
            <charset val="238"/>
          </rPr>
          <t>sprawdzenie zgodności z pozycjami bilansu</t>
        </r>
      </text>
    </comment>
    <comment ref="H222" authorId="0" shapeId="0" xr:uid="{00000000-0006-0000-2400-000041000000}">
      <text>
        <r>
          <rPr>
            <b/>
            <sz val="8"/>
            <color indexed="81"/>
            <rFont val="Tahoma"/>
            <family val="2"/>
            <charset val="238"/>
          </rPr>
          <t>sprawdzenie zgodności z pozycjami bilansu</t>
        </r>
      </text>
    </comment>
    <comment ref="H223" authorId="0" shapeId="0" xr:uid="{00000000-0006-0000-2400-000042000000}">
      <text>
        <r>
          <rPr>
            <b/>
            <sz val="8"/>
            <color indexed="81"/>
            <rFont val="Tahoma"/>
            <family val="2"/>
            <charset val="238"/>
          </rPr>
          <t>sprawdzenie zgodności z pozycjami bilansu</t>
        </r>
      </text>
    </comment>
    <comment ref="H224" authorId="0" shapeId="0" xr:uid="{00000000-0006-0000-2400-000043000000}">
      <text>
        <r>
          <rPr>
            <b/>
            <sz val="8"/>
            <color indexed="81"/>
            <rFont val="Tahoma"/>
            <family val="2"/>
            <charset val="238"/>
          </rPr>
          <t>sprawdzenie zgodności z pozycjami bilansu</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KasiaK</author>
    <author>Kolenkiewicz, Paweł</author>
  </authors>
  <commentList>
    <comment ref="F74" authorId="0" shapeId="0" xr:uid="{00000000-0006-0000-2500-000001000000}">
      <text>
        <r>
          <rPr>
            <b/>
            <sz val="8"/>
            <color indexed="81"/>
            <rFont val="Tahoma"/>
            <family val="2"/>
            <charset val="238"/>
          </rPr>
          <t>korekty zmniejszające wpisywać ze znakiem ujemnym</t>
        </r>
      </text>
    </comment>
    <comment ref="F75" authorId="0" shapeId="0" xr:uid="{00000000-0006-0000-2500-000002000000}">
      <text>
        <r>
          <rPr>
            <b/>
            <sz val="8"/>
            <color indexed="81"/>
            <rFont val="Tahoma"/>
            <family val="2"/>
            <charset val="238"/>
          </rPr>
          <t>korekty zmniejszające wpisywać ze znakiem ujemnym</t>
        </r>
        <r>
          <rPr>
            <sz val="8"/>
            <color indexed="81"/>
            <rFont val="Tahoma"/>
            <family val="2"/>
            <charset val="238"/>
          </rPr>
          <t xml:space="preserve">
</t>
        </r>
      </text>
    </comment>
    <comment ref="F76" authorId="0" shapeId="0" xr:uid="{00000000-0006-0000-2500-000003000000}">
      <text>
        <r>
          <rPr>
            <b/>
            <sz val="8"/>
            <color indexed="81"/>
            <rFont val="Tahoma"/>
            <family val="2"/>
            <charset val="238"/>
          </rPr>
          <t>korekty zmniejszające wpisywać ze znakiem ujemnym</t>
        </r>
        <r>
          <rPr>
            <sz val="8"/>
            <color indexed="81"/>
            <rFont val="Tahoma"/>
            <family val="2"/>
            <charset val="238"/>
          </rPr>
          <t xml:space="preserve">
</t>
        </r>
      </text>
    </comment>
    <comment ref="F77" authorId="0" shapeId="0" xr:uid="{00000000-0006-0000-2500-000004000000}">
      <text>
        <r>
          <rPr>
            <b/>
            <sz val="8"/>
            <color indexed="81"/>
            <rFont val="Tahoma"/>
            <family val="2"/>
            <charset val="238"/>
          </rPr>
          <t>korekty zmniejszające wpisywać ze znakiem ujemnym</t>
        </r>
        <r>
          <rPr>
            <sz val="8"/>
            <color indexed="81"/>
            <rFont val="Tahoma"/>
            <family val="2"/>
            <charset val="238"/>
          </rPr>
          <t xml:space="preserve">
</t>
        </r>
      </text>
    </comment>
    <comment ref="F78" authorId="0" shapeId="0" xr:uid="{00000000-0006-0000-2500-000005000000}">
      <text>
        <r>
          <rPr>
            <b/>
            <sz val="8"/>
            <color indexed="81"/>
            <rFont val="Tahoma"/>
            <family val="2"/>
            <charset val="238"/>
          </rPr>
          <t>korekty zmniejszające wpisywać ze znakiem ujemnym</t>
        </r>
        <r>
          <rPr>
            <sz val="8"/>
            <color indexed="81"/>
            <rFont val="Tahoma"/>
            <family val="2"/>
            <charset val="238"/>
          </rPr>
          <t xml:space="preserve">
</t>
        </r>
      </text>
    </comment>
    <comment ref="F79" authorId="0" shapeId="0" xr:uid="{00000000-0006-0000-2500-000006000000}">
      <text>
        <r>
          <rPr>
            <b/>
            <sz val="8"/>
            <color indexed="81"/>
            <rFont val="Tahoma"/>
            <family val="2"/>
            <charset val="238"/>
          </rPr>
          <t>korekty zmniejszające wpisywać ze znakiem ujemnym</t>
        </r>
        <r>
          <rPr>
            <sz val="8"/>
            <color indexed="81"/>
            <rFont val="Tahoma"/>
            <family val="2"/>
            <charset val="238"/>
          </rPr>
          <t xml:space="preserve">
</t>
        </r>
      </text>
    </comment>
    <comment ref="F85" authorId="0" shapeId="0" xr:uid="{00000000-0006-0000-2500-000007000000}">
      <text>
        <r>
          <rPr>
            <b/>
            <sz val="8"/>
            <color indexed="81"/>
            <rFont val="Tahoma"/>
            <family val="2"/>
            <charset val="238"/>
          </rPr>
          <t>korekty zmniejszające wpisywać ze znakiem ujemnym</t>
        </r>
      </text>
    </comment>
    <comment ref="F86" authorId="0" shapeId="0" xr:uid="{00000000-0006-0000-2500-000008000000}">
      <text>
        <r>
          <rPr>
            <b/>
            <sz val="8"/>
            <color indexed="81"/>
            <rFont val="Tahoma"/>
            <family val="2"/>
            <charset val="238"/>
          </rPr>
          <t>korekty zmniejszające wpisywać ze znakiem ujemnym</t>
        </r>
        <r>
          <rPr>
            <sz val="8"/>
            <color indexed="81"/>
            <rFont val="Tahoma"/>
            <family val="2"/>
            <charset val="238"/>
          </rPr>
          <t xml:space="preserve">
</t>
        </r>
      </text>
    </comment>
    <comment ref="F87" authorId="0" shapeId="0" xr:uid="{00000000-0006-0000-2500-000009000000}">
      <text>
        <r>
          <rPr>
            <b/>
            <sz val="8"/>
            <color indexed="81"/>
            <rFont val="Tahoma"/>
            <family val="2"/>
            <charset val="238"/>
          </rPr>
          <t>korekty zmniejszające wpisywać ze znakiem ujemnym</t>
        </r>
        <r>
          <rPr>
            <sz val="8"/>
            <color indexed="81"/>
            <rFont val="Tahoma"/>
            <family val="2"/>
            <charset val="238"/>
          </rPr>
          <t xml:space="preserve">
</t>
        </r>
      </text>
    </comment>
    <comment ref="F88" authorId="0" shapeId="0" xr:uid="{00000000-0006-0000-2500-00000A000000}">
      <text>
        <r>
          <rPr>
            <b/>
            <sz val="8"/>
            <color indexed="81"/>
            <rFont val="Tahoma"/>
            <family val="2"/>
            <charset val="238"/>
          </rPr>
          <t>korekty zmniejszające wpisywać ze znakiem ujemnym</t>
        </r>
        <r>
          <rPr>
            <sz val="8"/>
            <color indexed="81"/>
            <rFont val="Tahoma"/>
            <family val="2"/>
            <charset val="238"/>
          </rPr>
          <t xml:space="preserve">
</t>
        </r>
      </text>
    </comment>
    <comment ref="F89" authorId="0" shapeId="0" xr:uid="{00000000-0006-0000-2500-00000B000000}">
      <text>
        <r>
          <rPr>
            <b/>
            <sz val="8"/>
            <color indexed="81"/>
            <rFont val="Tahoma"/>
            <family val="2"/>
            <charset val="238"/>
          </rPr>
          <t>korekty zmniejszające wpisywać ze znakiem ujemnym</t>
        </r>
        <r>
          <rPr>
            <sz val="8"/>
            <color indexed="81"/>
            <rFont val="Tahoma"/>
            <family val="2"/>
            <charset val="238"/>
          </rPr>
          <t xml:space="preserve">
</t>
        </r>
      </text>
    </comment>
    <comment ref="F90" authorId="0" shapeId="0" xr:uid="{00000000-0006-0000-2500-00000C000000}">
      <text>
        <r>
          <rPr>
            <b/>
            <sz val="8"/>
            <color indexed="81"/>
            <rFont val="Tahoma"/>
            <family val="2"/>
            <charset val="238"/>
          </rPr>
          <t>korekty zmniejszające wpisywać ze znakiem ujemnym</t>
        </r>
        <r>
          <rPr>
            <sz val="8"/>
            <color indexed="81"/>
            <rFont val="Tahoma"/>
            <family val="2"/>
            <charset val="238"/>
          </rPr>
          <t xml:space="preserve">
</t>
        </r>
      </text>
    </comment>
    <comment ref="C99" authorId="1" shapeId="0" xr:uid="{00000000-0006-0000-2500-00000D000000}">
      <text>
        <r>
          <rPr>
            <b/>
            <sz val="8"/>
            <color indexed="8"/>
            <rFont val="Tahoma"/>
            <family val="2"/>
            <charset val="238"/>
          </rPr>
          <t>Kolenkiewicz, Paweł:</t>
        </r>
        <r>
          <rPr>
            <sz val="8"/>
            <color indexed="8"/>
            <rFont val="Tahoma"/>
            <family val="2"/>
            <charset val="238"/>
          </rPr>
          <t xml:space="preserve">
(także skutki korekty błędu, zmian zasad polityki rachunkowości lub poniesienia straty na przedaży bądź umorzenia akcji udziałów własnych)</t>
        </r>
      </text>
    </comment>
    <comment ref="C116" authorId="1" shapeId="0" xr:uid="{00000000-0006-0000-2500-00000E000000}">
      <text>
        <r>
          <rPr>
            <b/>
            <sz val="8"/>
            <color indexed="8"/>
            <rFont val="Tahoma"/>
            <family val="2"/>
            <charset val="238"/>
          </rPr>
          <t>Kolenkiewicz, Paweł:</t>
        </r>
        <r>
          <rPr>
            <sz val="8"/>
            <color indexed="8"/>
            <rFont val="Tahoma"/>
            <family val="2"/>
            <charset val="238"/>
          </rPr>
          <t xml:space="preserve">
(także skutki korekty błędu, zmian zasad polityki rachunkowości lub poniesienia straty na przedaży bądź umorzenia akcji udziałów własnych)</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4000000}" keepAlive="1" name="Zapytanie — Kopia Sprawozdanie finansowe 2019 - duże jednostki_wzór_v 07 01 2020_z_AX xlsm" type="5" refreshedVersion="6" deleted="1" background="1" saveData="1">
    <dbPr connection="" command=""/>
  </connection>
</connections>
</file>

<file path=xl/sharedStrings.xml><?xml version="1.0" encoding="utf-8"?>
<sst xmlns="http://schemas.openxmlformats.org/spreadsheetml/2006/main" count="9029" uniqueCount="6921">
  <si>
    <t>1</t>
  </si>
  <si>
    <t>2</t>
  </si>
  <si>
    <t>3</t>
  </si>
  <si>
    <t>Wprowadzenie</t>
  </si>
  <si>
    <t>Einleitung</t>
  </si>
  <si>
    <t>Introduction</t>
  </si>
  <si>
    <t>nota 1.1.-1.2</t>
  </si>
  <si>
    <t>Note 1.1.-1.2</t>
  </si>
  <si>
    <t>note 1.1.-1.2</t>
  </si>
  <si>
    <t>nota 1.1.b</t>
  </si>
  <si>
    <t>Note 1.1.b</t>
  </si>
  <si>
    <t>note 1.1.b</t>
  </si>
  <si>
    <t>nota 1.1.c</t>
  </si>
  <si>
    <t>Note 1.1.c</t>
  </si>
  <si>
    <t>note 1.1.c</t>
  </si>
  <si>
    <t>nota 1.2</t>
  </si>
  <si>
    <t>Note 1.2</t>
  </si>
  <si>
    <t>note 1.2</t>
  </si>
  <si>
    <t>nota 1.3-1.10</t>
  </si>
  <si>
    <t>Note 1.3-1.10</t>
  </si>
  <si>
    <t>note 1.3-1.10</t>
  </si>
  <si>
    <t>nota 1.11</t>
  </si>
  <si>
    <t>Note 1.11</t>
  </si>
  <si>
    <t>note 1.11</t>
  </si>
  <si>
    <t>nota 1.11-1.15</t>
  </si>
  <si>
    <t>Note 1.11-1.15</t>
  </si>
  <si>
    <t>note 1.11-1.15</t>
  </si>
  <si>
    <t>nota 1.16-1.19</t>
  </si>
  <si>
    <t>Note 1.16-1.19</t>
  </si>
  <si>
    <t>note 1.16-1.19</t>
  </si>
  <si>
    <t>nota 2</t>
  </si>
  <si>
    <t>Note 2</t>
  </si>
  <si>
    <t>note 2</t>
  </si>
  <si>
    <t>nota 3,4</t>
  </si>
  <si>
    <t>Note 3,4</t>
  </si>
  <si>
    <t>note 3,4</t>
  </si>
  <si>
    <t>nota 5</t>
  </si>
  <si>
    <t>Note 5</t>
  </si>
  <si>
    <t>note 5</t>
  </si>
  <si>
    <t>nota 6</t>
  </si>
  <si>
    <t>Note 6</t>
  </si>
  <si>
    <t>note 6</t>
  </si>
  <si>
    <t>nota 7</t>
  </si>
  <si>
    <t>Note 7</t>
  </si>
  <si>
    <t>note 7</t>
  </si>
  <si>
    <t>nota 8-11</t>
  </si>
  <si>
    <t>Note 8-11</t>
  </si>
  <si>
    <t>note 8-11</t>
  </si>
  <si>
    <t>nota 9, 10</t>
  </si>
  <si>
    <t>Note 9, 10</t>
  </si>
  <si>
    <t>note 9, 10</t>
  </si>
  <si>
    <t>Wskazówki dla przygotowujących sprawozdanie finansowe</t>
  </si>
  <si>
    <t>Nie należy zmieniać szerokości lub usuwać kolumn arkusza. Spowoduje to problemy z późniejszym sformatowaniem dokumentu. Nie należy również usuwać wierszy. Jeżeli wiersz jest zbędny należy go ukryć.</t>
  </si>
  <si>
    <t>Należy wypełniać wyłącznie żółte pola.</t>
  </si>
  <si>
    <t>Pamiętaj, żeby nie ukrywać znaków podziału strony (pogrubiona niebieska linia). W trakcie sporządzania sprawozdania finansowego należy odpowiednio umiejscowić konieczne podziały strony.</t>
  </si>
  <si>
    <t>Należy uważać, żeby nie zmienić skalowania dokumentu. Jeżeli musimy zmienić położenie znaku podziału strony, przesuwamy go do góry lub po prostu usuwamy. Przesuwanie znaków podziału w dół może spowodować zmianę skalowania dokumentu.</t>
  </si>
  <si>
    <t>Wadą Excel'a jest fakt, iż napisany tekst inaczej wygląda na ekranie, a inaczej na wydruku (dotyczy to szerokości tekstu, a w konsekwencji liczby wierszy w danym akapicie. Przykładowo akapit, który na ekranie zajmuje 5 wierszy, na wydruku zmieści się na 4 wierszach. Powstaje przez to podwójny, zamiast pojedynczego, odstęp pomiędzy tym i następnym akapitem. Dlatego po sporządzeniu sprawozdania finansowego należy go wydrukować i sprawdzić odstępy pomiędzy akapitami.</t>
  </si>
  <si>
    <t>Pomimo automatyzacji wielu punktów należy pamiętać, że nasza firma jest specyficzna pod wieloma względami. Dlatego w razie konieczności należy odpowiednio zmodyfikować tekst.</t>
  </si>
  <si>
    <t>Jeżeli okaże się, że automatycznie tłumaczony tekst trzeba zmienić, należy to zrobić w następujący sposób:</t>
  </si>
  <si>
    <t xml:space="preserve">    1. skopiować dotychczasową zawartość,</t>
  </si>
  <si>
    <t xml:space="preserve">    2. wkleić tę zawartość jako wartość (wklej specjalnie jako wartość),</t>
  </si>
  <si>
    <t xml:space="preserve">    3. zastosować inny kolor wypełnienia dla zamienionego tekstu.</t>
  </si>
  <si>
    <t xml:space="preserve">    4. przetłumaczyć.</t>
  </si>
  <si>
    <t>Niektóre nazwy pozycji sprawozdania finansowego w języku polskim mieszczą się w jednej linii, a w języku niemieckim w dwóch liniach (lub odwrotnie). W związku z tym należy sprawdzić, odpowiednio: czy cała nazwa niemieckiej pozycji jest widoczna względnie czy nie należy zmniejszyć wysokości wiersza.</t>
  </si>
  <si>
    <t>Standardowa wysokość wiersza wynosi 12,75 punktów. Zwiększając wysokość wierszy należy pamiętać, aby docelowa wysokość wiersza była wielokrotnością 12,75. Zbyt mała wysokość wiersza spowoduje ukrycie "ogonków" takich liter jak "p", "g", jednocześnie zbyt duża wysokość wiersza objawi się zbyt dużym odstępem pomiędzy akapitami.</t>
  </si>
  <si>
    <t>tabela kursów</t>
  </si>
  <si>
    <t>z dnia</t>
  </si>
  <si>
    <t>EUR</t>
  </si>
  <si>
    <t>USD</t>
  </si>
  <si>
    <t>GBP</t>
  </si>
  <si>
    <t>063/A/NBP/2019</t>
  </si>
  <si>
    <t>124/A/NBP/2019</t>
  </si>
  <si>
    <t>189/A/NBP/2019</t>
  </si>
  <si>
    <t>251/A/NBP/2019</t>
  </si>
  <si>
    <t xml:space="preserve"> 063/A/NBP/2020</t>
  </si>
  <si>
    <t>125/A/NBP/2020</t>
  </si>
  <si>
    <t>191/A/NBP/2020</t>
  </si>
  <si>
    <t>255/A/NBP/2020</t>
  </si>
  <si>
    <t>062/A/NBP/2021</t>
  </si>
  <si>
    <t>124/A/NBP/2021</t>
  </si>
  <si>
    <t>190/A/NBP/2021</t>
  </si>
  <si>
    <t>254/A/NBP/2021</t>
  </si>
  <si>
    <t>063/A/NBP/2022</t>
  </si>
  <si>
    <t>125/A/NBP/2022</t>
  </si>
  <si>
    <t>190/A/NBP/2022</t>
  </si>
  <si>
    <t>252/A/NBP/2022</t>
  </si>
  <si>
    <t>064/A/NBP/2023</t>
  </si>
  <si>
    <t>125/A/NBP/2023</t>
  </si>
  <si>
    <t>189/A/NBP/2023</t>
  </si>
  <si>
    <t>251/A/NBP/2023</t>
  </si>
  <si>
    <t>064/A/NBP/2024</t>
  </si>
  <si>
    <t>125/A/NBP/2024</t>
  </si>
  <si>
    <t>190/A/NBP/2024</t>
  </si>
  <si>
    <t>252/A/NBP/2024</t>
  </si>
  <si>
    <t>zakładka nie jest drukowana, służy nawigacji po pliku</t>
  </si>
  <si>
    <t>Strona tytułowa SF</t>
  </si>
  <si>
    <t>Bilans - korekty</t>
  </si>
  <si>
    <t>Bilans  po korektach</t>
  </si>
  <si>
    <t>RZiS Por. po korektach</t>
  </si>
  <si>
    <t>CF kalkulacja</t>
  </si>
  <si>
    <t>GA</t>
  </si>
  <si>
    <t>UWAGA !!!  Dane z żółtych pól nie są tłumaczone automatycznie.</t>
  </si>
  <si>
    <t>ACHTUNG !!! Angaben in gelben Feldern werden nicht automatisch übersetzt</t>
  </si>
  <si>
    <t>ATTENTION !!! Data from yellow fields are not translated automatically.</t>
  </si>
  <si>
    <t>Reguły wprowadzania:</t>
  </si>
  <si>
    <t>Eingabekonventionen:</t>
  </si>
  <si>
    <t>Entry rules:</t>
  </si>
  <si>
    <t>pola do wypełnienia</t>
  </si>
  <si>
    <t>Einzugebende Felder</t>
  </si>
  <si>
    <t>fields to fill in</t>
  </si>
  <si>
    <t>dane przeniesione z innego arkusza</t>
  </si>
  <si>
    <t>Datenübertragung</t>
  </si>
  <si>
    <t>data transferred from another worksheet</t>
  </si>
  <si>
    <t>pola kontrolne</t>
  </si>
  <si>
    <t>Kontrollfelder</t>
  </si>
  <si>
    <t>control fields</t>
  </si>
  <si>
    <t>formuły</t>
  </si>
  <si>
    <t>Formeln</t>
  </si>
  <si>
    <t>formulas</t>
  </si>
  <si>
    <t>Wprowadź odpowiednie dane:</t>
  </si>
  <si>
    <t>Füge die entsprechenden Daten ein:</t>
  </si>
  <si>
    <t>Enter relevant data:</t>
  </si>
  <si>
    <t>nazwa Spółki</t>
  </si>
  <si>
    <t>Firma der Gesellschaft</t>
  </si>
  <si>
    <t>name of the Company</t>
  </si>
  <si>
    <t>ulica i numer</t>
  </si>
  <si>
    <t>Straße und Hausnummer</t>
  </si>
  <si>
    <t>street and number</t>
  </si>
  <si>
    <t>kod pocztowy</t>
  </si>
  <si>
    <t>PLZ</t>
  </si>
  <si>
    <t>postal code</t>
  </si>
  <si>
    <t>siedziba</t>
  </si>
  <si>
    <t>Sitz</t>
  </si>
  <si>
    <t>registered office</t>
  </si>
  <si>
    <t>Dzień bilansowy</t>
  </si>
  <si>
    <t>Bilanzstichtag</t>
  </si>
  <si>
    <t>Balance sheet date</t>
  </si>
  <si>
    <t>rok</t>
  </si>
  <si>
    <t>Jahr</t>
  </si>
  <si>
    <t>year</t>
  </si>
  <si>
    <t>miesiąc</t>
  </si>
  <si>
    <t>Monat</t>
  </si>
  <si>
    <t>month</t>
  </si>
  <si>
    <t>dzień</t>
  </si>
  <si>
    <t>Tag</t>
  </si>
  <si>
    <t>day</t>
  </si>
  <si>
    <t>Rok obrotowy rozpoczyna się:</t>
  </si>
  <si>
    <t>Das Geschäftsjahr beginnt am:</t>
  </si>
  <si>
    <t>The financial year commences at:</t>
  </si>
  <si>
    <t>Poprzedni dzień bilansowy</t>
  </si>
  <si>
    <t>Voriger Bilanzstichtag</t>
  </si>
  <si>
    <t>Previous balance sheet date</t>
  </si>
  <si>
    <t>Dzień bilansowy sprzed 2 lat</t>
  </si>
  <si>
    <t>Bilanzstichtag vor 2 Jahren</t>
  </si>
  <si>
    <t>Balance sheet date 2 years ago</t>
  </si>
  <si>
    <t>Spółka sporządza rachunek zysków i strat w wersji</t>
  </si>
  <si>
    <t>Die Gewinn- und Verlustrechnung wird erstellt nach dem</t>
  </si>
  <si>
    <t>The Company prepares the income statement using</t>
  </si>
  <si>
    <t>porównawczej</t>
  </si>
  <si>
    <t xml:space="preserve">Gesamtkostenverfahren </t>
  </si>
  <si>
    <t>the nature of expense method</t>
  </si>
  <si>
    <t>kalkulacyjnej</t>
  </si>
  <si>
    <t>Umsatzkostenverfahren</t>
  </si>
  <si>
    <t>the function of expense method</t>
  </si>
  <si>
    <t>Spółka sporządza CF w wersji</t>
  </si>
  <si>
    <t>Die Kapitalflussrechnung wird erstellt nach</t>
  </si>
  <si>
    <t>The Company prepares the cash flow statement using</t>
  </si>
  <si>
    <t>nie sporządza</t>
  </si>
  <si>
    <t>trifft nicht zu</t>
  </si>
  <si>
    <t>not applicable</t>
  </si>
  <si>
    <t>bezpośredniej</t>
  </si>
  <si>
    <t>der direkten Methode</t>
  </si>
  <si>
    <t>the direct method</t>
  </si>
  <si>
    <t>pośredniej</t>
  </si>
  <si>
    <t>der indirekten Methode</t>
  </si>
  <si>
    <t>the indirect method</t>
  </si>
  <si>
    <t>Data sporządzenia sprawozdania finansowego</t>
  </si>
  <si>
    <t>Datum der Erstellung des Jahresabschlusses</t>
  </si>
  <si>
    <t>Date of preparation of the financial statements</t>
  </si>
  <si>
    <t>Sprawozdanie finansowe</t>
  </si>
  <si>
    <t>Jahresabschluss</t>
  </si>
  <si>
    <t>Financial statements</t>
  </si>
  <si>
    <t>FORMUŁA</t>
  </si>
  <si>
    <t xml:space="preserve">SPRAWOZDANIE FINANSOWE SPÓŁKI SPORZĄDZONE ZOSTAŁO W WYMAGANEJ PRZEZ USTAWĘ FORMIE ELEKTRONICZNEJ. </t>
  </si>
  <si>
    <t xml:space="preserve">DER JAHRESABSCHLUSS WURDE IN DER GESETZLICH GEFORDERTEN ELEKTRONISCHEN FORM ERSTELLT. </t>
  </si>
  <si>
    <t xml:space="preserve">THE COMPANY'S FINANCIAL STATEMENTS HAVE BEEN PREPARED IN ELECTRONIC FORMAT, AS PRESCRIBED BY THE ACT. </t>
  </si>
  <si>
    <r>
      <t>SPRAWOZDANIE FINANSOWE</t>
    </r>
    <r>
      <rPr>
        <sz val="10"/>
        <color rgb="FFFF0000"/>
        <rFont val="Frutiger CE 45 Light"/>
        <charset val="238"/>
      </rPr>
      <t xml:space="preserve"> ODDZIAŁU SPÓŁKI ZAGRANICZNEJ</t>
    </r>
    <r>
      <rPr>
        <sz val="10"/>
        <rFont val="Frutiger CE 45 Light"/>
        <charset val="238"/>
      </rPr>
      <t xml:space="preserve"> SPORZĄDZONE ZOSTAŁO W WYMAGANEJ PRZEZ USTAWĘ FORMIE ELEKTRONICZNEJ. </t>
    </r>
  </si>
  <si>
    <t xml:space="preserve">THE BRANCH OFFICE'S FINANCIAL STATEMENTS HAVE BEEN PREPARED IN ELECTRONIC FORMAT, AS PRESCRIBED BY THE ACT. </t>
  </si>
  <si>
    <t>NINIEJSZY DOKUMENT STANOWI JEDYNIE KOPIĘ W/W SPRAWOZDANIA FINANSOWEGO.</t>
  </si>
  <si>
    <t>DIESES DOKUMENT STELLT LEDIGLICH EINE KOPIE DES O.G. JAHRESABSCHLUSSES DAR.</t>
  </si>
  <si>
    <t>THIS DOCUMENT IS ONLY A COPY OF THE AFOREMENTIONED FINANCIAL STATEMENTS.</t>
  </si>
  <si>
    <t>ZAŁĄCZNIK 1 DO SPRAWOZDANIA FINANSOWEGO SPORZĄDZONEGO W FORMIE ELEKTRONICZNEJ - INFORMACJE DODATKOWE</t>
  </si>
  <si>
    <t>ANLAGE NR. 1 ZUM IN ELEKTRONISCHER FORM ERSTELLTEN JAHRESABSCHLUSS – ANHANG</t>
  </si>
  <si>
    <t>APPENDIX 1 TO THE FINANCIAL STATEMENTS PREPARED IN ELECTRONIC FORMAT - NOTES TO THE FINANCIAL STATEMENTS</t>
  </si>
  <si>
    <t>WPROWADZENIE</t>
  </si>
  <si>
    <t>WPROWADZENIE DO SPRAWOZDANIA FINANSOWEGO</t>
  </si>
  <si>
    <t>EINLEITUNG ZUM JAHRESABSCHLUSS</t>
  </si>
  <si>
    <t>INTRODUCTION TO THE FINANCIAL STATEMENTS</t>
  </si>
  <si>
    <t>Nazwa jednostki:</t>
  </si>
  <si>
    <t>Firma der Gesellschaft:</t>
  </si>
  <si>
    <t>Name of the Company:</t>
  </si>
  <si>
    <t>Siedziba jednostki:</t>
  </si>
  <si>
    <t>Sitz der Gesellschaft:</t>
  </si>
  <si>
    <t xml:space="preserve">Registered office: </t>
  </si>
  <si>
    <t>Podstawowy przedmiot działalności:</t>
  </si>
  <si>
    <t>Hauptunternehmensgegenstand:</t>
  </si>
  <si>
    <t>Basic business activity:</t>
  </si>
  <si>
    <t>Sąd właściwy lub inny organ prowadzący rejestr:</t>
  </si>
  <si>
    <t>Zuständiges Registergericht oder eine andere Registrierungsbehörde:</t>
  </si>
  <si>
    <t>Competent court or another body keeping the register:</t>
  </si>
  <si>
    <t>Czas trwania działalności jednostki</t>
  </si>
  <si>
    <t>Dauer der Unternehmenstätigkeit der Gesellschaft</t>
  </si>
  <si>
    <t>Duration of the Company's business activity</t>
  </si>
  <si>
    <t>Okres objęty sprawozdaniem finansowym:</t>
  </si>
  <si>
    <t>Berichtszeitraum:</t>
  </si>
  <si>
    <t>Period covered by the financial statements:</t>
  </si>
  <si>
    <t>Założenie kontynuacji działalności</t>
  </si>
  <si>
    <t>Annahme der Unternehmensfortführung</t>
  </si>
  <si>
    <t>Going concern assumption</t>
  </si>
  <si>
    <t xml:space="preserve">Sprawozdanie finansowe zostało sporządzone przy założeniu kontynuowania działalności gospodarczej przez Spółkę.  </t>
  </si>
  <si>
    <t xml:space="preserve">Der Jahresabschluss wurde unter der Annahme der Unternehmensfortführung erstellt. </t>
  </si>
  <si>
    <t>The financial statements were prepared assuming that the Company will continue as a going concern.</t>
  </si>
  <si>
    <r>
      <t xml:space="preserve">Sprawozdanie finansowe zostało sporządzone przy założeniu kontynuowania działalności gospodarczej przez </t>
    </r>
    <r>
      <rPr>
        <sz val="10"/>
        <color rgb="FFFF0000"/>
        <rFont val="Arial"/>
        <family val="2"/>
        <charset val="238"/>
      </rPr>
      <t>Oddział.</t>
    </r>
    <r>
      <rPr>
        <sz val="10"/>
        <rFont val="Arial"/>
        <family val="2"/>
      </rPr>
      <t xml:space="preserve">  </t>
    </r>
  </si>
  <si>
    <t xml:space="preserve">Sprawozdanie finansowe zostało sporządzone przy braku założenia kontynuowania działalności gospodarczej przez Spółkę.  </t>
  </si>
  <si>
    <t>Der Jahresabschluss wurde erstellt unter der Annahme, dass die Gesellschaft ihre Unternehmenstätigkeit nicht fortführen wird.</t>
  </si>
  <si>
    <t>The financial statements were prepared assuming that the Company will not continue as a going concern.</t>
  </si>
  <si>
    <r>
      <t xml:space="preserve">Sprawozdanie finansowe zostało sporządzone przy braku założenia kontynuowania działalności gospodarczej przez </t>
    </r>
    <r>
      <rPr>
        <sz val="10"/>
        <color rgb="FFFF0000"/>
        <rFont val="Arial"/>
        <family val="2"/>
        <charset val="238"/>
      </rPr>
      <t>Oddział</t>
    </r>
    <r>
      <rPr>
        <sz val="10"/>
        <rFont val="Arial"/>
        <family val="2"/>
      </rPr>
      <t xml:space="preserve">.  </t>
    </r>
  </si>
  <si>
    <t>Nie istnieją żadne okoliczności wskazujące na zagrożenie dla kontynuowania działalności przez Spółkę.</t>
  </si>
  <si>
    <t xml:space="preserve">Es liegen keine Umstände vor, die auf eine Gefährdung der Unternehmensfortführung hinweisen würden. </t>
  </si>
  <si>
    <t>There are no circumstances indicating any threat to the Company's ability to continue as a going concern.</t>
  </si>
  <si>
    <r>
      <t xml:space="preserve">Nie istnieją żadne okoliczności wskazujące na zagrożenie dla kontynuowania działalności przez </t>
    </r>
    <r>
      <rPr>
        <sz val="10"/>
        <color rgb="FFFF0000"/>
        <rFont val="Arial"/>
        <family val="2"/>
        <charset val="238"/>
      </rPr>
      <t>Oddział.</t>
    </r>
  </si>
  <si>
    <t>Informacja, czy sprawozdanie finansowe jest sporządzone po połączeniu spółek</t>
  </si>
  <si>
    <t xml:space="preserve">Information, ob der Jahresabschluss nach erfolgter Verschmelzung der Gesellschaften erstellt wird </t>
  </si>
  <si>
    <t>Information whether the financial statements were compiled after a company merger</t>
  </si>
  <si>
    <t>Metody wyceny:</t>
  </si>
  <si>
    <t>Bewertungsmethoden:</t>
  </si>
  <si>
    <t>Valuation methods:</t>
  </si>
  <si>
    <t>a) Wartości niematerialne i prawne</t>
  </si>
  <si>
    <t>a) Immaterielle Vermögensgegenstände und Rechte</t>
  </si>
  <si>
    <t>a) Intangible assets</t>
  </si>
  <si>
    <t>Wartości niematerialne i prawne są ujmowane w księgach po cenie ich nabycia i umarzane metodą liniową w okresie:</t>
  </si>
  <si>
    <t>Die immateriellen Vermögensgegenstände und Rechte werden zu Anschaffungskosten in den Büchern erfasst und nach der linearen Methode über folgenden Zeitraum abgeschrieben:</t>
  </si>
  <si>
    <t>Intangible assets are recognised in the books of account at their acquisition cost and amortised on the basis of the straight-line method in the period:</t>
  </si>
  <si>
    <t>Koszty zakończonych prac rozwojowych</t>
  </si>
  <si>
    <t>Entwicklungskosten</t>
  </si>
  <si>
    <t>Research and development costs</t>
  </si>
  <si>
    <t>Wartość firmy</t>
  </si>
  <si>
    <t>Geschäfts- oder Firmenwert</t>
  </si>
  <si>
    <t>Goodwill</t>
  </si>
  <si>
    <t>Inne wartości niematerialne i prawne</t>
  </si>
  <si>
    <t>Sonstige immaterielle Vermögensgegenstände und Rechte</t>
  </si>
  <si>
    <t>Other intangible assets</t>
  </si>
  <si>
    <t>b) Środki trwałe</t>
  </si>
  <si>
    <t>b) Sachanlagen</t>
  </si>
  <si>
    <t>b) Tangible assets</t>
  </si>
  <si>
    <t>prawo wieczystego użytkowania gruntu</t>
  </si>
  <si>
    <t>Erbnießbrauchrecht an Grundstücken</t>
  </si>
  <si>
    <t>perpetual usufruct right</t>
  </si>
  <si>
    <t>budynki, lokale, prawa do lokali i obiekty inżynierii lądowej i wodnej</t>
  </si>
  <si>
    <t>Gebäude, Räumlichkeiten und Rechte daran sowie Hoch-, Tief- und Wasserbauten</t>
  </si>
  <si>
    <t>buildings, premises and engineering constructions</t>
  </si>
  <si>
    <t>urządzenia techniczne i maszyny</t>
  </si>
  <si>
    <t>technische Anlagen und Maschinen</t>
  </si>
  <si>
    <t>technical equipment and machinery</t>
  </si>
  <si>
    <t>środki transportu</t>
  </si>
  <si>
    <t>Transportmittel</t>
  </si>
  <si>
    <t>vehicles</t>
  </si>
  <si>
    <t>inne środki trwałe</t>
  </si>
  <si>
    <t>sonstige Sachanlagen</t>
  </si>
  <si>
    <t>other tangible assets</t>
  </si>
  <si>
    <t>Środki trwałe podlegają okresowym aktualizacjom wyceny według zasad określonych przez Ministra Finansów.</t>
  </si>
  <si>
    <t>Die Sachanlagen werden nach den durch das Finanzministerium festgelegten Prinzipien periodisch neubewertet.</t>
  </si>
  <si>
    <t>Tangible assets are subject to periodical revaluation in compliance with the principles specified by the Minister of Finance.</t>
  </si>
  <si>
    <t>c) Środki trwałe w budowie</t>
  </si>
  <si>
    <t>c) Anlagen im Bau</t>
  </si>
  <si>
    <t>c) Assets under construction</t>
  </si>
  <si>
    <t>d) Inwestycje</t>
  </si>
  <si>
    <t>d) Investitionen</t>
  </si>
  <si>
    <t>d) Investments</t>
  </si>
  <si>
    <t>Inwestycje długoterminowe wycenia się następująco:</t>
  </si>
  <si>
    <t>Die langfristigen Investitionen werden wie folgt bewertet:</t>
  </si>
  <si>
    <t>Non-current investments are valued as follows:</t>
  </si>
  <si>
    <t>Inwestycje krótkoterminowe wycenia się następująco:</t>
  </si>
  <si>
    <t>Die kurzfristigen Investitionen werden wie folgt bewertet:</t>
  </si>
  <si>
    <t>Current investments are valued as follows:</t>
  </si>
  <si>
    <t>e) Zapasy</t>
  </si>
  <si>
    <t>e) Vorräte</t>
  </si>
  <si>
    <t>e) Inventories</t>
  </si>
  <si>
    <t>Zapasy wycenia się następująco:</t>
  </si>
  <si>
    <t>Die Vorräte werden wie folgt bewertet:</t>
  </si>
  <si>
    <t xml:space="preserve">Inventories are valued as follows: </t>
  </si>
  <si>
    <t>f) Należności</t>
  </si>
  <si>
    <t>f) Forderungen</t>
  </si>
  <si>
    <t>f) Receivables</t>
  </si>
  <si>
    <t>g) Rezerwy</t>
  </si>
  <si>
    <t>g) Rückstellungen</t>
  </si>
  <si>
    <t>g) Provisions</t>
  </si>
  <si>
    <t>Rezerwy tworzone są według następujących zasad:</t>
  </si>
  <si>
    <t>Die Rückstellungen werden nach folgenden Prinzipien gebildet:</t>
  </si>
  <si>
    <t>Provisions are made in compliance with the following principles:</t>
  </si>
  <si>
    <t>h) Zobowiązania</t>
  </si>
  <si>
    <t>h) Verbindlichkeiten</t>
  </si>
  <si>
    <t>h) Liabilities</t>
  </si>
  <si>
    <t>Sposób sporządzania sprawozdania finansowego</t>
  </si>
  <si>
    <t>Methode der Erstellung des Jahresabschlusses</t>
  </si>
  <si>
    <t>Method of preparing the financial statements</t>
  </si>
  <si>
    <t>Spółka sporządza rachunek zysków i strat w wersji porównawczej.</t>
  </si>
  <si>
    <t>Die Gewinn- und Verlustrechnung wird von der Gesellschaft nach dem Gesamtkostenverfahren erstellt.</t>
  </si>
  <si>
    <t>The Company prepares the income statement using the nature of expense method.</t>
  </si>
  <si>
    <r>
      <rPr>
        <sz val="10"/>
        <color rgb="FFFF0000"/>
        <rFont val="Arial"/>
        <family val="2"/>
        <charset val="238"/>
      </rPr>
      <t>Oddział</t>
    </r>
    <r>
      <rPr>
        <sz val="10"/>
        <rFont val="Arial"/>
        <family val="2"/>
      </rPr>
      <t xml:space="preserve"> sporządza rachunek zysków i strat w wersji porównawczej.</t>
    </r>
  </si>
  <si>
    <t>Spółka sporządza rachunek zysków i strat w wersji kalkulacyjnej.</t>
  </si>
  <si>
    <t>Die Gewinn- und Verlustrechnung wird von der Gesellschaft nach dem Umsatzkostenverfahren erstellt.</t>
  </si>
  <si>
    <t>The Company prepares the income statement using the function of expense method.</t>
  </si>
  <si>
    <r>
      <rPr>
        <sz val="10"/>
        <color rgb="FFFF0000"/>
        <rFont val="Arial"/>
        <family val="2"/>
        <charset val="238"/>
      </rPr>
      <t>Oddział</t>
    </r>
    <r>
      <rPr>
        <sz val="10"/>
        <rFont val="Arial"/>
        <family val="2"/>
      </rPr>
      <t xml:space="preserve"> sporządza rachunek zysków i strat w wersji kalkulacyjnej.</t>
    </r>
  </si>
  <si>
    <t>Rachunek przepływów pieniężnych sporządzany jest metodą pośrednią.</t>
  </si>
  <si>
    <t>Die Kapitalflussrechnung wird nach der indirekten Methode erstellt.</t>
  </si>
  <si>
    <t>The cash flow statement is prepared using the indirect method.</t>
  </si>
  <si>
    <t>Rachunek przepływów pieniężnych sporządzany jest metodą bezpośrednią.</t>
  </si>
  <si>
    <t>Die Kapitalflussrechnung wird nach der direkten Methode erstellt.</t>
  </si>
  <si>
    <t>The cash flow statement is prepared using the direct method.</t>
  </si>
  <si>
    <t>Pozostałe</t>
  </si>
  <si>
    <t>Sonstige</t>
  </si>
  <si>
    <t>Other</t>
  </si>
  <si>
    <t>Dane identyfikujące jednostkę</t>
  </si>
  <si>
    <t>Identifikationsangaben der Gesellschaft</t>
  </si>
  <si>
    <t>Company's identification data</t>
  </si>
  <si>
    <t>NIP:</t>
  </si>
  <si>
    <t>Steuer-IdNr. (NIP):</t>
  </si>
  <si>
    <t>Tax ID number NIP:</t>
  </si>
  <si>
    <t>KRS:</t>
  </si>
  <si>
    <t>Landesgerichtsregister (KRS):</t>
  </si>
  <si>
    <t>KRS number:</t>
  </si>
  <si>
    <t>Nazwa pełna jednostki:</t>
  </si>
  <si>
    <t>Volle Firma der Gesellschaft:</t>
  </si>
  <si>
    <t>Company's full name:</t>
  </si>
  <si>
    <t>Dane i adres siedziby</t>
  </si>
  <si>
    <t>Angaben und Sitzanschrift</t>
  </si>
  <si>
    <t>Registered office and address:</t>
  </si>
  <si>
    <t>Ulica:</t>
  </si>
  <si>
    <t>Straße:</t>
  </si>
  <si>
    <t>Street:</t>
  </si>
  <si>
    <t>Nr domu:</t>
  </si>
  <si>
    <t>Hausnr.:</t>
  </si>
  <si>
    <t>House no.:</t>
  </si>
  <si>
    <t>Nr lokalu:</t>
  </si>
  <si>
    <t>Raumnr.:</t>
  </si>
  <si>
    <t>Flat no.:</t>
  </si>
  <si>
    <t>Miejscowość:</t>
  </si>
  <si>
    <t>Ort:</t>
  </si>
  <si>
    <t>City/town:</t>
  </si>
  <si>
    <t>Kod pocztowy:</t>
  </si>
  <si>
    <t>Postleitzahl:</t>
  </si>
  <si>
    <t>Postal code:</t>
  </si>
  <si>
    <t>Poczta:</t>
  </si>
  <si>
    <t>Post:</t>
  </si>
  <si>
    <t>Post office in:</t>
  </si>
  <si>
    <t>Gmina:</t>
  </si>
  <si>
    <t>Gemeinde:</t>
  </si>
  <si>
    <t>Municipality:</t>
  </si>
  <si>
    <t>Powiat:</t>
  </si>
  <si>
    <t>Kreis:</t>
  </si>
  <si>
    <t>District:</t>
  </si>
  <si>
    <t>Województwo:</t>
  </si>
  <si>
    <t>Woiwodschaft:</t>
  </si>
  <si>
    <t>Province:</t>
  </si>
  <si>
    <t>Adres zagraniczny (opcjonalny)</t>
  </si>
  <si>
    <t>Ausländische Anschrift (optional)</t>
  </si>
  <si>
    <t>Foreign address (optional):</t>
  </si>
  <si>
    <t>Kraj:</t>
  </si>
  <si>
    <t>Land:</t>
  </si>
  <si>
    <t>Country:</t>
  </si>
  <si>
    <t>Kody PKD określające podstawową działalność podmiotu</t>
  </si>
  <si>
    <t>PKD-Kodes zur Festlegung des Kerngeschäfts</t>
  </si>
  <si>
    <t>PKD codes describing the Company's basic activity:</t>
  </si>
  <si>
    <t>Ograniczony do:</t>
  </si>
  <si>
    <t>Beschränkt auf:</t>
  </si>
  <si>
    <t>Limited to:</t>
  </si>
  <si>
    <t>data od:</t>
  </si>
  <si>
    <t>Datum vom:</t>
  </si>
  <si>
    <t>date from:</t>
  </si>
  <si>
    <t>data do:</t>
  </si>
  <si>
    <t>Datum bis:</t>
  </si>
  <si>
    <t>date to:</t>
  </si>
  <si>
    <t>Wskazanie, że sprawozdanie finansowe zawiera dane łączne</t>
  </si>
  <si>
    <t>Hinweis darauf, dass der Jahresabschluss Gesamtangaben enthält</t>
  </si>
  <si>
    <t>Information that the financial statements include consolidated data</t>
  </si>
  <si>
    <t>Istnieją poniższe okoliczności wskazujące na zagrożenie kontynuacji działalności:</t>
  </si>
  <si>
    <t>Es bestehen nachfolgende Umstände, die auf eine Gefährdung der Unternehmensfortführung hinweisen:</t>
  </si>
  <si>
    <t>The following circumstances threaten the Company's ability to continue as a going concern:</t>
  </si>
  <si>
    <t>Zarząd Spółki zidentyfikował okoliczności, które mogą powodować niepewność co do zdolności Jednostki do kontynuowania działalności,"&amp;" ale w wyniku ich oceny ustalił, że niepewność ta nie jest znacząca. Szczegóły w/w okoliczności opisano w pkt. 8 Wprowadzenia.</t>
  </si>
  <si>
    <t>Die Geschäftsführung der Gesellschaft hat die Umstände identifiziert, die auf eine mögliche Unsicherheit hinsichtlich der Fähigkeit der Gesellschaft zur Unternehmensfortführung hinweisen. Nach Auffassung der Geschäftsführung der Gesellschaft besteht diese Unsicherheit nicht. Die Details zu den o.g. Umständen wurden in Pkt. 8 der Einleitung beschrieben.</t>
  </si>
  <si>
    <t>The Company's management board has identified circumstances which may cause uncertainty about the Company's ability to continue as a going concern but has assessed such a probability as insignificant. The details of those circumstances are described in item 8 of the Introduction.</t>
  </si>
  <si>
    <t>Zarząd Spółki zidentyfikował okoliczności, które mogą powodować niepewność co do zdolności Jednostki do kontynuowania działalności, ale w wyniku ich oceny ustalił, że niepewność ta nie jest znacząca. Szczegóły w/w okoliczności opisano w pkt. 8 Wprowadzenia oraz w pkt. 9 Dodatkowych informacji i objaśnień.</t>
  </si>
  <si>
    <t>Die Geschäftsführung der Gesellschaft hat die Umstände identifiziert, die auf eine mögliche Unsicherheit hinsichtlich der Fähigkeit der Gesellschaft zur Unternehmensfortführung hinweisen. Nach Auffassung der Geschäftsführung der Gesellschaft besteht diese Unsicherheit nicht. Die Details zu den o.g. Umständen wurden in Pkt. 8 der Einleitung und in Pkt. 9 des Anhangs beschrieben.</t>
  </si>
  <si>
    <t>The Company's management board has identified circumstances which may cause uncertainty about the Company's ability to continue as a going concern but has assessed such a probability as insignificant. The details of those circumstances are described in item 8 of the Introduction and item 9 of the Appendix and explanatory notes.</t>
  </si>
  <si>
    <t>Informacja, czy sprawozdanie finansowe jest sporzadzone po połączeniu spółek</t>
  </si>
  <si>
    <t>Information, ob der Jahresabschluss nach Zusammenschluss der Gesellschaften erstellt wird</t>
  </si>
  <si>
    <t xml:space="preserve">Information whether the financial statements are prepared after a merger </t>
  </si>
  <si>
    <t>Zasady (polityka) rachunkowości</t>
  </si>
  <si>
    <t>Rechnungslegungsgrundsätze (-politik)</t>
  </si>
  <si>
    <t>Accounting principles (policy)</t>
  </si>
  <si>
    <t>Zasady Rachunkowości</t>
  </si>
  <si>
    <t>Rechnungslegungsgrundsätze</t>
  </si>
  <si>
    <t xml:space="preserve">Accounting Principles </t>
  </si>
  <si>
    <t>Sprawozdanie finansowe spółki sporządzone zostało zgodnie z przepisami UoR oraz wprowadzoną przez kierownika jednostki polityką rachunkowości.</t>
  </si>
  <si>
    <r>
      <t xml:space="preserve">Der Jahresabschluss der Gesellschaft wurde gemäß dem RLG-PL und der vom Geschäftsleiter </t>
    </r>
    <r>
      <rPr>
        <sz val="10"/>
        <rFont val="Arial"/>
        <family val="2"/>
        <charset val="238"/>
      </rPr>
      <t>eingeführten</t>
    </r>
    <r>
      <rPr>
        <sz val="10"/>
        <rFont val="Arial"/>
        <family val="2"/>
      </rPr>
      <t xml:space="preserve"> Rechnungslegungspolitik erstellt.</t>
    </r>
  </si>
  <si>
    <t>The Company's financial statements have been prepared in complianace with the provisions of the Accounting Act and the accounting policy adopted by the Company's management.</t>
  </si>
  <si>
    <r>
      <t xml:space="preserve">Sprawozdanie finansowe </t>
    </r>
    <r>
      <rPr>
        <sz val="10"/>
        <color rgb="FFFF0000"/>
        <rFont val="Arial"/>
        <family val="2"/>
        <charset val="238"/>
      </rPr>
      <t>Oddziału</t>
    </r>
    <r>
      <rPr>
        <sz val="10"/>
        <rFont val="Arial"/>
        <family val="2"/>
      </rPr>
      <t xml:space="preserve"> sporządzone zostało zgodnie z przepisami UoR oraz wprowadzoną przez kierownika jednostki polityką rachunkowości.</t>
    </r>
  </si>
  <si>
    <t>Sprawozdanie finansowe spółki sporządzone zostało zgodnie z przepisami UoR.</t>
  </si>
  <si>
    <t>Der Jahresabschluss der Gesellschaft wurde gemäß dem RLG-PL erstellt.</t>
  </si>
  <si>
    <t>The Company's financial statements have been prepared in complianace with the provisions of the Accounting Act.</t>
  </si>
  <si>
    <r>
      <t xml:space="preserve">Sprawozdanie finansowe </t>
    </r>
    <r>
      <rPr>
        <sz val="10"/>
        <color rgb="FFFF0000"/>
        <rFont val="Arial"/>
        <family val="2"/>
        <charset val="238"/>
      </rPr>
      <t>Oddziału</t>
    </r>
    <r>
      <rPr>
        <sz val="10"/>
        <rFont val="Arial"/>
        <family val="2"/>
      </rPr>
      <t xml:space="preserve"> sporządzone zostało zgodnie z przepisami UoR.</t>
    </r>
  </si>
  <si>
    <t>W bieżącym roku obrotowym nie uległy zmianie:</t>
  </si>
  <si>
    <t>Im laufenden Geschäftsjahr änderten sich nicht:</t>
  </si>
  <si>
    <t>In the current financial year, there were no changes to:</t>
  </si>
  <si>
    <t>- zasady rachunkowości;</t>
  </si>
  <si>
    <t>- Rechnungslegungsgrundsätze;</t>
  </si>
  <si>
    <t>- accounting principles;</t>
  </si>
  <si>
    <t>- metody wyceny aktywów i pasywów;</t>
  </si>
  <si>
    <t>- Methoden für die Bewertung der Aktiva und Passiva;</t>
  </si>
  <si>
    <t>- method of measurement of assets and equity and liabilities;</t>
  </si>
  <si>
    <t>- sposób ustalania wyniku finansowego;</t>
  </si>
  <si>
    <t>- Art und Weise der Ermittlung des Jahresergebnisses;</t>
  </si>
  <si>
    <t>- method of determining the net profit (loss);</t>
  </si>
  <si>
    <t>- sposób sporządzenia rachunku zysków i strat oraz rachunku przepływów pieniężnych.</t>
  </si>
  <si>
    <t>- Art und Weise der Erstellung der Gewinn- und Verlustrechnung sowie der Kapitalflussrechnung.</t>
  </si>
  <si>
    <t>- method of preparing the income statement and the cash flow statement.</t>
  </si>
  <si>
    <t>- sposób sporządzenia rachunku zysków i strat.</t>
  </si>
  <si>
    <t>- Art und Weise der Erstellung der Gewinn- und Verlustrechnung.</t>
  </si>
  <si>
    <t>- method of preparing the income statement.</t>
  </si>
  <si>
    <t>Bieżący rok obrotowy jest pierwszym rokiem działalności spółki, dlatego brak w sprawozdaniu finansowym danych za okres porównawczy.</t>
  </si>
  <si>
    <t>Das laufende Geschäftsjahr ist das erste Jahr der Tätigkeit der Gesellschaft, daher enthält der Jahresabschluss keine Angaben für den Vergleichszeitraum.</t>
  </si>
  <si>
    <t>The current financial year is the company’s first year of operations. That is why the financial statements do not include data for the comparative period.</t>
  </si>
  <si>
    <t>Bieżący rok obrotowy jest pierwszym rokiem działalności Oddziału, dlatego brak w sprawozdaniu finansowym danych za okres porównawczy.</t>
  </si>
  <si>
    <t>Das laufende Geschäftsjahr ist das erste Jahr der Tätigkeit der Niederlassung, daher enthält der Jahresabschluss keine Angaben für den Vergleichszeitraum.</t>
  </si>
  <si>
    <t>The current financial year is the Branch Office’s first year of operations. That is why the financial statements do not include data for the comparative period.</t>
  </si>
  <si>
    <t>Metody wyceny</t>
  </si>
  <si>
    <t>Angewandte Bewertungsmethoden</t>
  </si>
  <si>
    <t>Valuation methods</t>
  </si>
  <si>
    <t>Wartości niematerialne i prawne</t>
  </si>
  <si>
    <t>Immaterielle Vermögensgegenstände und Rechte</t>
  </si>
  <si>
    <t>Intangible assets</t>
  </si>
  <si>
    <t xml:space="preserve">Wartości niematerialne i prawne ujmuje się w cenach nabycia lub kosztach wytworzenia pomniejszonych o dokonane odpisy amortyzacyjne. Cena nabycia obejmuje cenę zakupu oraz inne wydatki związane z nabyciem oraz przystosowaniem danego składnika wartości niematerialnych i prawnych do użytkowania. </t>
  </si>
  <si>
    <t xml:space="preserve">Immaterielle Vermögensgegenstände und Rechte werden zu Anschaffungs- oder Herstellungskosten, vermindert um vorgenommene Abschreibungen erfasst. Die Anschaffungskosten umfassen den Einkaufspreis und sonstige Aufwendungen für die Anschaffung sowie für Anpassungen an den betreffenden immateriellen Vermögensgegenständen und Rechten, die ihre Nutzbarkeit gewährleisten. </t>
  </si>
  <si>
    <t xml:space="preserve">Intangible assets are recognised at acquisition or production cost reduced by the amortisation charges made. The acquisition cost includes the purchase price and other expenses associated with acquiring or adapting a given item of the intangible assets for use. </t>
  </si>
  <si>
    <t>Środki trwałe</t>
  </si>
  <si>
    <t>Sachanlagen</t>
  </si>
  <si>
    <t>Tangible assets</t>
  </si>
  <si>
    <t xml:space="preserve">Środki trwałe ujmuje się w cenach nabycia lub kosztach wytworzenia pomniejszonych o dokonane odpisy amortyzacyjne. Cena nabycia obejmuje cenę zakupu oraz inne wydatki związane z nabyciem oraz przystosowaniem danego środka trwałego do użytkowania. </t>
  </si>
  <si>
    <t xml:space="preserve">Sachanlagen werden zu Anschaffungs- oder Herstellungskosten, vermindert um vorgenommene Abschreibungen erfasst. Die Anschaffungskosten umfassen den Einkaufspreis und sonstige Aufwendungen für die Anschaffung sowie für Anpassungen an den betreffenden Sachanlagen, die ihre Nutzbarkeit gewährleisten. </t>
  </si>
  <si>
    <t xml:space="preserve">Tangible assets are recognised at acquisition or production cost reduced by the depreciation charges made. The acquisition cost includes the purchase price and other expenses associated with acquiring of or adapting a given tangible asset for use. </t>
  </si>
  <si>
    <t>Amortyzacja</t>
  </si>
  <si>
    <t>Abschreibungen</t>
  </si>
  <si>
    <t>Depreciation and amortisation</t>
  </si>
  <si>
    <t>Odpisy amortyzacyjne od środków trwałych oraz wartości niematerialnych prawnych dokonywane są na podstawie planu amortyzacji zawierającego kwoty rocznych odpisów i stawki amortyzacji. Umarzania środków trwałych oraz wartości niematerialnych i prawnych dokonuje się w oparciu o aktualny plan amortyzacji. Przy ustalaniu okresu amortyzacji i stawki amortyzacyjnej uwzględnia się okres ekonomicznej użyteczności środka trwałego oraz wartości niematerialnej i prawnej oraz przewidywaną przy likwidacji cenę sprzedaży netto istotnej pozostałości środka trwałego.</t>
  </si>
  <si>
    <t>Abschreibungen auf Sachanlagen und immaterielle Vermögensgegenstände und Rechte erfolgen aufgrund eines Abschreibungsplans, der Jahresabschreibungsbeträge und Abschreibungssätze beinhaltet. Kumulierte Abschreibungen auf Sachanlagen und immaterielle Vermögensgegenstände und Rechte erfolgen gemäß dem aktuellen Abschreibungsplan. Bei Festlegung des Abschreibungszeitraums und Abschreibungssatzes sind die wirtschaftliche Nutzungsdauer der Sachanlagen und immateriellen Vermögensgegenstände und Rechte sowie der bei einer Liquidierung der betreffenden Sachanlage für ihre wesentlichen Restbestandteile voraussichtlich erzielbare Nettoverkaufspreis zu berücksichtigen.</t>
  </si>
  <si>
    <t>Tangible and intangible assets are depreciated and amortised, respectively, on the basis of a depreciation (amortisation) schedule which defines the amounts of annual depreciation (amortisation) charges and depreciation (amortisation) rates. Tangible assets and intangible assets are depreciated and amortised, respectively, on the basis of the valid depreciation (amortisation) schedule. The amortisation/depreciation period and the amortisation/depreciation rate are determined taking into account the economic useful life of a given tangible asset or intangible asset, as well as the estimated net selling price of significant residue of the tangible asset upon liquidation.</t>
  </si>
  <si>
    <t>degresywną</t>
  </si>
  <si>
    <t>degressiv abgeschrieben.</t>
  </si>
  <si>
    <t>the declining balance method.</t>
  </si>
  <si>
    <t xml:space="preserve">Zgodnie z uproszczeniem wynikającym z Art. 3 ust. 6 UoR Spółka nie ujmuje w aktywach trwałych środków trwałych oraz wartości niematerialnych i prawnych użytkowanych na podstawie umów najmu, dzierżawy, leasingu i umów o podobnym charakterze. Kwalifikuje te umowy zgodnie z przepisami prawa podatkowego, tj. ustawy o podatku dochodowym od osób prawnych. </t>
  </si>
  <si>
    <r>
      <t xml:space="preserve">Gemäß der Vereinfachung nach Art. 3 Abs. 6 RLG-PL weist die Gesellschaft Sachanlagen und immaterielle Vermögensgegenstände und Rechte, die auf der Grundlage von Miet-, Pacht-, Leasing- und ähnlichen Verträgen genutzt werden, nicht unter den langfristigen Vermögenswerten aus. Sie qualifiziert diese </t>
    </r>
    <r>
      <rPr>
        <sz val="10"/>
        <rFont val="Arial"/>
        <family val="2"/>
        <charset val="238"/>
      </rPr>
      <t>Verträge</t>
    </r>
    <r>
      <rPr>
        <sz val="10"/>
        <rFont val="Arial"/>
        <family val="2"/>
      </rPr>
      <t xml:space="preserve"> in Übereinstimmung mit den Steuergesetzen, d.h. gemäß dem Körperschaftsteuergesetz.</t>
    </r>
  </si>
  <si>
    <t>By virtue of the simplification scheme stipulated in Article 3(6) of the Accounting Act, the Company does not recognise the tangible and intangible assets used on the basis of rental, leasehold, lease and other similar agreements as non-current assets. Such agreements are qualified in compliance with tax laws, namely the (Polish) Corporate Income Tax Act.</t>
  </si>
  <si>
    <r>
      <t xml:space="preserve">Zgodnie z uproszczeniem wynikającym z Art. 3 ust. 6 UoR </t>
    </r>
    <r>
      <rPr>
        <sz val="10"/>
        <color rgb="FFFF0000"/>
        <rFont val="Arial"/>
        <family val="2"/>
        <charset val="238"/>
      </rPr>
      <t>Oddział</t>
    </r>
    <r>
      <rPr>
        <sz val="10"/>
        <rFont val="Arial"/>
        <family val="2"/>
      </rPr>
      <t xml:space="preserve"> nie ujmuje w aktywach trwałych środków trwałych oraz wartości niematerialnych i prawnych użytkowanych na podstawie umów najmu, dzierżawy, leasingu i umów o podobnym charakterze. Kwalifikuje te umowy zgodnie z przepisami prawa podatkowego, tj. ustawy o podatku dochodowym od osób prawnych. </t>
    </r>
  </si>
  <si>
    <t xml:space="preserve">Spółka stosuje następujące roczne stawki amortyzacyjne: </t>
  </si>
  <si>
    <t xml:space="preserve">Die Abschreibung erfolgt nach folgenden Jahresabschreibungssätzen: </t>
  </si>
  <si>
    <t xml:space="preserve">The Company uses the following annual amortisation (depreciation) rates: </t>
  </si>
  <si>
    <r>
      <rPr>
        <sz val="10"/>
        <color rgb="FFFF0000"/>
        <rFont val="Arial"/>
        <family val="2"/>
        <charset val="238"/>
      </rPr>
      <t>Oddział</t>
    </r>
    <r>
      <rPr>
        <sz val="10"/>
        <rFont val="Arial"/>
        <family val="2"/>
      </rPr>
      <t xml:space="preserve"> stosuje następujące roczne stawki amortyzacyjne: </t>
    </r>
  </si>
  <si>
    <t>Środki trwałe - Stawki amortyzacyjne</t>
  </si>
  <si>
    <r>
      <t>Sachanlagen – Abschreibungss</t>
    </r>
    <r>
      <rPr>
        <sz val="10"/>
        <rFont val="Calibri"/>
        <family val="2"/>
        <charset val="238"/>
      </rPr>
      <t>ä</t>
    </r>
    <r>
      <rPr>
        <sz val="10"/>
        <rFont val="Arial"/>
        <family val="2"/>
        <charset val="238"/>
      </rPr>
      <t>tze</t>
    </r>
  </si>
  <si>
    <t>Tangible assets - depreciation rates</t>
  </si>
  <si>
    <t>Budynki, lokale, prawa do lokali i obiekty inżynierii lądowej i wodnej - 2,5% - 10%</t>
  </si>
  <si>
    <t>Gebäude, Räumlichkeiten und Rechte daran sowie Hoch-, Tief- und Wasserbauten – 2,5% - 10%</t>
  </si>
  <si>
    <t>Buildings, premises, rights to premises, and civil engineering structures - 2,5% - 10%</t>
  </si>
  <si>
    <t>Urządzenia techniczne i maszyny -14% - 30%</t>
  </si>
  <si>
    <t>Technische Anlagen und Maschinen – 14% - 30%</t>
  </si>
  <si>
    <t>Technical equipment and machinery - 14% - 30%</t>
  </si>
  <si>
    <t>Środki transportu - 20%</t>
  </si>
  <si>
    <t>Transportmittel – 20%</t>
  </si>
  <si>
    <t>Vehicles - 20%</t>
  </si>
  <si>
    <t>Pozostałe środki trwałe - 7% - 50%</t>
  </si>
  <si>
    <t>Sonstige Sachanlagen – 7% - 50%</t>
  </si>
  <si>
    <t>Other tangible assets -7% - 50%</t>
  </si>
  <si>
    <t>Wartości niematerialne i prawne - Stawki amortyzacyjne</t>
  </si>
  <si>
    <t>Immaterielle Vermögensgegenstände und Rechte – Abschreibungssätze</t>
  </si>
  <si>
    <t>Intangible assets - depreciation rates</t>
  </si>
  <si>
    <t>Licencje - 20% - 50%</t>
  </si>
  <si>
    <t>Lizenzen – 20% - 50%</t>
  </si>
  <si>
    <t>Licences - 20% - 50%</t>
  </si>
  <si>
    <t>Oprogramowanie- 20%- 5 0%</t>
  </si>
  <si>
    <t>Software – 20% - 50%</t>
  </si>
  <si>
    <t>Software - 20% - 50%</t>
  </si>
  <si>
    <t>Ujmowanie leasingu</t>
  </si>
  <si>
    <t>Erfassung von Leasing</t>
  </si>
  <si>
    <t>Recognition of lease</t>
  </si>
  <si>
    <t>Spółka kwalifikuje umowy leasingowe oraz inne umowy o podobnym charakterze zgodnie z art. 3 ust. 4-5 UoR i nie korzysta z uproszczeń.</t>
  </si>
  <si>
    <t>Die Gesellschaft stuft die Leasingverträge und andere ähnliche Verträge gemäß Art. 3 Abs. 4-5 RLG-PL ein und nimmt keine Vereinfachungen in Anspruch.</t>
  </si>
  <si>
    <t>The Company classifies leases and other similar agreements in accordance with Article 3(4)-(5) of the Accounting Act and does not apply simplified procedures.</t>
  </si>
  <si>
    <r>
      <rPr>
        <sz val="10"/>
        <color rgb="FFFF0000"/>
        <rFont val="Arial"/>
        <family val="2"/>
        <charset val="238"/>
      </rPr>
      <t>Oddział</t>
    </r>
    <r>
      <rPr>
        <sz val="10"/>
        <rFont val="Arial"/>
        <family val="2"/>
      </rPr>
      <t xml:space="preserve"> kwalifikuje umowy leasingowe oraz inne umowy o podobnym charakterze zgodnie z art. 3 ust. 4-5 UoR i nie korzysta z uproszczeń.</t>
    </r>
  </si>
  <si>
    <t>Materiały</t>
  </si>
  <si>
    <t>Roh-, Hilfs- und Betriebsstoffe</t>
  </si>
  <si>
    <t>Raw materials</t>
  </si>
  <si>
    <t>Materiały wykazywane są według cen nabycia, nie wyższych od cen ich sprzedaży na dzień bilansowy. Korektę wyceny do ceny sprzedaży na dzień bilansowy dokonuje się poprzez dokonanie odpisu aktualizującego.</t>
  </si>
  <si>
    <t>Roh-, Hilfs- und Betriebsstoffe werden zu Anschaffungskosten ausgewiesen, die ihre Verkaufspreise zum Bilanzstichtag nicht übersteigen dürfen. Die Korrektur der Bewertung auf den Verkaufspreis zum Bilanzstichtag erfolgt durch Vornahme einer Wertberichtigung.</t>
  </si>
  <si>
    <t>Raw materials are recognised at acquisition cost, not higher than their selling price as of the balance sheet date. Revaluation based on the selling price as of the balance sheet date is performed by way of a value adjustment write-down.</t>
  </si>
  <si>
    <t xml:space="preserve">Cena nabycia obejmuje cenę zakupu oraz inne wydatki związane z nabyciem materiałów. Jeżeli wydatki związane z nabyciem materiałów (np. koszty transportu, ubezpieczenia) nie są istotne, materiały wycenia się według cen zakupu, nie wyższych od cen ich sprzedaży na dzień bilansowy. </t>
  </si>
  <si>
    <t xml:space="preserve">Die Anschaffungskosten umfassen den Einkaufspreis und sonstige mit der Anschaffung der RHB-Stoffe verbundene Aufwendungen. Soweit die mit der Anschaffung der RHB-Stoffe verbundenen Aufwendungen (z.B. Transportkosten, Versicherungskosten) nicht wesentlich sind, erfolgt die Bewertung zu Einkaufspreisen, die die Verkaufspreise zum Bilanzstichtag nicht übersteigen dürfen. </t>
  </si>
  <si>
    <t xml:space="preserve">The acquisition cost includes the purchase price and other expenses associated with the acquisition of raw materials. If such expenses (for instance, cost of transportation, insurance costs, etc.) are not significant, the raw materials are valued at the purchase price not higher than their selling price as of the balance sheet date. </t>
  </si>
  <si>
    <t>Zakupione materiały ujmowane są w księgach pomocniczych w postaci ewidencji ilościowo - wartościowej.</t>
  </si>
  <si>
    <t>Die erworbenen RHB-Stoffe werden mengen- und wertmäßig in den Hilfsbüchern erfasst.</t>
  </si>
  <si>
    <t>Purchased raw materials are recognised in subsidiary ledgers in the form of records by quantity and value.</t>
  </si>
  <si>
    <t>Zakupione materiały ujmowane są w księgach pomocniczych w postaci ewidencji wartościowej.</t>
  </si>
  <si>
    <t>Die erworbenen RHB-Stoffe werden wertmäßig in den Hilfsbüchern erfasst.</t>
  </si>
  <si>
    <t>Purchased raw materials are recognised in subsidiary ledgers in the form of records by value.</t>
  </si>
  <si>
    <t>Zakupione materiały odpisywane są w koszty zużycia materiałów w dacie ich zakupu.</t>
  </si>
  <si>
    <t>Die erworbenen RHB-Stoffe werden unter dem Einkaufsdatum direkt als Aufwand abgeschrieben.</t>
  </si>
  <si>
    <t>Purchased raw materials are depreciated as costs of raw materials used at the raw materials’ purchase date.</t>
  </si>
  <si>
    <t>Zakupione materiały, dla których nie prowadzi się ewidencji magazynowej, podlegają inwentaryzacji metodą spisu z natury na koniec roku obrotowego.</t>
  </si>
  <si>
    <t>Für die erworbenen RHB-Stoffe, über die kein Lagerverzeichnis geführt wird, ist eine körperliche Bestandsaufnahme zum Ende des Geschäftsjahres durchzuführen.</t>
  </si>
  <si>
    <t>Purchased raw materials for which no inventory records are kept are subject to stocktaking by physical count at the end of the financial year.</t>
  </si>
  <si>
    <t>Dla potrzeb wyceny rozchodu towarów handlowych wykorzystywana jest metoda FIFO / średniej ważonej.</t>
  </si>
  <si>
    <r>
      <t>Der Abgang der Handelswaren erfolgt nach der FIFO-Methode/</t>
    </r>
    <r>
      <rPr>
        <sz val="10"/>
        <color rgb="FFFF0000"/>
        <rFont val="Arial"/>
        <family val="2"/>
      </rPr>
      <t>nach dem gewogenen Durchschnittspreis.</t>
    </r>
  </si>
  <si>
    <t>Merchandise disposals are measured using the first-in first-out (FIFO) method.</t>
  </si>
  <si>
    <r>
      <t xml:space="preserve">O przydatności lub cechach użytkowych zapasów materiałów w celu ustalenia konieczności dokonania (lub nie) odpisów aktualizujących decyduje każdorazowo kierownik </t>
    </r>
    <r>
      <rPr>
        <sz val="10"/>
        <color rgb="FFFF0000"/>
        <rFont val="Arial"/>
        <family val="2"/>
        <charset val="238"/>
      </rPr>
      <t xml:space="preserve">jednostki </t>
    </r>
    <r>
      <rPr>
        <sz val="10"/>
        <rFont val="Arial"/>
        <family val="2"/>
      </rPr>
      <t>podczas inwentaryzacji rocznej.</t>
    </r>
  </si>
  <si>
    <t>Über die Verwendbarkeit und Nutzbarkeit der Vorräte an RHB-Stoffen (zwecks Feststellung, ob Wertberichtigungen vorgenommen werden müssen oder nicht) entscheidet jeweils der Geschäftsleiter während der Jahresinventur.</t>
  </si>
  <si>
    <t>Decisions as to merchantability or usability of the raw materials in stock, for the purpose of establishing whether or not value adjustment write-downs should be made, are taken by the Company's managing body during annual stocktaking.</t>
  </si>
  <si>
    <t xml:space="preserve">Towary handlowe </t>
  </si>
  <si>
    <t xml:space="preserve">Handelswaren </t>
  </si>
  <si>
    <t xml:space="preserve">Merchandise </t>
  </si>
  <si>
    <t>Towary handlowe wykazywane są według cen nabycia, nie wyższych od cen ich sprzedaży na dzień bilansowy. Korektę wyceny do ceny sprzedaży na dzień bilansowy dokonuje się poprzez dokonanie odpisu aktualizującego.</t>
  </si>
  <si>
    <t>Handelswaren werden zu Anschaffungskosten ausgewiesen, die ihre Verkaufspreise zum Bilanzstichtag nicht übersteigen dürfen. Die Korrektur der Bewertung auf den Verkaufspreis zum Bilanzstichtag erfolgt durch Vornahme einer Wertberichtigung.</t>
  </si>
  <si>
    <t>Merchandise is recognised at acquisition cost, not higher than its selling price as of the balance sheet date. Revaluation based on the selling price as of the balance sheet date is performed by way of a value adjustment write-down.</t>
  </si>
  <si>
    <t>Cena nabycia obejmuje cenę zakupu oraz inne wydatki związane z nabyciem towarów. Jeżeli wydatki związane z nabyciem towarów (np. koszty transportu, ubezpieczenia) nie są istotne, towary wycenia się według cen zakupu, nie wyższych od cen ich sprzedaży na dzień bilansowy.</t>
  </si>
  <si>
    <t>Die Anschaffungskosten umfassen den Einkaufspreis und sonstige mit der Anschaffung der Handelswaren verbundene Aufwendungen. Soweit die mit der Anschaffung der Handelswaren verbundenen Aufwendungen (z.B. Transportkosten, Versicherungskosten) nicht wesentlich sind, erfolgt die Bewertung zu Einkaufspreisen, die die Verkaufspreise zum Bilanzstichtag nicht übersteigen dürfen.</t>
  </si>
  <si>
    <t>The acquisition cost includes the purchase price and other expenses associated with the acquiring of merchandise. If expenses associated with acquiring merchandise (for instance, cost of transportation, insurance costs, etc.) are not significant, merchandise is valued at the purchase price not higher than its selling price as of the balance sheet date.</t>
  </si>
  <si>
    <t>Zakupione towary handlowe ujmowane są w księgach pomocniczych w postaci ewidencji ilościowo-wartościowej.</t>
  </si>
  <si>
    <t>Die erworbenen Handelswaren werden mengen- und wertmäßig in den Hilfsbüchern erfasst.</t>
  </si>
  <si>
    <t>Purchased merchandise is recognised in the subsidiary ledgers in the form of records by quantity and value.</t>
  </si>
  <si>
    <t>Zakupione towary handlowe ujmowane są w księgach pomocniczych w postaci ewidencji ilościowej.</t>
  </si>
  <si>
    <t>Die erworbenen Handelswaren werden mengenmäßig in den Hilfsbüchern erfasst.</t>
  </si>
  <si>
    <t>Purchased merchandise is recognised in the subsidiary ledgers in the form of records by quantity.</t>
  </si>
  <si>
    <t>Zakupione towary handlowe ujmowane są w księgach pomocniczych w postaci ewidencji wartościowej.</t>
  </si>
  <si>
    <t>Die erworbenen Handelswaren werden wertmäßig in den Hilfsbüchern erfasst.</t>
  </si>
  <si>
    <t>Purchased merchandise is recognised in the subsidiary ledgers in the form of records by value.</t>
  </si>
  <si>
    <t>Zakupione towary handlowe odpisywane są w koszty zużycia towarów w dacie ich zakupu.</t>
  </si>
  <si>
    <t>Die erworbenen Handelswaren werden unter dem Einkaufsdatum direkt als Aufwand abgeschrieben.</t>
  </si>
  <si>
    <t>Purchased merchandise is depreciated as costs of merchandise used at the merchandise purchase date.</t>
  </si>
  <si>
    <t>Zakupione towary handlowe, dla których nie prowadzi się ewidencji magazynowej, podlegają inwentaryzacji metodą spisu z natury na koniec każdego miesiąca, na koniec każdego kwartału, na koniec roku obrotowego.</t>
  </si>
  <si>
    <t>Für die erworbenen Handelswaren, über die kein Lagerverzeichnis geführt wird, ist eine körperliche Bestandsaufnahme (zum Ende eines jeden Monats, zum Ende eines jeden Quartals oder zum Ende des Geschäftsjahres) durchzuführen.</t>
  </si>
  <si>
    <t>Purchased merchandise for which no inventory records are kept is subject to stocktaking by physical count at the end of each month, at the end of each quarter, at the end of the financial year.</t>
  </si>
  <si>
    <t>Cenę nabycia towarów spełniających warunki zaliczania ich do aktywów nie zwiększa się o koszty obsługi zobowiązań zaciągniętych w celu finansowania zapasu towarów.</t>
  </si>
  <si>
    <t>Die Anschaffungskosten der Waren, die unter Aktiva ausgewiesen werden, werden nicht um die Finanzierungskosten für den Erwerb der Waren erhöht.</t>
  </si>
  <si>
    <t>The acquisition cost of merchandise which meets the conditions for its classification as an asset is not subject to an increase by costs of servicing the liabilities incurred for the purpose of financing the merchandise in stock.</t>
  </si>
  <si>
    <r>
      <t xml:space="preserve">O przydatności lub cechach użytkowych zapasów towarów w celu ustalenia konieczności dokonania (lub nie) odpisów aktualizujących decyduje każdorazowo kierownik </t>
    </r>
    <r>
      <rPr>
        <sz val="10"/>
        <color rgb="FFFF0000"/>
        <rFont val="Arial"/>
        <family val="2"/>
        <charset val="238"/>
      </rPr>
      <t xml:space="preserve">jednostki </t>
    </r>
    <r>
      <rPr>
        <sz val="10"/>
        <rFont val="Arial"/>
        <family val="2"/>
      </rPr>
      <t>podczas inwentaryzacji rocznej.</t>
    </r>
  </si>
  <si>
    <t>Über die Verwendbarkeit und Nutzbarkeit der Vorräte an Waren (zwecks Feststellung, ob Wertberichtigungen vorgenommen werden müssen oder nicht) entscheidet jeweils der Geschäftsleiter während der Jahresinventur.</t>
  </si>
  <si>
    <t>Decisions as to merchantability or usability of the merchandise in stock, for the purpose of establishing whether or not value adjustment write-downs should be made, are taken by the Company's managing body during annual stocktaking.</t>
  </si>
  <si>
    <t>Wyroby gotowe</t>
  </si>
  <si>
    <t>Fertige Erzeugnisse</t>
  </si>
  <si>
    <t>Finished goods</t>
  </si>
  <si>
    <t>Wytworzone wyroby gotowe ujmowane są w księgach pomocniczych w postaci ewidencji ilościowo-wartościowej.</t>
  </si>
  <si>
    <t>Die fertigen Erzeugnisse werden mengen- und wertmäßig in den Hilfsbüchern erfasst.</t>
  </si>
  <si>
    <t>Manufactured finished goods are recognised in the subsidiary ledgers in the form of records by quantity and value.</t>
  </si>
  <si>
    <t>Wytworzone wyroby gotowe ujmowane są w księgach pomocniczych w postaci ewidencji ilościowej.</t>
  </si>
  <si>
    <t>Die fertigen Erzeugnisse werden mengenmäßig in den Hilfsbüchern erfasst.</t>
  </si>
  <si>
    <t>Manufactured finished goods are recognised in the subsidiary ledgers in the form of records by quantity.</t>
  </si>
  <si>
    <t>Wytworzone wyroby gotowe ujmowane są w księgach pomocniczych w postaci ewidencji wartościowej.</t>
  </si>
  <si>
    <t>Die fertigen Erzeugnisse werden wertmäßig in den Hilfsbüchern erfasst.</t>
  </si>
  <si>
    <t>Manufactured finished goods are recognised in the subsidiary ledgers in the form of records by value.</t>
  </si>
  <si>
    <t>Wytworzone wyroby gotowe odpisywane są w koszty w dacie ich wytworzenia.</t>
  </si>
  <si>
    <t>Die fertigen Erzeugnisse werden unter dem Herstellungsdatum direkt als Aufwand abgeschrieben.</t>
  </si>
  <si>
    <t>Manufactured finished goods are recognised as costs at their production date.</t>
  </si>
  <si>
    <t xml:space="preserve">Wytworzone wyroby gotowe, dla których nie prowadzi się ewidencji magazynowej, podlegają inwentaryzacji metodą spisu z natury na koniec każdego miesiąca. </t>
  </si>
  <si>
    <t xml:space="preserve">Für die fertigen Erzeugnisse, über die kein Lagerverzeichnis geführt wird, ist eine körperliche Bestandsaufnahme zum Ende eines jeden Monats durchzuführen. </t>
  </si>
  <si>
    <t xml:space="preserve">Manufactured finished goods for which no inventory records are kept are subject to stocktaking by physical count at the end of each month. </t>
  </si>
  <si>
    <t>Wytworzone wyroby gotowe wyceniane są wg planowych kosztów wytworzenia wtedy, gdy różnica między planowanym kosztem wytworzenia a kosztem rzeczywistym nie jest znaczna.</t>
  </si>
  <si>
    <r>
      <t xml:space="preserve">Die fertigen Erzeugnisse werden dann zu den geplanten Herstellungskosten bewertet, </t>
    </r>
    <r>
      <rPr>
        <sz val="10"/>
        <color rgb="FFFF0000"/>
        <rFont val="Arial"/>
        <family val="2"/>
      </rPr>
      <t>wenn</t>
    </r>
    <r>
      <rPr>
        <sz val="10"/>
        <rFont val="Arial"/>
        <family val="2"/>
      </rPr>
      <t xml:space="preserve"> die </t>
    </r>
    <r>
      <rPr>
        <sz val="10"/>
        <color rgb="FFFF0000"/>
        <rFont val="Arial"/>
        <family val="2"/>
      </rPr>
      <t>Differenz</t>
    </r>
    <r>
      <rPr>
        <sz val="10"/>
        <rFont val="Arial"/>
        <family val="2"/>
      </rPr>
      <t xml:space="preserve"> zwischen den geplanten und den tatsächlichen Herstellungskosten gering </t>
    </r>
    <r>
      <rPr>
        <sz val="10"/>
        <color rgb="FFFF0000"/>
        <rFont val="Arial"/>
        <family val="2"/>
      </rPr>
      <t>ist.</t>
    </r>
  </si>
  <si>
    <t>Finished goods are measured at the target production costs when the difference between the target and the actual production costs is not significant.</t>
  </si>
  <si>
    <t xml:space="preserve">Spółka ustala koszt wytworzenia produktów poprzez doliczenie do kosztów bezpośrednich uzasadnionych kosztów pośrednich związanych z wytworzeniem tego produktu, niezależnie od poziomu wykorzystania zdolności produkcyjnych. </t>
  </si>
  <si>
    <t xml:space="preserve">Die Gesellschaft ermittelt die Herstellungskosten der Erzeugnisse durch Hinzurechnung der mit der Herstellung dieses Erzeugnisses verbundenen Gemeinkosten zu den begründeten Produktionseinzelkosten, unabhängig von der Auslastung der Produktionskapazitäten. </t>
  </si>
  <si>
    <t xml:space="preserve">The Company determines the production cost of goods by adding reasonable indirect costs of manufacturing the goods to the direct costs, irrespective of the level of utilisation of the production capacity. </t>
  </si>
  <si>
    <r>
      <rPr>
        <sz val="10"/>
        <color rgb="FFFF0000"/>
        <rFont val="Arial"/>
        <family val="2"/>
        <charset val="238"/>
      </rPr>
      <t>Oddział</t>
    </r>
    <r>
      <rPr>
        <sz val="10"/>
        <rFont val="Arial"/>
        <family val="2"/>
      </rPr>
      <t xml:space="preserve"> ustala koszt wytworzenia produktów poprzez doliczenie do kosztów bezpośrednich uzasadnionych kosztów pośrednich związanych z wytworzeniem tego produktu, niezależnie od poziomu wykorzystania zdolności produkcyjnych. </t>
    </r>
  </si>
  <si>
    <t>Koszt wytworzenia wyrobów spełniających warunki zaliczania ich do aktywów nie zwiększa się o koszty obsługi zobowiązań zaciągniętych w celu finansowania produktów w okresie ich wytworzenia.</t>
  </si>
  <si>
    <t>Die Herstellungskosten der Erzeugnisse, die unter Aktiva ausgewiesen werden, werden nicht um die Finanzierungskosten für die Herstellung der Erzeugnisse erhöht.</t>
  </si>
  <si>
    <t>The production costs of finished goods which meet the conditions for their classification as assets are not subject to an increase by costs of servicing the liabilities incurred for the purpose of financing the goods during their manufacture period.</t>
  </si>
  <si>
    <r>
      <t xml:space="preserve">O przydatności lub cechach użytkowych zapasów produktów w celu ustalenia konieczności dokonania (lub nie) odpisów aktualizujących decyduje każdorazowo kierownik </t>
    </r>
    <r>
      <rPr>
        <sz val="10"/>
        <color rgb="FFFF0000"/>
        <rFont val="Arial"/>
        <family val="2"/>
        <charset val="238"/>
      </rPr>
      <t>jednostki</t>
    </r>
    <r>
      <rPr>
        <sz val="10"/>
        <rFont val="Arial"/>
        <family val="2"/>
      </rPr>
      <t xml:space="preserve"> podczas inwentaryzacji rocznej.</t>
    </r>
  </si>
  <si>
    <t>Über die Verwendbarkeit und Nutzbarkeit der Vorräte an Erzeugnissen (zwecks Feststellung, ob Wertberichtigungen vorgenommen werden müssen oder nicht) entscheidet jeweils der Geschäftsleiter während der Jahresinventur.</t>
  </si>
  <si>
    <t>Decisions as to merchantability or usability of the finished goods in stock, for the purpose of establishing whether or not value adjustment write-downs should be made, are made by the Company's managing body during annual stocktaking.</t>
  </si>
  <si>
    <t xml:space="preserve">Produkcja w toku </t>
  </si>
  <si>
    <t xml:space="preserve">Unfertige Erzeugnisse </t>
  </si>
  <si>
    <t xml:space="preserve">Work in progress </t>
  </si>
  <si>
    <t>Produkcję w toku wykazuje się w sprawozdaniu finansowym w wysokości bezpośrednich kosztów wytworzenia. Wartość produkcji w toku ustala się na podstawie inwentaryzacji.</t>
  </si>
  <si>
    <t>Unfertige Erzeugnisse werden in Höhe der direkten Herstellungskosten im Jahresabschluss ausgewiesen. Die Bewertung der unfertigen Erzeugnisse erfolgt aufgrund der Inventur.</t>
  </si>
  <si>
    <t>Work in progress is recognised in the financial statements at direct production costs. Work in progress is valued based on the stocktaking.</t>
  </si>
  <si>
    <t>Produkcja w toku, w tym z tytułu usług budowlanych, dotyczy w szczególności:</t>
  </si>
  <si>
    <t>Unfertige Erzeugnisse, darunter aus Bauleistungen, umfassen insbesondere:</t>
  </si>
  <si>
    <t>Work in progress, including construction services, comprises in particular:</t>
  </si>
  <si>
    <t>- usług (robót) już rozpoczętych, ale jeszcze nieobjętych umową, gdyż negocjacje trwają, ale jest pewne, że umowa zostanie zawarta,</t>
  </si>
  <si>
    <t>- bereits begonnene Leistungen (Arbeiten), die jedoch vertraglich noch nicht geregelt sind, da die Verhandlungen noch andauern; es ist jedoch sicher, dass der Vertrag geschlossen wird;</t>
  </si>
  <si>
    <t>- services (work) already started and not yet covered by an agreement due to pending negotiations which, however, will definitely lead to the conclusion of the agreement;</t>
  </si>
  <si>
    <t>- usług, których realizacja ma nastąpić w okresie krótszym niż 6 miesięcy,</t>
  </si>
  <si>
    <t xml:space="preserve">- Leistungen, die in einem Zeitraum bis zu 6 Monaten durchzuführen sind; </t>
  </si>
  <si>
    <t>- services which are to be completed within less than 6 months;</t>
  </si>
  <si>
    <t>- usług, których realizacja ma trwać dłużej niż 6 miesięcy, ale ich wartość na dzień bilansowy nie wpływa istotnie na sytuację wykonawcy.</t>
  </si>
  <si>
    <t>- Leistungen, die in einem Zeitraum von mehr als 6 Monaten durchzuführen sind, deren Wert zum Bilanzstichtag auf die Lage des Auftragnehmers jedoch keinen wesentlichen Einfluss hat.</t>
  </si>
  <si>
    <t>- services which are to be completed within more than 6 months, but their value as of the balance sheet date does not materially affect the situation of the contractor.</t>
  </si>
  <si>
    <t>Metodologia kalkulacji odpisów aktualizujących zapasy</t>
  </si>
  <si>
    <t>Methode zur Kalkulation der Wertberichtigungen auf Vorräte</t>
  </si>
  <si>
    <t>Method for calculating value-adjustment write-downs of inventories</t>
  </si>
  <si>
    <t>Odpisy aktualizujące wartość zapasów dokonywane są raz do roku. Zapasy uznaje się za przeterminowane po dwóch latach od momentu przyjęcia ich do ewidencji księgowej i obejmuje się je 100% odpisem aktualizującym.</t>
  </si>
  <si>
    <t>Die Wertberichtigungen auf Vorräte werden einmal im Jahr vorgenommen. Die Vorräte gelten nach zwei Jahren ab deren Erfassung in den Büchern als veraltet und werden zu 100% wertberichtigt.</t>
  </si>
  <si>
    <t>Value adjustment write-downs of inventories are made once a year. Inventories are considered overdue two years after being recognised in the accounting records, in which case they are written off.</t>
  </si>
  <si>
    <t>Metoda wyceny rozchodu zapasów</t>
  </si>
  <si>
    <t>Bewertungsmethode der Abgänge an Vorräten</t>
  </si>
  <si>
    <t>Inventory disposal measurement method</t>
  </si>
  <si>
    <t>Dla potrzeb wyceny rozchodu zapasów wykorzystywana jest metoda FIFO.</t>
  </si>
  <si>
    <t>Der Abgang der Vorräte erfolgt nach der FIFO-Methode.</t>
  </si>
  <si>
    <t>Inventory disposals are measured using the first-in first-out (FIFO) method.</t>
  </si>
  <si>
    <t>Dla potrzeb wyceny rozchodu zapasów wykorzystywana jest metoda średniej ważonej.</t>
  </si>
  <si>
    <t>Der Abgang der Vorräte erfolgt nach den gewogenen Durchschnittspreisen.</t>
  </si>
  <si>
    <t>Inventory disposals are measured using the weighted average method.</t>
  </si>
  <si>
    <t>Należności długoterminowe i krótkoterminowe</t>
  </si>
  <si>
    <t>Langfristige und kurzfristige Forderungen</t>
  </si>
  <si>
    <t>Non-current and current receivables</t>
  </si>
  <si>
    <t>Należności długoterminowe i krótkoterminowe wykazywane są w wartości netto (pomniejszonej o odpisy aktualizujące wartość należności).</t>
  </si>
  <si>
    <t>Langfristige und kurzfristige Forderungen werden zu Nettowerten ausgewiesen (vermindert um Wertberichtigungen).</t>
  </si>
  <si>
    <t>Non-current and current receivables are recognised in the net value (less value adjustment write-downs).</t>
  </si>
  <si>
    <t xml:space="preserve">Należności są wyceniane w kwocie wymagającej zapłaty. Kwota ta obejmuje oprócz wartości nominalnej należności także odsetki za zwłokę w zapłacie należności. Odsetki te są księgowane na dobro przychodów finansowych tylko wtedy, gdy jednostka na dzień bilansowy podejmie decyzję o dochodzeniu tych odsetek. </t>
  </si>
  <si>
    <t xml:space="preserve">Forderungen werden zu Rückzahlungsbeträgen bewertet. Der Betrag beinhaltet den Nominalwert der Forderungen zuzüglich Verzugszinsen. Die Zinsen werden nur dann unter den Finanzerträgen verbucht, wenn die Gesellschaft eine Entscheidung über die Geltendmachung der Zinsen zum Bilanzstichtag trifft. </t>
  </si>
  <si>
    <t xml:space="preserve">Receivables are valued at the amount due. In addition to the the face value of receivables the amount includes also late payment interest. The interest is posted to financial revenues only if the Company decides to claim the interest on the balance sheet day. </t>
  </si>
  <si>
    <t>Odpisów aktualizujących wartość należności nieprzeterminowanych, przeterminowanych, spornych i wątpliwych dokonuje się na podstawie decyzji kierownika jednostki.</t>
  </si>
  <si>
    <t>Über die Wertberichtigungen auf nicht überfällige, überfällige, strittige und zweifelhafte Forderungen entscheidet der Geschäftsleiter.</t>
  </si>
  <si>
    <t>Value adjustment write-downs of non-overdue, overdue, contested and doubtful debts are made on the basis of the decision taken by the Company's managing body.</t>
  </si>
  <si>
    <t>Zobowiązania długoterminowe i krótkoterminowe</t>
  </si>
  <si>
    <t>Langfristige und kurzfristige Verbindlichkeiten</t>
  </si>
  <si>
    <t>Non-current and current liabilities</t>
  </si>
  <si>
    <t>Zobowiązania są wykazywane w kwocie wymagającej zapłaty. Kwota ta obejmuje oprócz wartości nominalnej zobowiązań także odsetki za zwłokę w zapłacie zobowiązań. Odsetki te są księgowane w ciągu roku w ciężar kosztów finansowych na podstawie not obciążeniowych od dostawcy. Na koniec roku obrotowego odsetki są księgowane w wartości zbiorczej na podstawie analizy stanu poszczególnych rozrachunków na koniec roku obrotowego i terminów zapłaty ustalonych z dostawcami.</t>
  </si>
  <si>
    <r>
      <t xml:space="preserve">Verbindlichkeiten werden zu Rückzahlungsbeträgen ausgewiesen. Der Betrag beinhaltet den Nominalwert der Verbindlichkeiten zuzüglich Verzugszinsen. Die Zinsen werden im Laufe des Jahres aufgrund von Lastschriften der Lieferanten unter den Finanzaufwendungen verbucht. Zum Ende des Geschäftsjahres werden die Zinsen aufgrund der Überprüfung des Bestandes der Verbindlichkeiten zum Ende des Geschäftsjahres und der mit den Lieferanten vereinbarten Zahlungsfristen </t>
    </r>
    <r>
      <rPr>
        <sz val="10"/>
        <color rgb="FFFF0000"/>
        <rFont val="Arial"/>
        <family val="2"/>
      </rPr>
      <t>zu</t>
    </r>
    <r>
      <rPr>
        <sz val="10"/>
        <rFont val="Arial"/>
        <family val="2"/>
      </rPr>
      <t xml:space="preserve"> einem Gesamtwert verbucht.</t>
    </r>
  </si>
  <si>
    <t>Liabilities are recognised at the amount due.  In addition to the the face value of liabilities the amount includes also late payment interest. The interest is posted during the year to financial expenses on the basis of debit notes from the supplier. At the end of the financial year the interest is posted in the cumulative value based on the analysis of balances in individual supplier accounts as of the end of the financial year and the payment due dates agreed with the suppliers.</t>
  </si>
  <si>
    <t>Inwestycje krótkoterminowe</t>
  </si>
  <si>
    <t>Kurzfristige Investitionen</t>
  </si>
  <si>
    <t>Current investments</t>
  </si>
  <si>
    <t>Inwestycje krótkoterminowe w księgach na moment ich nabycia lub powstania wycenia się według cen zakupu lub nabycia.</t>
  </si>
  <si>
    <t>Kurzfristige Investitionen werden zum Zeitpunkt deren Anschaffung oder Herstellung zu Einkaufspreisen bzw. Anschaffungskosten bewertet.</t>
  </si>
  <si>
    <t>Current investments, recognised in the books upon their acquisition or occurrence, are measured at purchase price or acquisition cost.</t>
  </si>
  <si>
    <t>Rozchód inwestycji jednakowych, których ceny nabycia są różne, wycenia się według metody FIFO. Ta zasada dotyczy również inwestycji uznanych za jednakowe, ze względu na podobieństwo rodzaju i przeznaczenie.</t>
  </si>
  <si>
    <r>
      <t xml:space="preserve">Der Abgang von gleichen Investitionen, deren Anschaffungskosten jedoch unterschiedlich sind, erfolgt nach der FIFO-Methode. Das Gleiche gilt für Investitionen, die aufgrund ihrer Ähnlichkeit und Zweckbestimmung als </t>
    </r>
    <r>
      <rPr>
        <sz val="10"/>
        <color rgb="FFFF0000"/>
        <rFont val="Arial"/>
        <family val="2"/>
      </rPr>
      <t>gleich</t>
    </r>
    <r>
      <rPr>
        <sz val="10"/>
        <rFont val="Arial"/>
        <family val="2"/>
      </rPr>
      <t xml:space="preserve"> anerkannt werden.</t>
    </r>
  </si>
  <si>
    <t>Disposals of equal investments, the acquisition costs of which are different, are measured according to FIFO. This method also applies to investments that are deemed equal due to similarity in kind and intended purpose.</t>
  </si>
  <si>
    <t>Inwestycje krótkoterminowe na dzień bilansowy wyceniane są według ceny nabycia lub ceny rynkowej, w zależności od tego, która z nich jest mniejsza.</t>
  </si>
  <si>
    <t>Kurzfristige Investitionen werden zum Bilanzstichtag zu Anschaffungskosten oder Marktpreisen bewertet, je nachdem, welcher Preis niedriger ist.</t>
  </si>
  <si>
    <t>Current investments as of the balance sheet date are measured at the lower of acquisition cost or market value.</t>
  </si>
  <si>
    <t>Inwestycje w postaci aktywów finansowych zaliczane są do krótkoterminowych aktywów finansowych, jeżeli są płatne i wymagalne lub przeznaczone do zbycia w ciągu 12 miesięcy od dnia bilansowego lub jeżeli są płatne i wymagalne lub przeznaczone do zbycia w ciągu 12 miesięcy od dnia ich założenia, wystawienia lub nabycia.</t>
  </si>
  <si>
    <t>Finanzielle Vermögenswerte gelten als kurzfristig, wenn sie innerhalb von 12 Monaten nach dem Bilanzstichtag zahlbar, fällig oder zur Veräußerung bestimmt sind, oder wenn sie innerhalb von 12 Monaten nach ihrer Entstehung, Ausstellung oder Anschaffung zahlbar, fällig oder zur Veräußerung bestimmt sind.</t>
  </si>
  <si>
    <t>Investments in the form of financial assets are classified as current financial assets if they are payable and mature or are held for sale within 12 months of the balance sheet date or if they are payable and mature or are held for sale within 12 months of the date of their establishment, issuance or acquisition.</t>
  </si>
  <si>
    <t>Inwestycje długoterminowe</t>
  </si>
  <si>
    <t>Langfristige Investitionen</t>
  </si>
  <si>
    <t>Non-current investments</t>
  </si>
  <si>
    <t>Inwestycje długoterminowe w księgach na moment ich nabycia lub powstania wycenia się według cen nabycia.</t>
  </si>
  <si>
    <t>Langfristige Investitionen werden zum Zeitpunkt deren Anschaffung oder Herstellung zu Anschaffungskosten bewertet.</t>
  </si>
  <si>
    <t>Non-current investments recognised in the books as of their acquisition or establishment date are measured at acquisition cost.</t>
  </si>
  <si>
    <t>Rozchód inwestycji jednakowych, których ceny nabycia są różne, wycenia się według metody FIFO. Analogiczne zasady stosuje się do wyceny rozchodu inwestycji długoterminowych uznanych za jednakowe, ze względu na podobieństwo rodzaju i przeznaczenia.</t>
  </si>
  <si>
    <r>
      <t xml:space="preserve">Der Abgang von gleichen Investitionen, deren Anschaffungskosten jedoch unterschiedlich sind, erfolgt nach der FIFO-Methode. Das Gleiche gilt für langfristige Investitionen, die aufgrund ihrer Ähnlichkeit und Zweckbestimmung als </t>
    </r>
    <r>
      <rPr>
        <sz val="10"/>
        <color rgb="FFFF0000"/>
        <rFont val="Arial"/>
        <family val="2"/>
      </rPr>
      <t>gleich</t>
    </r>
    <r>
      <rPr>
        <sz val="10"/>
        <rFont val="Arial"/>
        <family val="2"/>
      </rPr>
      <t xml:space="preserve"> anerkannt werden.</t>
    </r>
  </si>
  <si>
    <t>Disposals of equal investments, the acquisition costs of which are different, are measured according to FIFO. This method is also applicable to non-current investments that are deemed equal due to similarity in kind and intended purpose.</t>
  </si>
  <si>
    <t xml:space="preserve">Inwestycje długoterminowe na dzień bilansowy wyceniane są według ceny nabycia, pomniejszonej o odpisy spowodowane trwałą utratą wartości. </t>
  </si>
  <si>
    <t xml:space="preserve">Langfristige Investitionen werden zum Bilanzstichtag zu Anschaffungskosten, vermindert um Abschreibungen aus der dauerhaften Wertminderung bewertet. </t>
  </si>
  <si>
    <t xml:space="preserve">Non-current investments as of the balance sheet date are measured at acquisition cost less impairment loss. </t>
  </si>
  <si>
    <t xml:space="preserve">Inwestycje długoterminowe na dzień bilansowy wyceniane są według wartości godziwej. </t>
  </si>
  <si>
    <t xml:space="preserve">Langfristige Investitionen werden zum Bilanzstichtag zum beizulegenden Zeitwert bewertet. </t>
  </si>
  <si>
    <t xml:space="preserve">Non-current investments as of the balance sheet date are measured at fair value. </t>
  </si>
  <si>
    <t>Kontrakty na usługi i roboty o okresie realizacji nie dłuższym niż 6 miesięcy</t>
  </si>
  <si>
    <t>Verträge über Dienstleistungen und Arbeiten mit einer Durchführungsdauer von bis zu 6 Monaten</t>
  </si>
  <si>
    <t>Contracts for services and work to be performed within up to 6 months</t>
  </si>
  <si>
    <t xml:space="preserve">Kontrakty na usługi i roboty o okresie realizacji nie dłuższym niż 6 miesięcy ujmowane są w księgach do czasu zakończenia realizacji kontraktu w wysokości poniesionych kosztów bezpośrednich i prezentowane są jako roboty (usługi) w toku. </t>
  </si>
  <si>
    <r>
      <t xml:space="preserve">Verträge über Dienstleistungen und Arbeiten mit einer Durchführungsdauer von bis zu 6 Monaten werden bis zur Beendigung der Vertragsdurchführung in Höhe der getragenen </t>
    </r>
    <r>
      <rPr>
        <sz val="10"/>
        <color rgb="FFFF0000"/>
        <rFont val="Arial"/>
        <family val="2"/>
        <charset val="238"/>
      </rPr>
      <t>direkten</t>
    </r>
    <r>
      <rPr>
        <sz val="10"/>
        <rFont val="Arial"/>
        <family val="2"/>
      </rPr>
      <t xml:space="preserve"> Kosten in den Büchern erfasst und als unfertige Arbeiten (Leistungen) ausgewiesen. </t>
    </r>
  </si>
  <si>
    <t xml:space="preserve">Contracts for services and work to be performed within up to 6 months are recognised in the books until the contract performance is completed, in the amounts of direct costs incurred, and are classified as work (service) in progress. </t>
  </si>
  <si>
    <t xml:space="preserve">Przychody ujmowane są w księgach w wartości wynikającej z faktur częściowych i protokołów odbioru, a częściowe koszty z nimi związane ustalane są jako różnica pomiędzy kosztami rzeczywiście poniesionymi a tymi, które w wyniku inwentaryzacji wykonanych robót lub usług uznane są za element produkcji w toku. </t>
  </si>
  <si>
    <r>
      <t xml:space="preserve">Erlöse werden zu Beträgen aus Teilrechnungen und Abnahmeprotokollen in den Büchern erfasst, und die damit verbundenen Teilkosten werden als Differenz zwischen den tatsächlichen Kosten und den Kosten, die infolge der Inventur </t>
    </r>
    <r>
      <rPr>
        <sz val="10"/>
        <color rgb="FFFF0000"/>
        <rFont val="Arial"/>
        <family val="2"/>
      </rPr>
      <t>der ausgeführten Arbeiten oder Denstleistungen</t>
    </r>
    <r>
      <rPr>
        <sz val="10"/>
        <rFont val="Arial"/>
        <family val="2"/>
      </rPr>
      <t xml:space="preserve"> als Teil der unfertigen </t>
    </r>
    <r>
      <rPr>
        <sz val="10"/>
        <color rgb="FFFF0000"/>
        <rFont val="Arial"/>
        <family val="2"/>
      </rPr>
      <t>Erzeugnisse</t>
    </r>
    <r>
      <rPr>
        <sz val="10"/>
        <rFont val="Arial"/>
        <family val="2"/>
      </rPr>
      <t xml:space="preserve"> gelten, erfasst. </t>
    </r>
  </si>
  <si>
    <t xml:space="preserve">Revenues are recognised in the books in amounts arising from invoices for partial services and acceptance records, and the related partial expenses are established as a difference between actually incurred expenses and those classified, based on the stocktaking of work or services performed, as components of work in progress. </t>
  </si>
  <si>
    <t>Kontrakty na usługi i roboty o okresie realizacji dłuższym niż 6 miesięcy</t>
  </si>
  <si>
    <t>Verträge über Dienstleistungen und Arbeiten mit einer Durchführungsdauer von mehr als 6 Monaten</t>
  </si>
  <si>
    <r>
      <t xml:space="preserve">Contracts for services and work to be performed </t>
    </r>
    <r>
      <rPr>
        <sz val="10"/>
        <rFont val="Arial"/>
        <family val="2"/>
        <charset val="238"/>
      </rPr>
      <t>within more</t>
    </r>
    <r>
      <rPr>
        <sz val="10"/>
        <rFont val="Arial"/>
        <family val="2"/>
      </rPr>
      <t xml:space="preserve"> than 6 months</t>
    </r>
  </si>
  <si>
    <t>Kontrakty na usługi i roboty o okresie realizacji dłuższym niż 6 miesięcy ujmowane są w księgach w zależności od stopnia zawansowania robót.</t>
  </si>
  <si>
    <t>Verträge über Dienstleistungen und Arbeiten mit einer Durchführungsdauer von mehr als 6 Monaten werden nach dem Fertigstellungsgrad der Arbeiten in den Büchern erfasst.</t>
  </si>
  <si>
    <t>Contracts for services and work to be performed within more than 6 months are recognised in the books according to the percentage of completion method.</t>
  </si>
  <si>
    <t>Stopień zaawansowania robót z niezakończonej umowy ustala się udziałem kosztów wykonania umowy poniesionych od dnia zawarcia umowy do dnia bilansowego w całkowitych kosztach umowy.</t>
  </si>
  <si>
    <t>Der Fertigstellungsgrad der Arbeiten aus nicht beendeten Verträgen wird anhand des Anteils ermittelt, den die zwischen dem Tag des Vertragsabschlusses und dem Bilanzstichtag getragenen Vertragsdurchführungskosten an den gesamten Vertragskosten haben.</t>
  </si>
  <si>
    <t>The percentage of completion of an unfinished contract is established as a share of the contract performance costs incurred from the date of signing the contract till the balance sheet date in the total costs of the contract.</t>
  </si>
  <si>
    <t>Wartość szacowanych przychodów z niezakończonych umów budowlanych ustala się w wysokości takiej części ceny umownej za całą usługę, jaka odpowiada stopniowi zaawansowania usługi na dzień bilansowy, po odliczeniu przychodów, które wpłynęły na wynik finansowy w ubiegłych okresach sprawozdawczych.</t>
  </si>
  <si>
    <t>Der Wert der geschätzten Erlöse aus nicht beendeten Bauverträgen wird in Höhe des Teiles des Vertragspreises für die gesamte Dienstleistung ermittelt, der dem Fertigstellungsgrad der Dienstleistung zum Bilanzstichtag entspricht, abzüglich der Erlöse, die das Ergebnis in den vorigen Berichtszeiträumen beeinflusst haben.</t>
  </si>
  <si>
    <t>The value of estimated revenues from unfinished construction contracts is established in the amount of such part of the contractual price for the entire service which corresponds with the percentage of completion of the service as of the balance sheet date, after deduction of the revenues which affected the profit (loss) in prior reporting periods.</t>
  </si>
  <si>
    <t>Przychody z realizacji kontraktów na usługi i roboty o okresie realizacji dłuższym niż 6 miesięcy, dla których nie można wiarygodnie ustalić stopnia zawansowania, ustalane są na poziomie poniesionych kosztów w wysokości, której pokrycie zapewnia zleceniodawca.</t>
  </si>
  <si>
    <r>
      <t xml:space="preserve">Erlöse aus Verträgen über </t>
    </r>
    <r>
      <rPr>
        <sz val="10"/>
        <color rgb="FFFF0000"/>
        <rFont val="Arial"/>
        <family val="2"/>
      </rPr>
      <t>Dienstleistungen</t>
    </r>
    <r>
      <rPr>
        <sz val="10"/>
        <rFont val="Arial"/>
        <family val="2"/>
      </rPr>
      <t xml:space="preserve"> und Arbeiten mit einer Durchführungsdauer von mehr als 6 Monaten, für die der Fertigstellungsgrad nicht glaubwürdig ermittelt werden kann, werden aufgrund der getragenen Kosten in einer Höhe festgelegt, deren Deckung vom Auftraggeber gewährleistet wird.</t>
    </r>
  </si>
  <si>
    <t>Revenues from contracts for services and work to be performed within a period longer than 6 months for which it is not possible to reliably establish the percentage of completion are recognised at the level of the costs incurred, in an amount that is guaranteed to be covered by the commissioning party.</t>
  </si>
  <si>
    <t>Koszty wynikające z realizacji kontraktów o okresie realizacji dłuższym niż 6 miesięcy stanowią koszty poniesione do dnia bilansowego.</t>
  </si>
  <si>
    <r>
      <t xml:space="preserve">Kosten, die sich aus Verträgen mit einer Durchführungsdauer von mehr als 6 Monaten ergeben, gelten als bis zum Bilanzstichtag </t>
    </r>
    <r>
      <rPr>
        <sz val="10"/>
        <color rgb="FFFF0000"/>
        <rFont val="Arial"/>
        <family val="2"/>
        <charset val="238"/>
      </rPr>
      <t>getragene Kosten</t>
    </r>
    <r>
      <rPr>
        <sz val="10"/>
        <rFont val="Arial"/>
        <family val="2"/>
      </rPr>
      <t>.</t>
    </r>
  </si>
  <si>
    <t>Costs arising from the performance of contracts for services and work to be performed within a period longer than 6 months are the costs incurred until the balance sheet date.</t>
  </si>
  <si>
    <t>Rozliczenia międzyokresowe kosztów</t>
  </si>
  <si>
    <t>Aufwandsabgrenzung</t>
  </si>
  <si>
    <t>Prepaid expenses</t>
  </si>
  <si>
    <t xml:space="preserve">Spółka dokonuje czynnych rozliczeń międzyokresowych kosztów, jeżeli dotyczą one przyszłych okresów sprawozdawczych. </t>
  </si>
  <si>
    <t xml:space="preserve">Die Gesellschaft bildet aktive Rechnungsabgrenzungsposten, sofern diese künftige Berichtszeiträume betreffen. </t>
  </si>
  <si>
    <t xml:space="preserve">The Company recognises prepaid expenses if they relate to future reporting periods. </t>
  </si>
  <si>
    <r>
      <rPr>
        <sz val="10"/>
        <color rgb="FFFF0000"/>
        <rFont val="Arial"/>
        <family val="2"/>
        <charset val="238"/>
      </rPr>
      <t xml:space="preserve">Oddział </t>
    </r>
    <r>
      <rPr>
        <sz val="10"/>
        <rFont val="Arial"/>
        <family val="2"/>
      </rPr>
      <t xml:space="preserve">dokonuje czynnych rozliczeń międzyokresowych kosztów, jeżeli dotyczą one przyszłych okresów sprawozdawczych. </t>
    </r>
  </si>
  <si>
    <t>Bierne rozliczenia międzyokresowe kosztów dokonywane są w wysokości prawdopodobnych zobowiązań przypadających na bieżący okres sprawozdawczy.</t>
  </si>
  <si>
    <t>Passive Rechnungsabgrenzungsposten werden in Höhe der im laufenden Berichtszeitraum voraussichtlich anfallenden Verbindlichkeiten gebildet.</t>
  </si>
  <si>
    <t>The Company recognises accrued expenses at amounts of probable liabilities relating to the reporting period.</t>
  </si>
  <si>
    <t xml:space="preserve">Rozliczenia międzyokresowe przychodów </t>
  </si>
  <si>
    <t xml:space="preserve">Ertragsabgrenzung </t>
  </si>
  <si>
    <r>
      <t>Deferred revenues</t>
    </r>
    <r>
      <rPr>
        <sz val="10"/>
        <rFont val="Frutiger CE 45 Light"/>
        <charset val="238"/>
      </rPr>
      <t xml:space="preserve"> </t>
    </r>
  </si>
  <si>
    <t>Rozliczenia międzyokresowe przychodów dokonywane są z zachowaniem ostrożnej wyceny i obejmują w szczególności:</t>
  </si>
  <si>
    <t>Die Ertragsabgrenzung erfolgt unter Beachtung des Niederstwertprinzips und umfasst insbesondere:</t>
  </si>
  <si>
    <t>Deferred revenues are recognised based on the principle of prudence and include in particular:</t>
  </si>
  <si>
    <t xml:space="preserve">- równowartość otrzymanych lub należnych od kontrahentów środków z tytułu świadczeń, których wykonanie nastąpi w następnych okresach sprawozdawczych; </t>
  </si>
  <si>
    <t>- den Gegenwert der erhaltenen oder von den Geschäftspartnern geschuldeten Mittel aus Leistungen, die in künftigen Berichtszeiträumen zu erbringen sind;</t>
  </si>
  <si>
    <t xml:space="preserve">- an equivalent of funds received or due from contractors, arising from performances which will be completed in next reporting periods; </t>
  </si>
  <si>
    <t xml:space="preserve">- środki pieniężne otrzymane na sfinansowanie nabycia lub wytworzenia środków trwałych, w tym także środków trwałych w budowie oraz prac rozwojowych, jeżeli stosownie do innych ustaw nie zwiększają one kapitałów własnych. </t>
  </si>
  <si>
    <t>- flüssige Mittel für die Finanzierung der Anschaffung oder der Herstellung von Sachanlagen – darunter auch Anlagen im Bau und Entwicklungsarbeiten – sofern sie nicht laut anderen Gesetzen zum Eigenkapital zu rechnen sind.</t>
  </si>
  <si>
    <t xml:space="preserve">- cash received for the financing of acquisition or production of tangible assets, including also assets under construction and research and development work, if, in compliance with other acts, they do not increase the owners’ equity. </t>
  </si>
  <si>
    <t>Zaliczone do rozliczeń międzyokresowych przychodów kwoty zwiększają stopniowo pozostałe przychody operacyjne, równolegle do odpisów amortyzacyjnych lub umorzeniowych od środków trwałych lub kosztów prac rozwojowych sfinansowanych z tych źródeł.</t>
  </si>
  <si>
    <t>Die als Ertragsabgrenzung erfassten Beträge erhöhen sukzessiv die sonstigen betrieblichen Erträge, parallel zu den Abschreibungen und kumulierten Abschreibungen auf Sachanlagen oder auf Entwicklungskosten, die aus diesen Quellen finanziert werden.</t>
  </si>
  <si>
    <t>The amounts qualified as deferred revenues gradually increase other operating income, in parallel with depreciation or accumulated depreciation charges on tangible assets or costs of research and development work financed from those sources.</t>
  </si>
  <si>
    <t>Uznawanie przychodu</t>
  </si>
  <si>
    <t>Erfassung der Umsatzerlöse als Betriebseinnahmen</t>
  </si>
  <si>
    <t>Recognition of revenue</t>
  </si>
  <si>
    <t>Przychody ze sprzedaży są uznawane w momencie dostarczenia towaru, jeżeli jednostka przekazała znaczące ryzyko i korzyści wynikające z praw własności do towarów, lub w momencie wykonania usługi. Sprzedaż wykazuje się w wartości netto, tj. bez uwzględnienia podatku od towarów i usług oraz po uwzględnieniu wszelkich udzielonych rabatów.</t>
  </si>
  <si>
    <r>
      <t xml:space="preserve">Umsatzerlöse gelten als Betriebseinnahmen zum Zeitpunkt der Warenlieferung, soweit die Gesellschaft die erheblichen Risiken und Vorteile aus dem Eigentumsrecht an Waren überlassen hat, oder zum Zeitpunkt der Leistungserbringung. Der Verkauf wird zum Nettowert ausgewiesen, d.h. ohne Berücksichtigung der Umsatzsteuer, jedoch </t>
    </r>
    <r>
      <rPr>
        <sz val="10"/>
        <color rgb="FFFF0000"/>
        <rFont val="Arial"/>
        <family val="2"/>
      </rPr>
      <t>nach</t>
    </r>
    <r>
      <rPr>
        <sz val="10"/>
        <rFont val="Arial"/>
        <family val="2"/>
      </rPr>
      <t xml:space="preserve"> Berücksichtigung aller gewährten Rabatte.</t>
    </r>
  </si>
  <si>
    <t>Sales revenues are recognised upon delivery of goods if the entity has transferred significant risk and benefits arising from the property rights to the goods, or upon service completion. Sales are recognised in the net value, i.e., without VAT and taking into account all discounts.</t>
  </si>
  <si>
    <t xml:space="preserve">Aktywa i rezerwy z tytułu odroczonego podatku dochodowego </t>
  </si>
  <si>
    <t xml:space="preserve">Aktive latente Steuern und Rückstellungen für latente Steuern </t>
  </si>
  <si>
    <t>Deferred tax assets and liabilities</t>
  </si>
  <si>
    <t xml:space="preserve">Zgodnie z uproszczeniem wynikającym z Art. 37 ust 10 UoR Spółka odstąpiła od ustalania aktywów i rezerw z tytułu odroczonego podatku dochodowego.  </t>
  </si>
  <si>
    <t xml:space="preserve">Gemäß der Vereinfachung nach Art. 37 Abs. 10 RLG-PL hat die Gesellschaft auf die Ermittlung der aktiven latenten Steuern und der Rückstellungen für latente Steuern verzichtet. </t>
  </si>
  <si>
    <t xml:space="preserve">By virtue of the simplification scheme stipulated in Article 37(10) of the Accounting Act the Company chose not to determine deferred tax assets and liabilities. </t>
  </si>
  <si>
    <r>
      <t xml:space="preserve">Zgodnie z uproszczeniem wynikającym z Art. 37 ust 10 UoR </t>
    </r>
    <r>
      <rPr>
        <sz val="10"/>
        <color rgb="FFFF0000"/>
        <rFont val="Arial"/>
        <family val="2"/>
        <charset val="238"/>
      </rPr>
      <t>odstąpiono</t>
    </r>
    <r>
      <rPr>
        <sz val="10"/>
        <rFont val="Arial"/>
        <family val="2"/>
      </rPr>
      <t xml:space="preserve"> od ustalania aktywów i rezerw z tytułu odroczonego podatku dochodowego.  </t>
    </r>
  </si>
  <si>
    <t xml:space="preserve">W związku z przejściowymi różnicami między wykazywaną w księgach rachunkowych wartością aktywów i pasywów, a ich wartością podatkową oraz stratą podatkową możliwą do odliczenia w przyszłości, tworzona jest rezerwa i ustalane aktywa z tytułu odroczonego podatku dochodowego. </t>
  </si>
  <si>
    <t xml:space="preserve">Da es zwischen den in den Handelsbüchern ausgewiesenen Werten der Aktiva und Passiva einerseits und ihrem Steuerwert sowie dem in der Zukunft abzugsfähigen steuerlichen Verlustvortrag andererseits zu vorübergehenden Differenzen kommen kann, werden eine Rückstellung für latente Steuern gebildet und aktive latente Steuern ermittelt. </t>
  </si>
  <si>
    <t xml:space="preserve">In connection with temporary differences between the value of assets and equity and liabilities shown in the books and their value for tax purposes, and tax loss deductible in the future, deferred tax liabilities and assets are established. </t>
  </si>
  <si>
    <t>Aktywa z tytułu odroczonego podatku dochodowego ustala się w wysokości kwoty przewidzianej w przyszłości do odliczenia od podatku dochodowego, w związku z ujemnymi różnicami przejściowymi, które spowodują w przyszłości zmniejszenie podstawy obliczenia podatku dochodowego oraz straty podatkowej możliwej do odliczenia, ustalonej przy uwzględnieniu zasady ostrożności.</t>
  </si>
  <si>
    <t>Die Höhe der aktiven latenten Steuern ist die Summe aus dem Betrag, der in Zukunft in Zusammenhang mit vorübergehenden negativen Differenzbeträgen, die in Zukunft die Körperschaftsteuerbemessungsgrundlage vermindern werden, von der Körperschaftsteuer abgezogen werden soll, sowie aus dem abzugsfähigen steuerlichen Verlust, der unter Beachtung des Niederstwertprinzips ermittelt wurde.</t>
  </si>
  <si>
    <t>Deferred tax assets are established in the amount anticipated to be deducted in the future from income tax, in relation to negative temporary differences which will, in the future, decrease the income tax base and the deductible tax loss determined according to the principle of prudence.</t>
  </si>
  <si>
    <t>Rezerwę z tytułu odroczonego podatku dochodowego tworzy się w wysokości kwoty podatku dochodowego, wymagającej w przyszłości zapłaty, w związku z występowaniem dodatnich różnic przejściowych, to jest różnic, które spowodują zwiększenie podstawy obliczenia podatku dochodowego w przyszłości.</t>
  </si>
  <si>
    <t>Die Rückstellung für latente Steuern wird in Höhe der in Zukunft zahlbaren Körperschaftsteuer gebildet, und zwar im Zusammenhang mit dem Auftreten vorübergehender positiver Differenzbeträge, d.h. derjenigen Differenzbeträge, die in Zukunft die Körperschaftsteuerbemessungsgrundlage erhöhen werden.</t>
  </si>
  <si>
    <t>Deferred tax liabilities are created in the amount of  income tax payable in the future due to occurrence of positive temporary differences, that is, differences which will increase the income tax base in the future.</t>
  </si>
  <si>
    <t>Wysokość rezerwy i aktywów z tytułu odroczonego podatku dochodowego ustala się przy uwzględnieniu stawek podatku dochodowego obowiązujących w roku powstania obowiązku podatkowego.</t>
  </si>
  <si>
    <t xml:space="preserve">Die Höhe der Rückstellung für latente Steuern und der aktiven latenten Steuern wird unter Berücksichtigung der Körperschaftsteuersätze festgelegt, die in demjenigen Jahr galten, in dem die Steuerpflicht entstand. </t>
  </si>
  <si>
    <t xml:space="preserve">The values of deferred tax liabilities and deferred tax assets are determined using the income tax rates applicable in the year in which the tax liability arose. </t>
  </si>
  <si>
    <t>Ujmowanie i wycena instrumentów finansowych</t>
  </si>
  <si>
    <t>Erfassung und Bewertung von Finanzinstrumenten</t>
  </si>
  <si>
    <t>Recognition and valuation of financial instruments</t>
  </si>
  <si>
    <t>Spółka stosuje uproszczenia wynikające z art. 28b ust. 1 UoR i w związku z tym nie stosuje przepisów Rozporządzenia Ministra Finansów z dnia 12 grudnia 2001 r. w sprawie szczegółowych zasad uznawania, metod wyceny, zakresu ujawniania i sposobu prezentacji instrumentów finansowych.</t>
  </si>
  <si>
    <t>Die Gesellschaft nimmt die Vereinfachungen aus Art. 28b Abs. 1 RLG-PL in Anspruch, weswegen sie die Vorschriften der Verordnung des Finanzministers vom 12. Dezember 2001 über die detaillierten Grundsätze für Einstufung, Bewertungsmethoden, Umfang der Offenlegung und Darstellungsart der Finanzinstrumente nicht anwendet.</t>
  </si>
  <si>
    <t>The Company applies simplifications under Article 28b(1) of the Accounting Act and therefore does not follow the Regulation of the Minister of Finance of 12 December 2001 on the detailed rules for the recognition, the methods of valuation, the scope of disclosure and the manner of presentation of financial instruments.</t>
  </si>
  <si>
    <r>
      <rPr>
        <sz val="10"/>
        <color rgb="FFFF0000"/>
        <rFont val="Arial"/>
        <family val="2"/>
        <charset val="238"/>
      </rPr>
      <t>Oddział</t>
    </r>
    <r>
      <rPr>
        <sz val="10"/>
        <rFont val="Arial"/>
        <family val="2"/>
      </rPr>
      <t xml:space="preserve"> stosuje uproszczenia wynikające z art. 28b ust. 1 UoR i w związku z tym nie stosuje przepisów Rozporządzenia Ministra Finansów z dnia 12 grudnia 2001 r. w sprawie szczegółowych zasad uznawania, metod wyceny, zakresu ujawniania i sposobu prezentacji instrumentów finansowych.</t>
    </r>
  </si>
  <si>
    <t>Spółka stosuje przepisy Rozporządzenia Ministra Finansów z dnia 12 grudnia 2001 r. w sprawie szczegółowych zasad uznawania, metod wyceny, zakresu ujawniania i sposobu prezentacji instrumentów finansowych.</t>
  </si>
  <si>
    <t>Die Gesellschaft wendet die Vorschriften der Verordnung des Finanzministers vom 12. Dezember 2001 über die detaillierten Grundsätze für Einstufung, Bewertungsmethoden, Umfang der Offenlegung und Darstellungsart der Finanzinstrumente an.</t>
  </si>
  <si>
    <t>The Company follows the Regulation of the Minister of Finance of 12 December 2001 on the detailed rules for the recognition, the methods of valuation, the scope of disclosure and the manner of presentation of financial instruments.</t>
  </si>
  <si>
    <r>
      <rPr>
        <sz val="10"/>
        <color rgb="FFFF0000"/>
        <rFont val="Arial"/>
        <family val="2"/>
        <charset val="238"/>
      </rPr>
      <t>Oddział</t>
    </r>
    <r>
      <rPr>
        <sz val="10"/>
        <rFont val="Arial"/>
        <family val="2"/>
      </rPr>
      <t xml:space="preserve"> stosuje przepisy Rozporządzenia Ministra Finansów z dnia 12 grudnia 2001 r. w sprawie szczegółowych zasad uznawania, metod wyceny, zakresu ujawniania i sposobu prezentacji instrumentów finansowych.</t>
    </r>
  </si>
  <si>
    <t>Ustalanie wyniku</t>
  </si>
  <si>
    <t>Ermittlung des Ergebnisses</t>
  </si>
  <si>
    <t>Determination of the net profit (loss)</t>
  </si>
  <si>
    <t>Wynik finansowy jednostki ustalany jest zgodnie z przepisami rozdziału 4 UoR oraz wprowadzoną przez kierownika jednostki polityką rachunkowości.</t>
  </si>
  <si>
    <r>
      <t>Das Jahresergebnis der Gesellschaft wurde gemäß Kapit</t>
    </r>
    <r>
      <rPr>
        <sz val="10"/>
        <color theme="1"/>
        <rFont val="Arial"/>
        <family val="2"/>
        <charset val="238"/>
      </rPr>
      <t>el 4 RLG-PL</t>
    </r>
    <r>
      <rPr>
        <sz val="10"/>
        <rFont val="Arial"/>
        <family val="2"/>
      </rPr>
      <t xml:space="preserve"> und der vom Geschäftsleiter </t>
    </r>
    <r>
      <rPr>
        <sz val="10"/>
        <rFont val="Arial"/>
        <family val="2"/>
        <charset val="238"/>
      </rPr>
      <t>eingeführten</t>
    </r>
    <r>
      <rPr>
        <sz val="10"/>
        <rFont val="Arial"/>
        <family val="2"/>
      </rPr>
      <t xml:space="preserve"> Rechnungslegungspolitik ermittelt.</t>
    </r>
  </si>
  <si>
    <t>The Company's net profit (loss) is determined according to Article 4 of the Accounting Act and the accounting policy adopted by the Company's management.</t>
  </si>
  <si>
    <t>Wynik finansowy jednostki ustalany jest zgodnie z przepisami rozdziału 4 UoR.</t>
  </si>
  <si>
    <r>
      <t>Das Jahresergebnis der Gesellschaft wurde gemäß Kapit</t>
    </r>
    <r>
      <rPr>
        <sz val="10"/>
        <color theme="1"/>
        <rFont val="Arial"/>
        <family val="2"/>
        <charset val="238"/>
      </rPr>
      <t>el 4 RLG-PL</t>
    </r>
    <r>
      <rPr>
        <sz val="10"/>
        <rFont val="Arial"/>
        <family val="2"/>
      </rPr>
      <t xml:space="preserve"> ermittelt.</t>
    </r>
  </si>
  <si>
    <t>The Company's net profit (loss) is determined according to Article 4 of the Accounting Act.</t>
  </si>
  <si>
    <t>Informacja uszczegółowiająca, wynikająca z potrzeb lub specyfiki jednostki</t>
  </si>
  <si>
    <t>Ergänzende Information, die sich aus den Bedürfnissen bzw. Eigenart der Gesellschaft ergibt</t>
  </si>
  <si>
    <t>Further details required due to the needs or the specific nature of the Company's business</t>
  </si>
  <si>
    <t>Informacja uszczegóławiająca, wynikająca z potrzeb lub specyfiki jednostki</t>
  </si>
  <si>
    <t>Prowadzenie ksiąg rachunkowych</t>
  </si>
  <si>
    <t>Führung der Handelsbücher</t>
  </si>
  <si>
    <t>Keeping the books of account</t>
  </si>
  <si>
    <t>Sprawozdanie finansowe sporządzone zostało przez Roedl Outsourcing sp. z o. o. zgodnie z najlepszą wiedzą oraz zgodnie z przepisami UoR.</t>
  </si>
  <si>
    <r>
      <t xml:space="preserve">Der Jahresabschluss wurde von </t>
    </r>
    <r>
      <rPr>
        <sz val="10"/>
        <rFont val="Arial"/>
        <family val="2"/>
        <charset val="238"/>
      </rPr>
      <t>der</t>
    </r>
    <r>
      <rPr>
        <sz val="10"/>
        <rFont val="Arial"/>
        <family val="2"/>
      </rPr>
      <t xml:space="preserve"> Roedl Outsourcing sp. z o. o. nach bestem Wissen und Gewissen sowie gemäß den Vorschriften des oben genannten RLG-PL erstellt.</t>
    </r>
  </si>
  <si>
    <t>The financial statements were prepared by Roedl Outsourcing sp. z o.o. in accordance with our best knowledge and in compliance with the Accounting Act.</t>
  </si>
  <si>
    <t>Wpływ pandemi COVID-19 na sytuację finansową Spółki</t>
  </si>
  <si>
    <t xml:space="preserve">Einfluss des Konfliktes in Osteuropa auf die Finanzlage der Gesellschaft </t>
  </si>
  <si>
    <t>Impact of the conflict in Eastern Europe on the Company’s financial standing</t>
  </si>
  <si>
    <t>Pod koniec 2019 r. po raz pierwszy pojawiły się wiadomości z Chin dotyczące COVID-19. W pierwszych miesiącach 2020 r. wirus rozprzestrzenił się na całym świecie, a jego negatywny wpływ objął wiele krajów. Chociaż sytuacja ta wciąż się zmienia, Zarząd zidentyfikował negatywne konsekwencje pandemii na działalność jednostki i podjął działania w celu ich ograniczenia. Opis wpływu aktualnej sytuacji na sprawozdanie finansowe jednostki znajduje się w nocie 11 informacji dodatkowych oraz w sporządzonym przez Zarząd sprawozdaniu z działalności.</t>
  </si>
  <si>
    <r>
      <t>Ende 2019</t>
    </r>
    <r>
      <rPr>
        <sz val="10"/>
        <color rgb="FFFF0000"/>
        <rFont val="Arial"/>
        <family val="2"/>
        <charset val="238"/>
      </rPr>
      <t xml:space="preserve"> </t>
    </r>
    <r>
      <rPr>
        <sz val="10"/>
        <rFont val="Arial"/>
        <family val="2"/>
        <charset val="238"/>
      </rPr>
      <t>wurden erstmalig Informationen aus China über COVID-19 bekannt. In den ersten Monaten 2020 hat sich das Virus weltweit verbreitet und viele Länder negativ beeinflusst. Obwohl sich diese Situation ständig ändert, hat die Geschäftsführung negative Konsequenzen der Pandemie für die Tätigkeit der Gesellschaft identifiziert und Maßn</t>
    </r>
    <r>
      <rPr>
        <sz val="10"/>
        <rFont val="Arial"/>
        <family val="2"/>
      </rPr>
      <t xml:space="preserve">ahmen zu deren Beschränkung ergriffen. Die Beschreibung des Einflusses der gegenwärtigen Lage auf den Jahresabschluss der Gesellschaft ist der Note 11 des Anhangs und dem von der Geschäftsführung erstellten Lagebericht zu entnehmen. </t>
    </r>
  </si>
  <si>
    <t>At the end of 2019 China reported news about COVID-19 incidence for the first time. The virus has spread worldwide and has \affected numerous countries in the first months of 2020. Although the situation is constantly changing, the Management Board has identified the negative impact of the pandemic on the entity’s operations and has taken steps to limit it. The impact of the current situation on the entity’s financial statements is described in note 11 to the financial statements and in the Management Report.</t>
  </si>
  <si>
    <r>
      <t>Ende 2019</t>
    </r>
    <r>
      <rPr>
        <sz val="10"/>
        <color rgb="FFFF0000"/>
        <rFont val="Arial"/>
        <family val="2"/>
        <charset val="238"/>
      </rPr>
      <t xml:space="preserve"> </t>
    </r>
    <r>
      <rPr>
        <sz val="10"/>
        <rFont val="Arial"/>
        <family val="2"/>
        <charset val="238"/>
      </rPr>
      <t>wurden erstmalig Informationen aus China über COVID-19 bekannt. In den ersten Monaten 2020 hat sich das Virus weltweit verbreitet und viele Länder negativ beeinflusst. Obwohl sich diese Situation ständig ändert, hat der Vorstand negative Konsequenzen der Pandemie für die Tätigkeit der Gesellschaft identifiziert und Maßn</t>
    </r>
    <r>
      <rPr>
        <sz val="10"/>
        <rFont val="Arial"/>
        <family val="2"/>
      </rPr>
      <t xml:space="preserve">ahmen zu deren Beschränkung ergriffen. Die Beschreibung des Einflusses der gegenwärtigen Lage auf den Jahresabschluss der Gesellschaft ist der Note 11 des Anhangs und dem vom Vorstand erstellten Lagebericht zu entnehmen. </t>
    </r>
  </si>
  <si>
    <t>Pod koniec 2019 r. po raz pierwszy pojawiły się wiadomości z Chin dotyczące COVID-19. W pierwszych miesiącach 2020 r. wirus rozprzestrzenił się na całym świecie, a jego negatywny wpływ objął wiele krajów. Chociaż sytuacja ta wciąż się zmienia, Zarząd zidentyfikował negatywne konsekwencje pandemii na działalność jednostki i podjął działania w celu ich ograniczenia. Opis wpływu aktualnej sytuacji na sprawozdanie finansowe jednostki znajduje się w nocie 11 informacji dodatkowych.</t>
  </si>
  <si>
    <t xml:space="preserve">Ende 2019 wurden erstmalig Informationen aus China über COVID-19 bekannt. In den ersten Monaten 2020 hat sich das Virus weltweit verbreitet und viele Länder negativ beeinflusst. Obwohl sich diese Situation ständig ändert, hat die Geschäftsführung negative Konsequenzen der Pandemie für die Tätigkeit der Gesellschaft identifiziert und Maßnahmen zu deren Beschränkung ergriffen. Die Beschreibung des Einflusses der gegenwärtigen Lage auf den Jahresabschluss der Gesellschaft ist der Note 11 des Anhangs zu entnehmen. </t>
  </si>
  <si>
    <t>At the end of 2019 China reported news about COVID-19 incidence for the first time. The virus has spread worldwide and has affected numerous countries in the first months of 2020. Although the situation is constantly changing, the Management Board has identified the negative impact of the pandemic on entity’s operations and has taken steps to limit it. The impact of the current situation on the entity’s financial statements is described in note 11 to the financial statements.</t>
  </si>
  <si>
    <t xml:space="preserve">Ende 2019 wurden erstmalig Informationen aus China über COVID-19 bekannt. In den ersten Monaten 2020 hat sich das Virus weltweit verbreitet und viele Länder negativ beeinflusst. Obwohl sich diese Situation ständig ändert, hat der Vorstand negative Konsequenzen der Pandemie für die Tätigkeit der Gesellschaft identifiziert und Maßnahmen zu deren Beschränkung ergriffen. Die Beschreibung des Einflusses der gegenwärtigen Lage auf den Jahresabschluss der Gesellschaft ist der Note 11 des Anhangs zu entnehmen. </t>
  </si>
  <si>
    <t>Wpływ konfliktu we wschodniej Europie na sytuację finansową Spółki</t>
  </si>
  <si>
    <t>Auswirkungen des Konflikts in Osteuropa auf die Finanzlage der Gesellschaft</t>
  </si>
  <si>
    <t>Trwający od początku 2022 roku konflikt we wschodniej Europie wywołał istotne zmiany w otoczeniu biznesowym spółki. Zarząd zidentyfikował  ryzyka i negatywne konsekwencje tego konfliktu na działalność jednostki oraz podjął działania w celu ich ograniczenia. Opis wpływu tych zmian i ryzyk wynikających z aktualnej sytuacji gospodarczej/politycznej na sprawozdanie finansowe jednostki znajduje się w nocie 11 informacji dodatkowych oraz w sporządzonym przez Zarząd sprawozdaniu z działalności.</t>
  </si>
  <si>
    <t>Der seit Beginn 2022 andauernde Konflikt in Osteuropa hatte zahlreiche Änderungen im Geschäftsumfeld der Gesellschaft zur Folge. Die Geschäftsführung hat Risiken und negative Konsequenzen dieses Konflikts für die Tätigkeit der Gesellschaft festgestellt und Maßnahmen zu deren Einschränkung ergriffen. Die Beschreibung des Einflusses dieser Änderungen und Risiken, die sich aus der aktuellen wirtschaftlichen/politischen Lage ergeben, auf den Jahresabschluss der Gesellschaft ist der Note 11 des Anhangs sowie dem Lagebericht der Geschäftsführung zu entnehmen.</t>
  </si>
  <si>
    <t>The conflict in Eastern Europe which broke out in early 2022 has caused significant changes in the company's business environment. The management has identified the risks and negative impact of this conflict on the entity's operations and has taken measures to mitigate them. The impact of the changes and risks following from the current economic/political situation on the entity's financial statements is described in note 11 to the financial statements and in the Management Report.</t>
  </si>
  <si>
    <t>Der seit Beginn 2022 andauernde Konflikt in Osteuropa hatte zahlreiche Änderungen im Geschäftsumfeld der Gesellschaft zur Folge. Der Vorstand hat Risiken und negative Konsequenzen dieses Konflikts für die Tätigkeit der Gesellschaft festgestellt und Maßnahmen zu deren Einschränkung ergriffen. Die Beschreibung des Einflusses dieser Änderungen und Risiken, die sich aus der aktuellen wirtschaftlichen/politischen Lage ergeben, auf den Jahresabschluss der Gesellschaft ist der Note 11 des Anhangs sowie dem Lagebericht des Vorstands zu entnehmen.</t>
  </si>
  <si>
    <t>Trwający od początku 2022 roku konflikt we wschodniej Europie wywołał istotne zmiany w otoczeniu biznesowym spółki. Zarząd zidentyfikował  ryzyka i negatywne konsekwencje tego konfliktu na działalność jednostki oraz podjął działania w celu ich ograniczenia. Opis wpływu tych zmian i ryzyk wynikających z aktualnej sytuacji gospodarczej/politycznej na sprawozdanie finansowe jednostki znajduje się w nocie 11 informacji dodatkowych.</t>
  </si>
  <si>
    <t>Der seit Beginn 2022 andauernde Konflikt in Osteuropa hatte zahlreiche Änderungen im Geschäftsumfeld der Gesellschaft zur Folge. Die Geschäftsführung hat Risiken und negative Konsequenzen dieses Konflikts für die Tätigkeit der Gesellschaft festgestellt und Maßnahmen zu deren Einschränkung ergriffen. Die Beschreibung des Einflusses dieser Änderungen und Risiken, die sich aus der aktuellen wirtschaftlichen/politischen Lage ergeben, auf den Jahresabschluss der Gesellschaft ist der Note 11 des Anhangs zu entnehmen.</t>
  </si>
  <si>
    <t>The conflict in Eastern Europe which broke out in early 2022 has caused significant changes in the company's business environment. The management has identified the risks and negative impact of this conflict on the entity's operations and has taken measures to mitigate them. The impact of the changes and risks following from the current economic/political situation on the entity's financial statements is described in note 11 to the financial statements.</t>
  </si>
  <si>
    <t>Der seit Beginn 2022 andauernde Konflikt in Osteuropa hatte zahlreiche Änderungen im Geschäftsumfeld der Gesellschaft zur Folge. Der Vorstand hat Risiken und negative Konsequenzen dieses Konflikts für die Tätigkeit der Gesellschaft festgestellt und Maßnahmen zu deren Einschränkung ergriffen. Die Beschreibung des Einflusses dieser Änderungen und Risiken, die sich aus der aktuellen wirtschaftlichen/politischen Lage ergeben, auf den Jahresabschluss der Gesellschaft ist der Note 11 des Anhangs zu entnehmen.</t>
  </si>
  <si>
    <t>Zarząd zidentyfikował następujące negatywne konsekwencje pandemii na działalność jednostki:</t>
  </si>
  <si>
    <t>Die Geschäftsführung hat folgende negative Konsequenzen der Pandemie für die Tätigkeit der Gesellschaft identifiziert:</t>
  </si>
  <si>
    <t>The Management Board has identified the following negative impact of the pandemic on the entity's business operations:</t>
  </si>
  <si>
    <t>Der Vorstand hat folgende negative Konsequenzen der Pandemie für die Tätigkeit der Gesellschaft identifiziert:</t>
  </si>
  <si>
    <t>Zdarzenia po dniu bilansowym</t>
  </si>
  <si>
    <t>Ereignisse nach dem Bilanzstichtag</t>
  </si>
  <si>
    <t>Post-balance sheet events</t>
  </si>
  <si>
    <t>Po dniu bilansowym nie zanotowano zdarzeń mogących wpłynąć na sprawozdanie finansowe.</t>
  </si>
  <si>
    <t>Nach dem Bilanzstichtag traten keine Vorfälle auf, die auf den Jahresabschluss Einfluss haben könnten.</t>
  </si>
  <si>
    <t>After the balance sheet date there were no events that could affect the Company's financial statements.</t>
  </si>
  <si>
    <t>Kontynuacja działalności</t>
  </si>
  <si>
    <t>Unternehmensfortführung</t>
  </si>
  <si>
    <t>Company's ability to continue as a going concern</t>
  </si>
  <si>
    <t>Zarząd Spółki nie stwierdza na dzień podpisania sprawozdania finansowego istnienia faktów i okoliczności, które wskazywałyby na zagrożenia dla możliwości kontynuacji działalności przez Spółkę w okresie co najmniej 12 miesięcy po dniu bilansowym na skutek zamierzonego lub przymusowego zaniechania bądź istotnego ograniczenia przez nią dotychczasowej działalności.</t>
  </si>
  <si>
    <t>Die Geschäftsführung der Gesellschaft stellt fest, dass zum Tag der Unterzeichnung des Jahresabschlusses keine Tatsachen und Umstände bestehen, die darauf hinweisen würden, dass die Unternehmensfortführung in einem Zeitraum von mindestens 12 Monaten nach dem Bilanzstichtag infolge einer beabsichtigten bzw. erzwungenen Unterlassung oder wesentlichen Beschränkung der bisherigen Tätigkeit bedroht sein könnte.</t>
  </si>
  <si>
    <t>As of the day on which the financial statements are signed, the Company's Management Board has identified no facts or circumstances that would indicate any threats to the Company's ability to continue as a going concern for at least 12 months after the balance sheet date due to planned or forced discontinuation or significant limitation of its existing operations.</t>
  </si>
  <si>
    <t>Der Vorstand stellt fest, dass zum Tag der Unterzeichnung des Jahresabschlusses keine Tatsachen und Umstände bestehen, die darauf hinweisen würden, dass die Unternehmensfortführung in einem Zeitraum von mindestens 12 Monaten nach dem Bilanzstichtag infolge einer beabsichtigten bzw. erzwungenen Unterlassung oder wesentlichen Beschränkung der bisherigen Tätigkeit bedroht sein könnte.</t>
  </si>
  <si>
    <t xml:space="preserve">Spółka otrzymała również od jednostki dominującej zapewnienie o wsparciu finansowym Spółki przez okres co najmniej 12 miesięcy po dniu bilansowym. Zarząd Spółki uważa, że nie istnieją żadne przesłanki, które mogłyby wskazywać, iż podmiot dominujący nie będzie w stanie wywiązać się z tego zobowiązania. </t>
  </si>
  <si>
    <t>Der Gesellschaft wurde von der Muttergesellschaft auch finanzielle Unterstützung für einen Zeitraum von mindestens 12 Monaten nach dem Bilanzstichtag zugesichert. Die Geschäftsführung der Gesellschaft ist der Auffassung, dass keine Voraussetzungen gegeben sind, die darauf hinweisen könnten, dass die Muttergesellschaft nicht imstande sein wird, diese Verpflichtung zu erfüllen.</t>
  </si>
  <si>
    <t xml:space="preserve">The parent company has assured the Company that it will provide financial support for at least 12 months after the balance sheet date. In the opinion of the Management Board of the Company, there are no circumstances that would prevent the parent from fulfilling that obligation.  </t>
  </si>
  <si>
    <t>Der Gesellschaft wurde von der Muttergesellschaft auch finanzielle Unterstützung für einen Zeitraum von mindestens 12 Monaten nach dem Bilanzstichtag zugesichert. Der Vorstand ist der Auffassung, dass keine Voraussetzungen gegeben sind, die darauf hinweisen könnten, dass die Muttergesellschaft nicht imstande sein wird, diese Verpflichtung zu erfüllen.</t>
  </si>
  <si>
    <t>Członek Zarządu</t>
  </si>
  <si>
    <t>Geschäftsführer</t>
  </si>
  <si>
    <r>
      <rPr>
        <sz val="10"/>
        <rFont val="Arial"/>
        <family val="2"/>
      </rPr>
      <t>Member of Management Board</t>
    </r>
  </si>
  <si>
    <t>Vorstandsmitglied</t>
  </si>
  <si>
    <t>Prezes Zarządu</t>
  </si>
  <si>
    <t>Vorsitzender der Geschäftsführung</t>
  </si>
  <si>
    <t>President of the Management Board</t>
  </si>
  <si>
    <t>Vorstandsvorsitzender</t>
  </si>
  <si>
    <t>BILANS</t>
  </si>
  <si>
    <t>Rok bieżący</t>
  </si>
  <si>
    <t>Laufendes Jahr</t>
  </si>
  <si>
    <t>Current Year</t>
  </si>
  <si>
    <t>Rok poprzedni</t>
  </si>
  <si>
    <t>Vorjahr</t>
  </si>
  <si>
    <t>Prior year</t>
  </si>
  <si>
    <t>Zatwierdzone dane za</t>
  </si>
  <si>
    <t>Festgestellte Angaben für</t>
  </si>
  <si>
    <t xml:space="preserve">Approved data for </t>
  </si>
  <si>
    <t>rok poprzedni</t>
  </si>
  <si>
    <t>das Vorjahr</t>
  </si>
  <si>
    <t>prior year</t>
  </si>
  <si>
    <t>Przekształcone dane za</t>
  </si>
  <si>
    <t>Angepasste Angaben für</t>
  </si>
  <si>
    <t xml:space="preserve">Converted data for </t>
  </si>
  <si>
    <t>AKTYWA</t>
  </si>
  <si>
    <t>AKTIVA</t>
  </si>
  <si>
    <t>ASSETS</t>
  </si>
  <si>
    <t>Aktywa trwałe</t>
  </si>
  <si>
    <t>Langfristige Vermögenswerte</t>
  </si>
  <si>
    <t>Non-current assets</t>
  </si>
  <si>
    <t>Zaliczki na wartości niematerialne i prawne</t>
  </si>
  <si>
    <t>Anzahlungen auf immaterielle Vermögensgegenstände und Rechte</t>
  </si>
  <si>
    <t>Advance payments on account of intangible assets</t>
  </si>
  <si>
    <t>Rzeczowe aktywa trwałe</t>
  </si>
  <si>
    <t>Sachanlagevermögen</t>
  </si>
  <si>
    <t>Property, plant and equipment</t>
  </si>
  <si>
    <t>grunty (w tym prawo użytkowania wieczystego gruntu)</t>
  </si>
  <si>
    <t>Grundstücke (darunter Erbnießbrauchrecht)</t>
  </si>
  <si>
    <t>land (incl. perpetual usufruct right)</t>
  </si>
  <si>
    <t>Gebäude, Räumlichkeiten und Rechte daran sowie Hoch-, Tief und Wasserbauten</t>
  </si>
  <si>
    <t>buildings, premises, rights to premises, and civil engineering structures</t>
  </si>
  <si>
    <t>Środki trwałe w budowie</t>
  </si>
  <si>
    <t>Anlagen im Bau</t>
  </si>
  <si>
    <t>Assets under construction</t>
  </si>
  <si>
    <t>Zaliczki na środki trwałe w budowie</t>
  </si>
  <si>
    <t>Anzahlungen auf Anlagen im Bau</t>
  </si>
  <si>
    <t>Advance payments on account of assets under construction</t>
  </si>
  <si>
    <t>Należności długoterminowe</t>
  </si>
  <si>
    <t>Langfristige Forderungen</t>
  </si>
  <si>
    <t xml:space="preserve">Non-current receivables </t>
  </si>
  <si>
    <t>Od jednostek powiązanych</t>
  </si>
  <si>
    <t>Gegen verbundene Unternehmen</t>
  </si>
  <si>
    <t>From related parties</t>
  </si>
  <si>
    <t>Od pozostałych jednostek, w których jednostka posiada zaangażowanie w kapitale</t>
  </si>
  <si>
    <t xml:space="preserve">Gegen dritte Unternehmen, mit denen ein Beteiligungsverhältnis besteht  </t>
  </si>
  <si>
    <t>From third parties in which the entity has an equity interest</t>
  </si>
  <si>
    <t>Od pozostałych jednostek</t>
  </si>
  <si>
    <t>Gegen dritte Unternehmen</t>
  </si>
  <si>
    <t>From third parties</t>
  </si>
  <si>
    <t>Nieruchomości</t>
  </si>
  <si>
    <t>Immobilien</t>
  </si>
  <si>
    <t>Real property</t>
  </si>
  <si>
    <t>Długoterminowe aktywa finansowe</t>
  </si>
  <si>
    <t>Langfristige finanzielle Vermögenswerte</t>
  </si>
  <si>
    <t>Non-current financial assets</t>
  </si>
  <si>
    <t>w jednostkach powiązanych</t>
  </si>
  <si>
    <t>an verbundenen Unternehmen</t>
  </si>
  <si>
    <t>in related parties</t>
  </si>
  <si>
    <t>udziały lub akcje</t>
  </si>
  <si>
    <t>Anteile oder Aktien</t>
  </si>
  <si>
    <t>shares</t>
  </si>
  <si>
    <t>inne papiery wartościowe</t>
  </si>
  <si>
    <t>sonstige Wertpapiere</t>
  </si>
  <si>
    <t>other securities</t>
  </si>
  <si>
    <t>udzielone pożyczki</t>
  </si>
  <si>
    <t>Ausleihungen</t>
  </si>
  <si>
    <t>loans advanced</t>
  </si>
  <si>
    <t>inne długoterminowe aktywa finansowe</t>
  </si>
  <si>
    <t>sonstige langfristige finanzielle Vermögenswerte</t>
  </si>
  <si>
    <t>other non-current financial assets</t>
  </si>
  <si>
    <t>w pozostałych jednostkach</t>
  </si>
  <si>
    <t>an dritten Unternehmen</t>
  </si>
  <si>
    <t>in third parties</t>
  </si>
  <si>
    <t>w pozostałych jednostkach, w których jednostka posiada zaangażowanie w kapitale</t>
  </si>
  <si>
    <t xml:space="preserve">an dritten Unternehmen, mit denen ein Beteiligungsverhältnis besteht  </t>
  </si>
  <si>
    <t xml:space="preserve"> in third parties in which the entity has an equity interest</t>
  </si>
  <si>
    <t>Inne inwestycje długoterminowe</t>
  </si>
  <si>
    <t>Sonstige langfristige Investitionen</t>
  </si>
  <si>
    <t>Other non-current investments</t>
  </si>
  <si>
    <t>Długoterminowe rozliczenia międzyokresowe</t>
  </si>
  <si>
    <t>Langfristige Rechnungsabgrenzungsposten</t>
  </si>
  <si>
    <t>Non-current prepayments</t>
  </si>
  <si>
    <t>Aktywa z tytułu odroczonego podatku dochodowego</t>
  </si>
  <si>
    <t xml:space="preserve">Aktive latente Steuern </t>
  </si>
  <si>
    <t>Deferred tax assets</t>
  </si>
  <si>
    <t>Inne rozliczenia międzyokresowe</t>
  </si>
  <si>
    <t>Sonstige Rechnungsabgrenzung</t>
  </si>
  <si>
    <t>Other prepayments</t>
  </si>
  <si>
    <t>Aktywa obrotowe</t>
  </si>
  <si>
    <t>Kurzfristige Vermögenswerte</t>
  </si>
  <si>
    <t>Current assets</t>
  </si>
  <si>
    <t>Zapasy</t>
  </si>
  <si>
    <t>Vorräte</t>
  </si>
  <si>
    <t>Inventories</t>
  </si>
  <si>
    <t xml:space="preserve">Raw materials </t>
  </si>
  <si>
    <t>Półprodukty i produkty w toku</t>
  </si>
  <si>
    <t>Halbfertige und unfertige Erzeugnisse</t>
  </si>
  <si>
    <t>Semi-finished goods and work-in-progress</t>
  </si>
  <si>
    <t>Produkty gotowe</t>
  </si>
  <si>
    <t>Towary</t>
  </si>
  <si>
    <t>Waren</t>
  </si>
  <si>
    <t>Merchandise</t>
  </si>
  <si>
    <t>Zaliczki na dostawy i usługi</t>
  </si>
  <si>
    <t>Anzahlungen auf Lieferungen und Leistungen</t>
  </si>
  <si>
    <t>Advance payments on account of supplies and services</t>
  </si>
  <si>
    <t>Należności krótkoterminowe</t>
  </si>
  <si>
    <t>Kurzfristige Forderungen</t>
  </si>
  <si>
    <t>Current receivables</t>
  </si>
  <si>
    <t>Należności od jednostek powiązanych</t>
  </si>
  <si>
    <t>Forderungen gegen verbundene Unternehmen</t>
  </si>
  <si>
    <t>Receivables from related parties</t>
  </si>
  <si>
    <t>Należności od pozostałych jednostek, w których jednostka posiada zaangażowanie w kapitale</t>
  </si>
  <si>
    <t xml:space="preserve">Forderungen gegen dritte Unternehmen, mit denen ein Beteiligungsverhältnis besteht  </t>
  </si>
  <si>
    <t>Receivables from third parties in which the entity has an equity interest</t>
  </si>
  <si>
    <t>z tytułu dostaw i usług, o okresie spłaty:</t>
  </si>
  <si>
    <t xml:space="preserve">aus Lieferungen und Leistungen, darunter mit einer Restlaufzeit von: </t>
  </si>
  <si>
    <t xml:space="preserve">trade receivables falling due: </t>
  </si>
  <si>
    <t>do 12 miesięcy</t>
  </si>
  <si>
    <t>bis zu 12 Monaten</t>
  </si>
  <si>
    <t>up to 12 months</t>
  </si>
  <si>
    <t>powyżej 12 miesięcy</t>
  </si>
  <si>
    <t>über 12 Monate</t>
  </si>
  <si>
    <t>after 12 months</t>
  </si>
  <si>
    <t>inne</t>
  </si>
  <si>
    <t>sonstige</t>
  </si>
  <si>
    <t>other</t>
  </si>
  <si>
    <t>Należności od pozostałych jednostek</t>
  </si>
  <si>
    <t>Forderungen gegen dritte Unternehmen</t>
  </si>
  <si>
    <t>Receivables from third parties</t>
  </si>
  <si>
    <t>z tytułu podatków, dotacji, ceł, ubezpieczeń społecznych i zdrowotnych oraz innych tytułów publicznoprawnych</t>
  </si>
  <si>
    <t>aus Steuern, Zuschüssen, Zöllen, Sozial- und Krankenversicherungen sowie andere öffentlich-rechtliche Forderungen</t>
  </si>
  <si>
    <t>tax, subsidy, customs duty, social security, health insurance and other benefits receivable</t>
  </si>
  <si>
    <t>other receivables</t>
  </si>
  <si>
    <t>dochodzone na drodze sądowej</t>
  </si>
  <si>
    <t>auf dem Rechtsweg</t>
  </si>
  <si>
    <t>receivables at court</t>
  </si>
  <si>
    <t>Krótkoterminowe aktywa finansowe</t>
  </si>
  <si>
    <t>Kurzfristige finanzielle Vermögenswerte</t>
  </si>
  <si>
    <t>Current financial assets</t>
  </si>
  <si>
    <t>inne krótkoterminowe aktywa finansowe</t>
  </si>
  <si>
    <t>sonstige kurzfristige finanzielle Vermögenswerte</t>
  </si>
  <si>
    <t>other current financial assets</t>
  </si>
  <si>
    <t>środki pieniężne i inne aktywa pieniężne</t>
  </si>
  <si>
    <t>Geldmittel und sonstige flüssige Mittel</t>
  </si>
  <si>
    <t>cash, cash equivalents and other monetary assets</t>
  </si>
  <si>
    <t>środki pieniężne w kasie i na rachunkach</t>
  </si>
  <si>
    <t>Geldmittel in der Kasse und Bankguthaben</t>
  </si>
  <si>
    <t>cash in hand and at bank</t>
  </si>
  <si>
    <t>inne środki pieniężne</t>
  </si>
  <si>
    <t>sonstige Geldmittel</t>
  </si>
  <si>
    <t>other cash equivalents</t>
  </si>
  <si>
    <t>inne aktywa pieniężne</t>
  </si>
  <si>
    <t>sonstige flüssige Mittel</t>
  </si>
  <si>
    <t>other monetary assets</t>
  </si>
  <si>
    <t>Inne inwestycje krótkoterminowe</t>
  </si>
  <si>
    <t>Sonstige kurzfristige Investitionen</t>
  </si>
  <si>
    <t>Other current investments</t>
  </si>
  <si>
    <t>Krótkoterminowe rozliczenia międzyokresowe</t>
  </si>
  <si>
    <t>Kurzfristige Rechnungsabgrenzungsposten</t>
  </si>
  <si>
    <t>Current prepayments</t>
  </si>
  <si>
    <t>Aktywa razem</t>
  </si>
  <si>
    <t>Summe Aktiva</t>
  </si>
  <si>
    <t>Total assets</t>
  </si>
  <si>
    <t>PASYWA</t>
  </si>
  <si>
    <t>PASSIVA</t>
  </si>
  <si>
    <t>EQUITY AND LIABILITIES</t>
  </si>
  <si>
    <t>Kapitał  (fundusz) własny</t>
  </si>
  <si>
    <t>Eigenkapital</t>
  </si>
  <si>
    <t>Owners' equity</t>
  </si>
  <si>
    <t>Kapitał (fundusz) podstawowy</t>
  </si>
  <si>
    <t>Gezeichnetes Kapital</t>
  </si>
  <si>
    <t>Issued share capital</t>
  </si>
  <si>
    <t xml:space="preserve">Należne wpłaty na kapitał (fundusz) podstawowy </t>
  </si>
  <si>
    <t xml:space="preserve">Ausstehende Einlagen auf das gezeichnete Kapital </t>
  </si>
  <si>
    <t xml:space="preserve">Outstanding share capital contributions </t>
  </si>
  <si>
    <t xml:space="preserve">Udziały (akcje) własne </t>
  </si>
  <si>
    <t xml:space="preserve">Eigene Anteile (Aktien) </t>
  </si>
  <si>
    <t xml:space="preserve">Treasury shares </t>
  </si>
  <si>
    <t>Kapitał (fundusz) zapasowy, w tym:</t>
  </si>
  <si>
    <t>Kapitalrücklage, darunter:</t>
  </si>
  <si>
    <t>Capital reserves, incl:</t>
  </si>
  <si>
    <t>nadwyżka wartości sprzedaży (wartości emisyjnej) nad wartością nominalną udziałów (akcji)</t>
  </si>
  <si>
    <t>Überhang des Verkaufswertes (Emissionswertes) über den Nennwert der Anteile (Aktien)</t>
  </si>
  <si>
    <t>share premium (agio)</t>
  </si>
  <si>
    <t>Kapitał (fundusz) z aktualizacji wyceny, w tym:</t>
  </si>
  <si>
    <t>Neubewertungsrücklage, darunter:</t>
  </si>
  <si>
    <t>Revaluation reserve, incl:</t>
  </si>
  <si>
    <t>z tytułu aktualizacji wartości godziwej</t>
  </si>
  <si>
    <t>aus der Neubewertung des beizulegenden Zeitwertes</t>
  </si>
  <si>
    <t>fair value adjustment</t>
  </si>
  <si>
    <t>Pozostałe kapitały (fundusze) rezerwowe, w tym:</t>
  </si>
  <si>
    <t>Sonstige Rücklagen, darunter:</t>
  </si>
  <si>
    <t>Other capital reserves, incl:</t>
  </si>
  <si>
    <t>tworzone zgodnie z umową (statutem) spółki</t>
  </si>
  <si>
    <t>satzungsmäßige Rücklagen</t>
  </si>
  <si>
    <t>as per the entity's constitutional document</t>
  </si>
  <si>
    <t>na udziały (akcje) własne</t>
  </si>
  <si>
    <t>für eigene Anteile (Aktien)</t>
  </si>
  <si>
    <t>for treasury shares</t>
  </si>
  <si>
    <t>Zysk (strata) z lat ubiegłych</t>
  </si>
  <si>
    <t>Ergebnisvortrag</t>
  </si>
  <si>
    <t>Accumulated profit (loss) carried forward</t>
  </si>
  <si>
    <t>Zysk (strata) netto</t>
  </si>
  <si>
    <t>Jahresergebnis</t>
  </si>
  <si>
    <t>Net profit (loss) for the period</t>
  </si>
  <si>
    <t>Odpisy z zysku netto w ciągu roku obrotowego
 (wielkość ujemna)</t>
  </si>
  <si>
    <t>Abzüge vom Jahresüberschuss im Laufe des Geschäftsjahres (negativer Wert)</t>
  </si>
  <si>
    <t>Deductions from net profit during the financial year (negative figure)</t>
  </si>
  <si>
    <t>Zobowiązania i rezerwy na zobowiązania</t>
  </si>
  <si>
    <t>Verbindlichkeiten und Rückstellungen für Verbindlichkeiten</t>
  </si>
  <si>
    <t>Liabilities and provisions for liabilities</t>
  </si>
  <si>
    <t>Rezerwy na zobowiązania</t>
  </si>
  <si>
    <t>Rückstellungen für Verbindlichkeiten</t>
  </si>
  <si>
    <t>Provisions for liabilities</t>
  </si>
  <si>
    <t>Rezerwa z tytułu odroczonego podatku dochodowego</t>
  </si>
  <si>
    <t>Rückstellungen für latente Steuern</t>
  </si>
  <si>
    <t>Deferred tax liabilities</t>
  </si>
  <si>
    <t>Rezerwa na świadczenia emerytalne i podobne</t>
  </si>
  <si>
    <t>Rückstellung für Pensionen und ähnliche Verpflichtungen</t>
  </si>
  <si>
    <t>Provision for retirement benefits and similar obligations</t>
  </si>
  <si>
    <t>długoterminowa</t>
  </si>
  <si>
    <t>langfristig</t>
  </si>
  <si>
    <t>non-current</t>
  </si>
  <si>
    <t>krótkoterminowa</t>
  </si>
  <si>
    <t>kurzfristig</t>
  </si>
  <si>
    <t>current</t>
  </si>
  <si>
    <t>Pozostałe rezerwy</t>
  </si>
  <si>
    <t>Sonstige Rückstellungen</t>
  </si>
  <si>
    <t>Other provisions</t>
  </si>
  <si>
    <t>długoterminowe</t>
  </si>
  <si>
    <t>krótkoterminowe</t>
  </si>
  <si>
    <t>Zobowiązania długoterminowe</t>
  </si>
  <si>
    <t>Langfristige Verbindlichkeiten</t>
  </si>
  <si>
    <t>Non-current liabilities</t>
  </si>
  <si>
    <t>Wobec jednostek powiązanych</t>
  </si>
  <si>
    <t>Gegenüber verbundenen Unternehmen</t>
  </si>
  <si>
    <t>Against related parties</t>
  </si>
  <si>
    <t>Wobec jednostek, w których jednostka posiada zaangażowanie w kapitale</t>
  </si>
  <si>
    <t xml:space="preserve">Gegenüber dritten Unternehmen, mit denen ein Beteiligungsverhältnis besteht  </t>
  </si>
  <si>
    <t>Against third parties in which the entity has an equity interest</t>
  </si>
  <si>
    <t>Wobec pozostałych jednostek</t>
  </si>
  <si>
    <t>Gegenüber dritten Unternehmen</t>
  </si>
  <si>
    <t>Against third parties</t>
  </si>
  <si>
    <t>kredyty i pożyczki</t>
  </si>
  <si>
    <t>Kredite und Darlehen</t>
  </si>
  <si>
    <t>Loans and borrowings</t>
  </si>
  <si>
    <t>z tytułu emisji dłużnych papierów wartościowych</t>
  </si>
  <si>
    <t>aus der Emission schuldrechtlicher Wertpapiere</t>
  </si>
  <si>
    <t>issued debt securities</t>
  </si>
  <si>
    <t>inne zobowiązania finansowe</t>
  </si>
  <si>
    <t>sonstige finanzielle Verbindlichkeiten</t>
  </si>
  <si>
    <t>other financial liabilities</t>
  </si>
  <si>
    <t>zobowiązania wekslowe</t>
  </si>
  <si>
    <t>Wechselverbindlichkeiten</t>
  </si>
  <si>
    <t>bills of exchange payable</t>
  </si>
  <si>
    <t>Zobowiązania krótkoterminowe</t>
  </si>
  <si>
    <t>Kurzfristige Verbindlichkeiten</t>
  </si>
  <si>
    <t>Current liabilities</t>
  </si>
  <si>
    <t>Zobowiązania wobec jednostek powiązanych</t>
  </si>
  <si>
    <t>Verbindlichkeiten gegenüber verbundenen Unternehmen</t>
  </si>
  <si>
    <t>Liabilities against related parties</t>
  </si>
  <si>
    <t>Zobowiązania wobec pozostałych jednostek, w których jednostka posiada zaangażowanie w kapitale</t>
  </si>
  <si>
    <t xml:space="preserve">Verbindlichkeiten gegenüber dritten Unternehmen, mit denen ein Beteiligungsverhältnis besteht  </t>
  </si>
  <si>
    <t xml:space="preserve"> Liabilities against third parties in which the entity has an equity interest</t>
  </si>
  <si>
    <t>z tytułu dostaw i usług, o okresie wymagalności:</t>
  </si>
  <si>
    <t>trade payables falling due:</t>
  </si>
  <si>
    <t xml:space="preserve">other </t>
  </si>
  <si>
    <t>Zobowiązania wobec pozostałych jednostek</t>
  </si>
  <si>
    <t>Verbindlichkeiten gegenüber dritten Unternehmen</t>
  </si>
  <si>
    <t>Liabilities against third parties</t>
  </si>
  <si>
    <t>zaliczki otrzymane na dostawy i usługi</t>
  </si>
  <si>
    <t>erhaltene Anzahlungen auf Lieferungen und Leistungen</t>
  </si>
  <si>
    <t>payments received on account of supplies and services</t>
  </si>
  <si>
    <t>z tytułu podatków, ceł, ubezpieczeń społecznych i zdrowotnych oraz innych tytułów publicznoprawnych</t>
  </si>
  <si>
    <t>aus Steuern, Zöllen, Sozial- und Krankenversicherungen sowie andere öffentlich-rechtliche Verbindlichkeiten</t>
  </si>
  <si>
    <t>tax, customs duty, social security, health insurance and other public payables</t>
  </si>
  <si>
    <t>z tytułu wynagrodzeń</t>
  </si>
  <si>
    <t>aus Löhnen und Gehältern</t>
  </si>
  <si>
    <t>wages and salaries</t>
  </si>
  <si>
    <t>Fundusze specjalne</t>
  </si>
  <si>
    <t>Sonderfonds</t>
  </si>
  <si>
    <t>Special funds</t>
  </si>
  <si>
    <t>Rozliczenia międzyokresowe</t>
  </si>
  <si>
    <t>Passive Rechnungsabgrenzung</t>
  </si>
  <si>
    <t>Accruals</t>
  </si>
  <si>
    <t>tu 'Rozliczenia międzyokresowe' wynikają pewnie z terminologii w ustawie, ALE w 488 jest w PL 'Bierne rozliczenia międzyokresowe' i jako odpowiednik 'Accruals' - gdyby tu (w wersji PL) było też tak, sytuacja byłaby klarowna</t>
  </si>
  <si>
    <t>Ujemna wartość firmy</t>
  </si>
  <si>
    <t>Negativer Geschäfts- oder Firmenwert</t>
  </si>
  <si>
    <t>Negative goodwill</t>
  </si>
  <si>
    <t>Other accruals</t>
  </si>
  <si>
    <t>Pasywa razem</t>
  </si>
  <si>
    <t>Summe Passiva</t>
  </si>
  <si>
    <t>Total Equity and Liabilities</t>
  </si>
  <si>
    <t>Osoba sporządzająca:</t>
  </si>
  <si>
    <t>Erstellt von:</t>
  </si>
  <si>
    <t>Prepared by:</t>
  </si>
  <si>
    <t>Zarząd:</t>
  </si>
  <si>
    <t>Geschäftsführung:</t>
  </si>
  <si>
    <t>Management Board:</t>
  </si>
  <si>
    <t>Vorstand:</t>
  </si>
  <si>
    <t>Inne krótkoterminowe rozliczenia międzyokresowe</t>
  </si>
  <si>
    <t>Sonstige kurzfristige Rechnungsabgrenzungsposten</t>
  </si>
  <si>
    <t>Other current prepayments and accruals</t>
  </si>
  <si>
    <t>RZiS Por.</t>
  </si>
  <si>
    <t>Rachunek zysków i strat</t>
  </si>
  <si>
    <t>Gewinn- und Verlustrechnung</t>
  </si>
  <si>
    <t>Income Statement</t>
  </si>
  <si>
    <t>(wariant porównawczy)</t>
  </si>
  <si>
    <t>(Gesamtkostenverfahren)</t>
  </si>
  <si>
    <t>(nature of expense method)</t>
  </si>
  <si>
    <t>Przychody netto ze sprzedaży i zrównane z nimi, w tym:</t>
  </si>
  <si>
    <t>Umsatzerlöse und ihnen gleichgestellte Erträge, darunter:</t>
  </si>
  <si>
    <t>Sales revenue and sales equivalents, incl:</t>
  </si>
  <si>
    <t>od jednostek powiązanych</t>
  </si>
  <si>
    <t>aus verbundenen Unternehmen</t>
  </si>
  <si>
    <t>those from related parties</t>
  </si>
  <si>
    <t>Przychody netto ze sprzedaży produktów</t>
  </si>
  <si>
    <t>Erträge aus dem Verkauf von Erzeugnissen</t>
  </si>
  <si>
    <t>Net revenue from sale of finished goods</t>
  </si>
  <si>
    <t>Zmiana stanu produktów</t>
  </si>
  <si>
    <t>Veränderung des Bestandes an Erzeugnissen</t>
  </si>
  <si>
    <t>Change in inventories of finished goods and work-in-progress</t>
  </si>
  <si>
    <t>Koszt wytworzenia produktów na własne potrzeby jednostki</t>
  </si>
  <si>
    <t>Eigenleistungen</t>
  </si>
  <si>
    <t>Work performed by the entity and capitalised</t>
  </si>
  <si>
    <t>Przychody netto ze sprzedaży towarów</t>
  </si>
  <si>
    <t xml:space="preserve">Net revenue from sale of merchandise </t>
  </si>
  <si>
    <t>Koszty działalności operacyjnej</t>
  </si>
  <si>
    <t>Aufwendungen der betrieblichen Tätigkeit</t>
  </si>
  <si>
    <t>Costs of operating activities</t>
  </si>
  <si>
    <t>Zużycie materiałów i energii</t>
  </si>
  <si>
    <t>Verbrauch an Roh-, Hilfs- und Betriebsstoffen und Energie</t>
  </si>
  <si>
    <t>Raw materials and energy used</t>
  </si>
  <si>
    <t>Usługi obce</t>
  </si>
  <si>
    <t>Fremdleistungen</t>
  </si>
  <si>
    <t>External services</t>
  </si>
  <si>
    <t>Podatki i opłaty, w tym:</t>
  </si>
  <si>
    <t>Steuern und Gebühren, darunter:</t>
  </si>
  <si>
    <t>Taxes and charges, incl:</t>
  </si>
  <si>
    <t>podatek akcyzowy</t>
  </si>
  <si>
    <t>Verbrauchsteuer</t>
  </si>
  <si>
    <t>excise duty</t>
  </si>
  <si>
    <t>Wynagrodzenia</t>
  </si>
  <si>
    <t>Löhne und Gehälter</t>
  </si>
  <si>
    <t>Wages and salaries</t>
  </si>
  <si>
    <t>Ubezpieczenia społeczne i inne świadczenia, w tym:</t>
  </si>
  <si>
    <t>Personalnebenkosten, darunter:</t>
  </si>
  <si>
    <t>Social security and other employee benefits, incl.:</t>
  </si>
  <si>
    <t>emerytalne</t>
  </si>
  <si>
    <t>Pensionsleistungen</t>
  </si>
  <si>
    <t>retirement pension insurance</t>
  </si>
  <si>
    <t>Pozostałe koszty rodzajowe</t>
  </si>
  <si>
    <t>Sonstige Aufwendungen der betrieblichen Tätigkeit</t>
  </si>
  <si>
    <t>Other expenses</t>
  </si>
  <si>
    <t>Wartość sprzedanych towarów</t>
  </si>
  <si>
    <t>Wert der verkauften Waren</t>
  </si>
  <si>
    <t>Cost of merchandise sold</t>
  </si>
  <si>
    <t>Zysk (strata) ze sprzedaży</t>
  </si>
  <si>
    <t>Ergebnis aus dem Verkauf</t>
  </si>
  <si>
    <t>Profit (loss) on sales</t>
  </si>
  <si>
    <t>Pozostałe przychody operacyjne</t>
  </si>
  <si>
    <t>Sonstige betriebliche Erträge</t>
  </si>
  <si>
    <t>Other operating income</t>
  </si>
  <si>
    <t>Zysk z tytułu rozchodu niefinansowych aktywów trwałych</t>
  </si>
  <si>
    <t>Gewinn aus dem Abgang nicht finanzieller langfristiger Vermögenswerte</t>
  </si>
  <si>
    <t>Profit on sales of non-financial non-current assets</t>
  </si>
  <si>
    <t>Dotacje</t>
  </si>
  <si>
    <t>Zuschüsse</t>
  </si>
  <si>
    <t>Subsidies</t>
  </si>
  <si>
    <t>Aktualizacja wartości aktywów niefinansowych</t>
  </si>
  <si>
    <t>Neubewertung nicht finanzieller Vermögenswerte</t>
  </si>
  <si>
    <t>Value adjustment of non-financial assets</t>
  </si>
  <si>
    <t>Inne przychody operacyjne</t>
  </si>
  <si>
    <t>Übrige betriebliche Erträge</t>
  </si>
  <si>
    <t>Pozostałe koszty operacyjne</t>
  </si>
  <si>
    <t>Sonstige betriebliche Aufwendungen</t>
  </si>
  <si>
    <t>Other operating expenses</t>
  </si>
  <si>
    <t>Strata z tytułu rozchodu niefinansowych aktywów trwałych</t>
  </si>
  <si>
    <t>Verlust aus dem Abgang nicht finanzieller langfristiger Vermögenswerte</t>
  </si>
  <si>
    <t>Loss on disposal of non-financial non-current assets</t>
  </si>
  <si>
    <t>Neubewertung der nicht finanziellen Vermögenswerte</t>
  </si>
  <si>
    <t>Inne koszty operacyjne</t>
  </si>
  <si>
    <t>Übrige betriebliche Aufwendungen</t>
  </si>
  <si>
    <t>Zysk (strata) z działalności operacyjnej</t>
  </si>
  <si>
    <t>Betriebsergebnis</t>
  </si>
  <si>
    <t>Profit (loss) on operating activities</t>
  </si>
  <si>
    <t>Przychody finansowe</t>
  </si>
  <si>
    <t>Finanzerträge</t>
  </si>
  <si>
    <t>Financial revenue</t>
  </si>
  <si>
    <t>Dywidendy i udziały w zyskach, w tym:</t>
  </si>
  <si>
    <t>Dividenden und Gewinnbeteiligungen, darunter:</t>
  </si>
  <si>
    <t>Dividends and profit sharing, incl.:</t>
  </si>
  <si>
    <t>od jednostek powiązanych, w tym:</t>
  </si>
  <si>
    <t>aus verbundenen Unternehmen, darunter:</t>
  </si>
  <si>
    <t>those received from related parties, incl.:</t>
  </si>
  <si>
    <t>w których jednostka posiada zaangażowanie w kapitale</t>
  </si>
  <si>
    <t xml:space="preserve">mit denen ein Beteiligungsverhältnis besteht  </t>
  </si>
  <si>
    <t>in which the entity has an equity interest</t>
  </si>
  <si>
    <t>od jednostek pozostałych, w tym:</t>
  </si>
  <si>
    <t>aus dritten Unternehmen, darunter:</t>
  </si>
  <si>
    <t>from third parties, incl.:</t>
  </si>
  <si>
    <t>Odsetki, w tym:</t>
  </si>
  <si>
    <t>Zinsen, darunter:</t>
  </si>
  <si>
    <t>Interest, incl.:</t>
  </si>
  <si>
    <t>Zysk z tytułu rozchodu aktywów finansowych, w tym:</t>
  </si>
  <si>
    <t>Gewinn aus dem Abgang finanzieller Vermögenswerte, darunter:</t>
  </si>
  <si>
    <t>Profit on disposal of financial assets, incl.:</t>
  </si>
  <si>
    <t>Aktualizacja wartości aktywów finansowych</t>
  </si>
  <si>
    <t>Neubewertung finanzieller Vermögenswerte</t>
  </si>
  <si>
    <t>Value adjustment of financial assets</t>
  </si>
  <si>
    <t>Inne</t>
  </si>
  <si>
    <t xml:space="preserve">Other </t>
  </si>
  <si>
    <t>Koszty finansowe</t>
  </si>
  <si>
    <t>Finanzaufwendungen</t>
  </si>
  <si>
    <t>Financial expenses</t>
  </si>
  <si>
    <t>dla jednostek powiązanych</t>
  </si>
  <si>
    <t>an verbundene Unternehmen</t>
  </si>
  <si>
    <t>that paid to related parties</t>
  </si>
  <si>
    <t>Strata z tytułu rozchodu aktywów finansowych, w tym:</t>
  </si>
  <si>
    <t>Verlust aus dem Abgang finanzieller Vermögenswerte, darunter:</t>
  </si>
  <si>
    <t>Loss on disposal of financial assets, incl.:</t>
  </si>
  <si>
    <t>Zysk (strata) brutto</t>
  </si>
  <si>
    <t>Ergebnis vor Steuern</t>
  </si>
  <si>
    <t>Profit (loss) on ordinary activities</t>
  </si>
  <si>
    <t>Wynik zdarzeń nadzwyczajnych</t>
  </si>
  <si>
    <t>Außerordentliches Ergebnis</t>
  </si>
  <si>
    <t>Result of extraordinary items</t>
  </si>
  <si>
    <t>Zyski nadzwyczajne</t>
  </si>
  <si>
    <t>Außerordentliche Erträge</t>
  </si>
  <si>
    <t>Extraordinary gains</t>
  </si>
  <si>
    <t>Straty nadzwyczajne</t>
  </si>
  <si>
    <t>Außerordentliche Aufwendungen</t>
  </si>
  <si>
    <t>Extraordinary losses</t>
  </si>
  <si>
    <t>Profit (loss) before tax</t>
  </si>
  <si>
    <t>Podatek dochodowy</t>
  </si>
  <si>
    <t xml:space="preserve">Körperschaftsteuer </t>
  </si>
  <si>
    <t>Income taxes</t>
  </si>
  <si>
    <t>Pozostałe obowiązkowe zmniejszenia zysku (zwiększenia straty)</t>
  </si>
  <si>
    <t>Sonstige Pflichtabzüge vom Ergebnis</t>
  </si>
  <si>
    <t>Other obligatory appropriations of profit (loss)</t>
  </si>
  <si>
    <t>RZiS Kal.</t>
  </si>
  <si>
    <t>(wariant kalkulacyjny)</t>
  </si>
  <si>
    <t>(Umsatzkostenverfahren)</t>
  </si>
  <si>
    <t>(function of expense method)</t>
  </si>
  <si>
    <t>Previous year</t>
  </si>
  <si>
    <t>Przychody netto ze sprzedaży produktów i towarów, w tym:</t>
  </si>
  <si>
    <t xml:space="preserve">Umsatzerlöse, darunter: </t>
  </si>
  <si>
    <t>Net revenue from sale of finished goods and merchandise, incl:</t>
  </si>
  <si>
    <t>that from related parties</t>
  </si>
  <si>
    <t xml:space="preserve">Net revenue from sale of finished goods </t>
  </si>
  <si>
    <t>Erträge aus dem Verkauf von Waren</t>
  </si>
  <si>
    <t>Net revenue from sale of merchandise</t>
  </si>
  <si>
    <t>Koszty sprzedanych produktów i towarów, w tym:</t>
  </si>
  <si>
    <t>Aufwendungen für verkaufte Erzeugnisse und Waren, darunter:</t>
  </si>
  <si>
    <t>Costs of finished goods and merchandise sold, incl:</t>
  </si>
  <si>
    <t>jednostkom powiązanym</t>
  </si>
  <si>
    <t>those sold to related parties</t>
  </si>
  <si>
    <t>Koszt wytworzenia sprzedanych produktów</t>
  </si>
  <si>
    <t>Herstellungskosten der verkauften Erzeugnisse</t>
  </si>
  <si>
    <t>Production cost of finished goods sold</t>
  </si>
  <si>
    <t>Zysk (strata) brutto ze sprzedaży</t>
  </si>
  <si>
    <t>Rohertrag</t>
  </si>
  <si>
    <t>Gross profit (loss) on sales</t>
  </si>
  <si>
    <t>Koszty sprzedaży</t>
  </si>
  <si>
    <t>Vertriebskosten</t>
  </si>
  <si>
    <t>Distribution costs</t>
  </si>
  <si>
    <t>Koszty ogólnego zarządu</t>
  </si>
  <si>
    <t>Allgemeine Verwaltungskosten</t>
  </si>
  <si>
    <t>Administrative expenses</t>
  </si>
  <si>
    <t>CF mp</t>
  </si>
  <si>
    <t>Rachunek przepływów pieniężnych</t>
  </si>
  <si>
    <t>Kapitalflussrechnung</t>
  </si>
  <si>
    <t>Cash flow statement</t>
  </si>
  <si>
    <t>(metoda pośrednia)</t>
  </si>
  <si>
    <t>(indirekte Methode)</t>
  </si>
  <si>
    <t>(indirect method)</t>
  </si>
  <si>
    <t>Przepływy środków pieniężnych z działalności operacyjnej</t>
  </si>
  <si>
    <t>Kapitalfluss aus der laufenden Geschäftstätigkeit</t>
  </si>
  <si>
    <t>Cash flows from operating activities</t>
  </si>
  <si>
    <t>Net (profit) loss for the period</t>
  </si>
  <si>
    <t>Korekty razem</t>
  </si>
  <si>
    <t>Korrekturen insgesamt</t>
  </si>
  <si>
    <t>Total adjustments</t>
  </si>
  <si>
    <t>Depreciation (amortisation)</t>
  </si>
  <si>
    <t>Zyski (straty) z tytułu różnic kursowych</t>
  </si>
  <si>
    <t>Kursgewinne/Kursverluste</t>
  </si>
  <si>
    <t>Foreign exchange gains (losses)</t>
  </si>
  <si>
    <t>Odsetki i udziały w zyskach (dywidendy)</t>
  </si>
  <si>
    <t xml:space="preserve">Zinsen und Gewinnbeteiligungen (Dividenden) </t>
  </si>
  <si>
    <t>Interest and profit-sharing (dividends)</t>
  </si>
  <si>
    <t>Zysk (strata) z działalności inwestycyjnej</t>
  </si>
  <si>
    <t>Ergebnis aus der Investitionstätigkeit</t>
  </si>
  <si>
    <t>Gain (loss) on investing activities</t>
  </si>
  <si>
    <t>Zmiana stanu rezerw</t>
  </si>
  <si>
    <t>Veränderung des Bestandes an Rückstellungen</t>
  </si>
  <si>
    <t>Increase (decrease) in provisions</t>
  </si>
  <si>
    <t>Zmiana stanu zapasów</t>
  </si>
  <si>
    <t>Veränderung des Bestandes an Vorräten</t>
  </si>
  <si>
    <t>Increase (decrease) in inventories</t>
  </si>
  <si>
    <t>Zmiana stanu należności</t>
  </si>
  <si>
    <t>Veränderung des Bestandes an Forderungen</t>
  </si>
  <si>
    <t>Increase (decrease) in receivables</t>
  </si>
  <si>
    <t>Zmiana stanu zobowiązań krótkoterminowych, z wyjątkiem pożyczek i kredytów</t>
  </si>
  <si>
    <t>Veränderung des Bestandes an kurzfristigen Verbindlichkeiten (ohne Darlehen und Kredite)</t>
  </si>
  <si>
    <t>Increase (decrease) in current liabilities (excl. loans and credits)</t>
  </si>
  <si>
    <t>Zmiana stanu rozliczeń międzyokresowych</t>
  </si>
  <si>
    <t>Veränderung des Bestandes an Rechnungsabgrenzungsposten</t>
  </si>
  <si>
    <t>Increase (decrease) in prepayments and accruals</t>
  </si>
  <si>
    <t>Inne korekty</t>
  </si>
  <si>
    <t>Sonstige Korrekturen</t>
  </si>
  <si>
    <t>Other adjustments</t>
  </si>
  <si>
    <t>Przepływy pieniężne netto z działalności operacyjnej</t>
  </si>
  <si>
    <t>Nettokapitalfluss aus der laufenden Geschäftstätigkeit</t>
  </si>
  <si>
    <t>Net cash from operating activities</t>
  </si>
  <si>
    <t>Przepływy środków pieniężnych z działalności inwestycyjnej</t>
  </si>
  <si>
    <t>Kapitalfluss aus der Investitionstätigkeit</t>
  </si>
  <si>
    <t>Cash flows from investing activities</t>
  </si>
  <si>
    <t>Wpływy</t>
  </si>
  <si>
    <t>Einzahlungen</t>
  </si>
  <si>
    <t>Receipts</t>
  </si>
  <si>
    <t>Zbycie wartości niematerialnych i prawnych oraz rzeczowych aktywów trwałych</t>
  </si>
  <si>
    <t>Veräußerung von immateriellen Vermögensgegenständen und Rechten sowie von Gegenständen des Sachanlagevermögens</t>
  </si>
  <si>
    <t>Sale of intangible assets and property, plant and equipment</t>
  </si>
  <si>
    <t>Zbycie inwestycji w nieruchomości oraz wartości niematerialne i prawne</t>
  </si>
  <si>
    <t>Veräußerung von Investitionen in Immobilien sowie immaterielle Vermögensgegenstände und Rechte</t>
  </si>
  <si>
    <t>Sale of property investments and intangible asset investments</t>
  </si>
  <si>
    <t>Z aktywów finansowych, w tym:</t>
  </si>
  <si>
    <t>Aus finanziellen Vermögenswerten, darunter:</t>
  </si>
  <si>
    <t>From financial assets, incl.:</t>
  </si>
  <si>
    <t>those in related parties</t>
  </si>
  <si>
    <t>those in third parties</t>
  </si>
  <si>
    <t>zbycie aktywów finansowych</t>
  </si>
  <si>
    <t>Veräußerung finanzieller Vermögenswerte</t>
  </si>
  <si>
    <t>sale of financial assets</t>
  </si>
  <si>
    <t>dywidendy i udziały w zyskach</t>
  </si>
  <si>
    <t>Dividenden und Gewinnbeteiligungen</t>
  </si>
  <si>
    <t>dividends and profit sharing</t>
  </si>
  <si>
    <t>spłata udzielonych pożyczek długoterminowych</t>
  </si>
  <si>
    <t>Rückzahlung langfristiger Ausleihungen</t>
  </si>
  <si>
    <t>repayment of long-term loans advanced</t>
  </si>
  <si>
    <t>odsetki</t>
  </si>
  <si>
    <t>Zinsen</t>
  </si>
  <si>
    <t>interest</t>
  </si>
  <si>
    <t>inne wpływy z aktywów finansowych</t>
  </si>
  <si>
    <t>sonstige Einzahlungen aus finanziellen Vermögenswerten</t>
  </si>
  <si>
    <t>other receipts from financial assets</t>
  </si>
  <si>
    <t>Inne wpływy inwestycyjne</t>
  </si>
  <si>
    <t>Sonstige Einzahlungen aus der Investitionstätigkeit</t>
  </si>
  <si>
    <t>Other receipts from investing activities</t>
  </si>
  <si>
    <t>Wydatki</t>
  </si>
  <si>
    <t>Auszahlungen</t>
  </si>
  <si>
    <t>Payments</t>
  </si>
  <si>
    <t>Nabycie wartości niematerialnych i prawnych oraz rzeczowych aktywów trwałych</t>
  </si>
  <si>
    <t>Erwerb von immateriellen Vermögensgegenständen und Rechten sowie von Gegenständen des Sachanlagevermögens</t>
  </si>
  <si>
    <t>Purchase of intangible assets and property, plant and equipment</t>
  </si>
  <si>
    <t>Inwestycje w nieruchomości oraz wartości niematerialne i prawne</t>
  </si>
  <si>
    <t>Investitionen in Immobilien sowie immaterielle Vermögensgegenstände und Rechte</t>
  </si>
  <si>
    <t>Property investments and intangible asset investments</t>
  </si>
  <si>
    <t>Na aktywa finansowe, w tym:</t>
  </si>
  <si>
    <t>Für finanzielle Vermögenswerte, darunter:</t>
  </si>
  <si>
    <t>For financial assets, incl.:</t>
  </si>
  <si>
    <t>nabycie aktywów finansowych</t>
  </si>
  <si>
    <t>Erwerb finanzieller Vermögenswerte</t>
  </si>
  <si>
    <t>purchase of financial assets</t>
  </si>
  <si>
    <t>udzielone pożyczki długoterminowe</t>
  </si>
  <si>
    <t>langfristige Ausleihungen</t>
  </si>
  <si>
    <t>long-term loans advanced</t>
  </si>
  <si>
    <t>Inne wydatki inwestycyjne</t>
  </si>
  <si>
    <t>Sonstige Auszahlungen für die Investitionstätigkeit</t>
  </si>
  <si>
    <t>Other payments for investing activities</t>
  </si>
  <si>
    <t>Przepływy pieniężne netto z działalności inwestycyjnej</t>
  </si>
  <si>
    <t>Nettokapitalfluss aus der Investitionstätigkeit</t>
  </si>
  <si>
    <t>Net cash from investing activities</t>
  </si>
  <si>
    <t>Przepływy środków pieniężnych z działalności finansowej</t>
  </si>
  <si>
    <t>Kapitalfluss aus der Finanzierungstätigkeit</t>
  </si>
  <si>
    <t>Cash flows from financing activities</t>
  </si>
  <si>
    <t>Wpływy netto z wydania udziałów (emisji akcji) i innych instrumentów kapitałowych oraz dopłat do kapitału</t>
  </si>
  <si>
    <t xml:space="preserve">Nettoeinzahlungen aus der Ausgabe von Anteilen (Emission von Aktien) und sonstigen Kapitalmarktinstrumenten sowie aus Kapitalnachschüssen </t>
  </si>
  <si>
    <t>Net proceeds from issuance of shares and other equity instruments and from additional capital contributions</t>
  </si>
  <si>
    <t>Kredyty i pożyczki</t>
  </si>
  <si>
    <t>Borrowings and loans</t>
  </si>
  <si>
    <t>Emisja dłużnych papierów wartościowych</t>
  </si>
  <si>
    <t>Emission schuldrechtlicher Wertpapiere</t>
  </si>
  <si>
    <t>Issuance of debt securities</t>
  </si>
  <si>
    <t>Inne wpływy finansowe</t>
  </si>
  <si>
    <t>Sonstige Einzahlungen aus der Finanzierungstätigkeit</t>
  </si>
  <si>
    <t>Other receipts from financing activities</t>
  </si>
  <si>
    <t>Nabycie udziałów (akcji) własnych</t>
  </si>
  <si>
    <t>Erwerb eigener Anteile (Aktien)</t>
  </si>
  <si>
    <t>Purchase of treasury shares</t>
  </si>
  <si>
    <t>Dywidendy i inne wypłaty na rzecz właścicieli</t>
  </si>
  <si>
    <t>Dividenden und sonstige Zahlungen an Eigentümer</t>
  </si>
  <si>
    <t>Payment of dividends and other items to owners</t>
  </si>
  <si>
    <t>Inne, niż wypłaty na rzecz właścicieli, wydatki z tytułu podziału zysku</t>
  </si>
  <si>
    <t>Andere Gewinnausschüttungen als Zahlungen an Eigentümer</t>
  </si>
  <si>
    <t>Profit distribution related payments other than payments to owners</t>
  </si>
  <si>
    <t>Spłaty kredytów i pożyczek</t>
  </si>
  <si>
    <t>Rückzahlung von Krediten und Darlehen</t>
  </si>
  <si>
    <t>Repayment of loans and borrowings</t>
  </si>
  <si>
    <t>Wykup dłużnych papierów wartościowych</t>
  </si>
  <si>
    <t>Rückkauf schuldrechtlicher Wertpapiere</t>
  </si>
  <si>
    <t>Redemption of debt securities</t>
  </si>
  <si>
    <t>Z tytułu innych zobowiązań finansowych</t>
  </si>
  <si>
    <t>Aus anderen finanziellen Schulden</t>
  </si>
  <si>
    <t>Other financial liabilities</t>
  </si>
  <si>
    <t>Płatności zobowiązań z tytułu umów leasingu finansowego</t>
  </si>
  <si>
    <t>Zahlungen aus Finanzierungsleasingverträgen</t>
  </si>
  <si>
    <t>Payment of financial lease liabilities</t>
  </si>
  <si>
    <t>Odsetki</t>
  </si>
  <si>
    <t>Interest</t>
  </si>
  <si>
    <t>Inne wydatki finansowe</t>
  </si>
  <si>
    <t>Sonstige Auszahlungen für die Finanzierungstätigkeit</t>
  </si>
  <si>
    <t>Other payments for financing activities</t>
  </si>
  <si>
    <t>Przepływy pieniężne netto z działalności finansowej</t>
  </si>
  <si>
    <t>Nettokapitalfluss aus der Finanzierungstätigkeit</t>
  </si>
  <si>
    <t>Net cash flows from financing activities</t>
  </si>
  <si>
    <t>Przepływy pieniężne netto razem</t>
  </si>
  <si>
    <t>Nettokapitalfluss insgesamt</t>
  </si>
  <si>
    <t>Total net cash inflow/outflow</t>
  </si>
  <si>
    <t>Bilansowa zmiana stanu środków pieniężnych, w tym:</t>
  </si>
  <si>
    <t>Bilanzielle Veränderung des Bestandes an Geldmitteln, darunter:</t>
  </si>
  <si>
    <t>Balance sheet change in cash and cash equivalents, incl.:</t>
  </si>
  <si>
    <t>zmiana stanu środków pieniężnych z tytułu różnic kursowych</t>
  </si>
  <si>
    <t>Veränderung des Bestandes an Geldmitteln aus Kursdifferenzen</t>
  </si>
  <si>
    <t>change in cash and cash equivalents arising from foreign exchange gains (losses)</t>
  </si>
  <si>
    <t>Środki pieniężne na początek okresu</t>
  </si>
  <si>
    <t>Geldmittel am Anfang der Periode</t>
  </si>
  <si>
    <t>Cash and cash equivalents at the beginning of the period</t>
  </si>
  <si>
    <t>Środki pieniężne na koniec okresu, w tym:</t>
  </si>
  <si>
    <t>Geldmittel am Ende der Periode, darunter:</t>
  </si>
  <si>
    <t>Cash and cash equivalents at the end of the period, incl.:</t>
  </si>
  <si>
    <t>o ograniczonej możliwości dysponowania</t>
  </si>
  <si>
    <t>mit Verfügbarkeitsbeschränkung</t>
  </si>
  <si>
    <t>those with restricted availability for use</t>
  </si>
  <si>
    <t>CF mb</t>
  </si>
  <si>
    <t>(metoda bezpośrednia)</t>
  </si>
  <si>
    <t>(direkte Methode)</t>
  </si>
  <si>
    <t>(direct method)</t>
  </si>
  <si>
    <t>Sprzedaż</t>
  </si>
  <si>
    <t>Verkauf</t>
  </si>
  <si>
    <t>Sales</t>
  </si>
  <si>
    <t>Inne wpływy z działalności operacyjnej</t>
  </si>
  <si>
    <t>Sonstige Einzahlungen aus der laufenden Geschäftstätigkeit</t>
  </si>
  <si>
    <t>Other receipts from operating activities</t>
  </si>
  <si>
    <t>Dostawy i usługi</t>
  </si>
  <si>
    <t>Lieferungen und Leistungen</t>
  </si>
  <si>
    <t>Supplies and services</t>
  </si>
  <si>
    <t>Wynagrodzenia netto</t>
  </si>
  <si>
    <t>Nettolöhne und Gehälter</t>
  </si>
  <si>
    <t xml:space="preserve">Net wages and salaries </t>
  </si>
  <si>
    <t>Ubezpieczenia społeczne i zdrowotne oraz inne świadczenia</t>
  </si>
  <si>
    <t>Sozial- und Krankenversicherung sowie andere Leistungen</t>
  </si>
  <si>
    <t>Social security and health insurance, and other employee benefits</t>
  </si>
  <si>
    <t>Podatki i opłaty o charakterze publicznoprawnym</t>
  </si>
  <si>
    <t>Steuern und öffentlich-rechtliche Gebühren</t>
  </si>
  <si>
    <t>Tax and public and legal charges</t>
  </si>
  <si>
    <t>Inne wydatki operacyjne</t>
  </si>
  <si>
    <t>Sonstige Auszahlungen für die laufende Geschäftstätigkeit</t>
  </si>
  <si>
    <t>Other payments for operating activities</t>
  </si>
  <si>
    <t>Z. Zm. w Kap.</t>
  </si>
  <si>
    <t>Zestawienie zmian w kapitale (funduszu) własnym</t>
  </si>
  <si>
    <t>Eigenkapitalspiegel</t>
  </si>
  <si>
    <t>Statement of changes in equity</t>
  </si>
  <si>
    <t>Kapitał (fundusz) własny na początek okresu (BO)</t>
  </si>
  <si>
    <t>Eigenkapital am Anfang der Periode (EB)</t>
  </si>
  <si>
    <t>Equity at the beginning of the period (OB)</t>
  </si>
  <si>
    <t>zmiany przyjętych zasad rachunkowości</t>
  </si>
  <si>
    <t>Änderung der angenommenen Rechnungslegungsgrundsätze</t>
  </si>
  <si>
    <t>changes to the adopted accounting rules</t>
  </si>
  <si>
    <t xml:space="preserve">korekty błędów </t>
  </si>
  <si>
    <t>Korrekturen der Fehler</t>
  </si>
  <si>
    <t>correction of errors</t>
  </si>
  <si>
    <t>Kapitał (fundusz) własny na początek okresu (BO), po korektach</t>
  </si>
  <si>
    <t>Eigenkapital am Anfang der Periode (EB), nach Korrekturen</t>
  </si>
  <si>
    <t>Equity at the beginning of the period (OB), after adjustments</t>
  </si>
  <si>
    <t>Kapitał (fundusz) podstawowy na początek okresu</t>
  </si>
  <si>
    <t>Gezeichnetes Kapital am Anfang der Periode</t>
  </si>
  <si>
    <t>Issued share capital at the beginning of the period</t>
  </si>
  <si>
    <t>Zmiany kapitału (funduszu) podstawowego</t>
  </si>
  <si>
    <t>Veränderung des gezeichneten Kapitals</t>
  </si>
  <si>
    <t>Movements in share capital</t>
  </si>
  <si>
    <t>zwiększenie (z tytułu)</t>
  </si>
  <si>
    <t>Zugänge (aus)</t>
  </si>
  <si>
    <t>additions (from)</t>
  </si>
  <si>
    <t>wydania udziałów (emisji akcji)</t>
  </si>
  <si>
    <t>der Ausgabe von Anteilen (Emission von Aktien)</t>
  </si>
  <si>
    <t>issuance of shares</t>
  </si>
  <si>
    <t>zmniejszenie (z tytułu)</t>
  </si>
  <si>
    <t>Abgänge (aus)</t>
  </si>
  <si>
    <t>disposals (from)</t>
  </si>
  <si>
    <t>umorzenia udziałów (akcji)</t>
  </si>
  <si>
    <t>der Einziehung von Anteilen (Aktien)</t>
  </si>
  <si>
    <t>redemption of shares</t>
  </si>
  <si>
    <t>Kapitał (fundusz) podstawowy na koniec okresu</t>
  </si>
  <si>
    <t>Gezeichnetes Kapital am Ende der Periode</t>
  </si>
  <si>
    <t>Issued share capital at the end of the period</t>
  </si>
  <si>
    <t>Należne wpłaty na kapitał podstawowy na początek okresu</t>
  </si>
  <si>
    <t>Ausstehende Einlagen auf das gezeichnete Kapital am Anfang der Periode</t>
  </si>
  <si>
    <t>Outstanding share capital contributions at the beginning of the period</t>
  </si>
  <si>
    <t>Zmiana należnych wpłat na kapitał podstawowy</t>
  </si>
  <si>
    <t>Veränderung der ausstehenden Einlagen auf das gezeichnete Kapital</t>
  </si>
  <si>
    <t>Movements in outstanding share capital contributions</t>
  </si>
  <si>
    <t>Należne wpłaty na kapitał podstawowy na koniec okresu</t>
  </si>
  <si>
    <t>Ausstehende Einlagen auf das gezeichnete Kapital am Ende der Periode</t>
  </si>
  <si>
    <t>Outstanding share capital contributions at the end of the period</t>
  </si>
  <si>
    <t>Udziały (akcje) własne na początek okresu</t>
  </si>
  <si>
    <t>Eigene Anteile (Aktien) am Anfang der Periode</t>
  </si>
  <si>
    <t>Treasury shares at the beginning of the period</t>
  </si>
  <si>
    <t>zwiększenie</t>
  </si>
  <si>
    <t xml:space="preserve">Zugänge  </t>
  </si>
  <si>
    <t>additions</t>
  </si>
  <si>
    <t>zmniejszenie</t>
  </si>
  <si>
    <t xml:space="preserve">Abgänge  </t>
  </si>
  <si>
    <t>disposals</t>
  </si>
  <si>
    <t>Udziały (akcje) własne na koniec okresu</t>
  </si>
  <si>
    <t>Eigene Anteile (Aktien) am Ende der Periode</t>
  </si>
  <si>
    <t>Treasury shares at the end of the period</t>
  </si>
  <si>
    <t>Kapitał (fundusz) zapasowy na początek okresu</t>
  </si>
  <si>
    <t>Kapitalrücklage am Anfang der Periode</t>
  </si>
  <si>
    <t>Capital reserves at the beginning of the period</t>
  </si>
  <si>
    <t>Zmiany kapitału (funduszu) zapasowego</t>
  </si>
  <si>
    <t>Veränderung der Kapitalrücklage</t>
  </si>
  <si>
    <t>Movements in capital reserves</t>
  </si>
  <si>
    <t>emisji akcji powyżej wartości nominalnej</t>
  </si>
  <si>
    <t>der Emission von Aktien über dem Nennwert</t>
  </si>
  <si>
    <t xml:space="preserve">share premium </t>
  </si>
  <si>
    <t>podziału zysku (ustawowo)</t>
  </si>
  <si>
    <t>der Gewinnverwendung (gesetzlich)</t>
  </si>
  <si>
    <t>profit distribution (legal requirements)</t>
  </si>
  <si>
    <t>podziału zysku (ponad wymaganą ustawowo minimalną wartość)</t>
  </si>
  <si>
    <t>der Gewinnverwendung (über dem gesetzlichen Minimalwert)</t>
  </si>
  <si>
    <t>profit distribution (over minimal legal requirements)</t>
  </si>
  <si>
    <t>tworzony zgodnie ze statutem</t>
  </si>
  <si>
    <t>satzungsgemäß gebildet</t>
  </si>
  <si>
    <t>created in accordance with the statutes</t>
  </si>
  <si>
    <t>pokrycia straty</t>
  </si>
  <si>
    <t>der Verlustdeckung</t>
  </si>
  <si>
    <t>covering the loss</t>
  </si>
  <si>
    <t>Stan kapitału (funduszu) zapasowego na koniec okresu</t>
  </si>
  <si>
    <t>Kapitalrücklage am Ende der Periode</t>
  </si>
  <si>
    <t>Capital reserves at the end of the period</t>
  </si>
  <si>
    <t>Kapitał (fundusz) z aktualizacji wyceny na początek okresu – zmiany przyjętych zasad (polityki) rachunkowości</t>
  </si>
  <si>
    <t>Neubewertungsrücklage am Anfang der Periode   - Änderung der angenommenen Rechnungslegungsgrundsätze (-politik)</t>
  </si>
  <si>
    <t>Revaluation reserve at the beginning of the period – changes to the adopted accounting (policy) rules</t>
  </si>
  <si>
    <t>Zmiany kapitału (funduszu) z aktualizacji wyceny</t>
  </si>
  <si>
    <t>Veränderung der Neubewertungsrücklage</t>
  </si>
  <si>
    <t>Movements in revaluation reserve</t>
  </si>
  <si>
    <t>zbycia środków trwałych</t>
  </si>
  <si>
    <t>der Veräußerung von Sachanlagen</t>
  </si>
  <si>
    <t>sale of tangible assets</t>
  </si>
  <si>
    <t>Kapitał (fundusz) z aktualizacji wyceny na koniec okresu</t>
  </si>
  <si>
    <t>Neubewertungsrücklage am Ende der Periode</t>
  </si>
  <si>
    <t>Revaluation reserve at the end of the period</t>
  </si>
  <si>
    <t>Pozostałe kapitały (fundusze) rezerwowe na początek okresu</t>
  </si>
  <si>
    <t>Sonstige Rücklagen am Anfang der Periode</t>
  </si>
  <si>
    <t>Other capital reserves at the beginning of the period</t>
  </si>
  <si>
    <t>Zmiany pozostałych kapitałów (funduszy) rezerwowych</t>
  </si>
  <si>
    <t>Veränderung der sonstigen Rücklagen</t>
  </si>
  <si>
    <t>Movements in other capital reserves</t>
  </si>
  <si>
    <t>Pozostałe kapitały (fundusze) rezerwowe na koniec okresu</t>
  </si>
  <si>
    <t>Sonstige Rücklagen am Ende der Periode</t>
  </si>
  <si>
    <t>Other capital reserves at the end of the period</t>
  </si>
  <si>
    <t>Zysk (strata) z lat ubiegłych na początek okresu</t>
  </si>
  <si>
    <t>Ergebnisvortrag am Anfang der Periode</t>
  </si>
  <si>
    <t>Accumulated profit (loss) carried forward at the beginning of the period</t>
  </si>
  <si>
    <t>Zysk z lat ubiegłych na początek okresu</t>
  </si>
  <si>
    <t>Gewinnvortrag am Anfang der Periode</t>
  </si>
  <si>
    <t>Accumulated profit carried forward at the beginning of the period</t>
  </si>
  <si>
    <t>Zysk z lat ubiegłych na początek okresu, po korektach</t>
  </si>
  <si>
    <t>Gewinnvortrag am Anfang der Periode, nach Korrekturen</t>
  </si>
  <si>
    <t xml:space="preserve">Accumulated profit carried forward at the beginning of the period, after corrections </t>
  </si>
  <si>
    <t>podziału zysku z lat ubiegłych</t>
  </si>
  <si>
    <t>der Verwendung des Gewinnvortrags</t>
  </si>
  <si>
    <t>distribution of accumulated profit carried forward</t>
  </si>
  <si>
    <t>wypłata dywidendy</t>
  </si>
  <si>
    <t>Dividendenausschüttung</t>
  </si>
  <si>
    <t>dividend payment</t>
  </si>
  <si>
    <t>Zysk z lat ubiegłych na koniec okresu</t>
  </si>
  <si>
    <t>Gewinnvortrag am Ende der Periode</t>
  </si>
  <si>
    <t>Accumulated profit carried forward at the end of the period</t>
  </si>
  <si>
    <t>Strata z lat ubiegłych na początek okresu</t>
  </si>
  <si>
    <t>Verlustvortrag am Anfang der Periode</t>
  </si>
  <si>
    <t>Accumulated loss carried forward at the beginning of the period</t>
  </si>
  <si>
    <t>zmiany przyjętych zasad (polityki) rachunkowości</t>
  </si>
  <si>
    <t>Änderung der angenommenen Rechnungslegungsgrundsätze (-politik)</t>
  </si>
  <si>
    <t>changes to the adopted accounting (policy) rules</t>
  </si>
  <si>
    <t>Strata z lat ubiegłych na początek okresu, po korektach</t>
  </si>
  <si>
    <t>Verlustvortrag am Anfang der Periode, nach Korrekturen</t>
  </si>
  <si>
    <t>Accumulated loss carried forward at the beginning of the period after corrections</t>
  </si>
  <si>
    <t>przeniesienia straty z lat ubiegłych do pokrycia</t>
  </si>
  <si>
    <t>dem Verlustvortrag zur Deckung</t>
  </si>
  <si>
    <t>loss carried forward to be covered</t>
  </si>
  <si>
    <t>pokrycia straty z wyniku roku ubiegłego</t>
  </si>
  <si>
    <t>der Verlustdeckung aus dem Gewinnvortrag</t>
  </si>
  <si>
    <t xml:space="preserve">covering the loss from the last year's profit (loss) </t>
  </si>
  <si>
    <t>Strata z lat ubiegłych na koniec okresu</t>
  </si>
  <si>
    <t>Verlustvortrag am Ende der Periode</t>
  </si>
  <si>
    <t>Accumulated loss carried forward at the end of the period</t>
  </si>
  <si>
    <t>Zysk (strata) z lat ubiegłych na koniec okresu</t>
  </si>
  <si>
    <t>Ergebnisvortrag am Ende der Periode</t>
  </si>
  <si>
    <t>Accumulated profit (loss) carried forward at the end of the period</t>
  </si>
  <si>
    <t>Wynik netto</t>
  </si>
  <si>
    <t>zysk netto</t>
  </si>
  <si>
    <t>Jahresüberschuss</t>
  </si>
  <si>
    <t>net profit</t>
  </si>
  <si>
    <t>strata netto</t>
  </si>
  <si>
    <t>Jahresfehlbetrag</t>
  </si>
  <si>
    <t>net loss</t>
  </si>
  <si>
    <t>odpisy z zysku</t>
  </si>
  <si>
    <t>Abzüge vom Jahresüberschuss</t>
  </si>
  <si>
    <t>deductions from net profit</t>
  </si>
  <si>
    <t>Kapitał (fundusz) własny na koniec okresu (BZ)</t>
  </si>
  <si>
    <t>Eigenkapital am Ende der Periode (SB)</t>
  </si>
  <si>
    <t>Equity at the end of the period (CB)</t>
  </si>
  <si>
    <t>Kapitał (fundusz) własny, po uwzględnieniu proponowanego podziału zysku (pokrycia straty)</t>
  </si>
  <si>
    <t>Eigenkapital nach Berücksichtigung der vorgeschlagenen Gewinnverwendung (Verlustdeckung)</t>
  </si>
  <si>
    <t xml:space="preserve">Equity, taking into account the suggested way of profit distribution (covering the loss) </t>
  </si>
  <si>
    <t>DODATKOWE INFORMACJE I OBJAŚNIENIA</t>
  </si>
  <si>
    <t>ANHANG</t>
  </si>
  <si>
    <t>NOTES TO THE FINANCIAL STATEMENTS</t>
  </si>
  <si>
    <t>nota 1.1.a</t>
  </si>
  <si>
    <t>Zestawienie wartości niematerialnych i prawnych</t>
  </si>
  <si>
    <t>Zusammenstellung der immateriellen Vermögensgegenstände und Rechte</t>
  </si>
  <si>
    <t>Schedule of intangible assets</t>
  </si>
  <si>
    <t>Opis</t>
  </si>
  <si>
    <t>Bezeichnung</t>
  </si>
  <si>
    <t>Description</t>
  </si>
  <si>
    <t>Costs of completed research and development work</t>
  </si>
  <si>
    <t>Ogółem</t>
  </si>
  <si>
    <t>Insgesamt</t>
  </si>
  <si>
    <t>Total</t>
  </si>
  <si>
    <t>Wartość brutto</t>
  </si>
  <si>
    <t>Bruttowert</t>
  </si>
  <si>
    <t>Gross value</t>
  </si>
  <si>
    <t>Stan na początek roku obrotowego</t>
  </si>
  <si>
    <t>Stand am Anfang des Geschäftsjahres</t>
  </si>
  <si>
    <t>Balance at the beginning of the financial year</t>
  </si>
  <si>
    <t>Zwiększenia, z tytułu nabycia</t>
  </si>
  <si>
    <t>Zugänge aus dem Erwerb</t>
  </si>
  <si>
    <t>Additions on account of acquisition</t>
  </si>
  <si>
    <t>aktualizacji wartości</t>
  </si>
  <si>
    <t>Neubewertung</t>
  </si>
  <si>
    <t>value adjustment</t>
  </si>
  <si>
    <t>nabycia</t>
  </si>
  <si>
    <t>Erwerb</t>
  </si>
  <si>
    <t>acquisition</t>
  </si>
  <si>
    <t>Przemieszczenia 
wewnętrzne (+/-)</t>
  </si>
  <si>
    <t>Interne
Umbuchung  (+/-)</t>
  </si>
  <si>
    <t>Internal 
Reposting (+/-)</t>
  </si>
  <si>
    <t>Zmniejszenia z tytułu rozchodu</t>
  </si>
  <si>
    <t>Abgänge</t>
  </si>
  <si>
    <r>
      <t xml:space="preserve">Disposals </t>
    </r>
    <r>
      <rPr>
        <sz val="10"/>
        <color rgb="FF00B050"/>
        <rFont val="Arial"/>
        <family val="2"/>
        <charset val="238"/>
      </rPr>
      <t/>
    </r>
  </si>
  <si>
    <t>Zwiększenia z tytułu umorzenia</t>
  </si>
  <si>
    <t>Zugänge aus kumulierter Abschreibung</t>
  </si>
  <si>
    <t>Additions on account of amortisation/
depreciation</t>
  </si>
  <si>
    <t xml:space="preserve">Disposals </t>
  </si>
  <si>
    <t>Stan na koniec roku obrotowego</t>
  </si>
  <si>
    <t>Stand am Ende des Geschäftsjahres</t>
  </si>
  <si>
    <t xml:space="preserve">Balance at the end of the financial year </t>
  </si>
  <si>
    <t>Umorzenie</t>
  </si>
  <si>
    <t>Kumulierte Abschreibung</t>
  </si>
  <si>
    <t>Depreciation</t>
  </si>
  <si>
    <t>Amortisation</t>
  </si>
  <si>
    <t>Wartość netto</t>
  </si>
  <si>
    <t>Nettowert</t>
  </si>
  <si>
    <t>Net value</t>
  </si>
  <si>
    <t>Zestawienie rzeczowych aktywów trwałych</t>
  </si>
  <si>
    <t>Zusammenstellung des Sachanlagevermögens</t>
  </si>
  <si>
    <t>Schedule of property, plant and equipment</t>
  </si>
  <si>
    <t>Grunty (w tym prawo użytkowania wieczystego gruntu)</t>
  </si>
  <si>
    <t>Land (incl. perpetual usufruct right)</t>
  </si>
  <si>
    <t>Budynki, lokale, prawa do lokali i obiekty inżynierii lądowej i wodnej</t>
  </si>
  <si>
    <t>Buildings, premises, rights to premises, and civil engineering structures</t>
  </si>
  <si>
    <t>Urządzenia techniczne i maszyny</t>
  </si>
  <si>
    <t>Technische Anlagen und Maschinen</t>
  </si>
  <si>
    <t>Technical equipment and machinery</t>
  </si>
  <si>
    <t>Środki transportu</t>
  </si>
  <si>
    <t>Vehicles</t>
  </si>
  <si>
    <t>Inne środki trwałe</t>
  </si>
  <si>
    <t>Sonstige Sachanlagen</t>
  </si>
  <si>
    <t>Other tangible assets</t>
  </si>
  <si>
    <t>Advance payments for assets under construction</t>
  </si>
  <si>
    <t>Zestawienie inwestycji długoterminowych</t>
  </si>
  <si>
    <t>Zusammenstellung der langfristigen Investitionen</t>
  </si>
  <si>
    <t>Schedule of non-current investments</t>
  </si>
  <si>
    <t>Real properties</t>
  </si>
  <si>
    <t>Informacje uzupełniające do zestawienia inwestycji długoterminowych:</t>
  </si>
  <si>
    <t>Ergänzende Informationen zur Aufstellung der langfristigen Investitionen:</t>
  </si>
  <si>
    <t>Notes supplementing the schedule of non-current investments:</t>
  </si>
  <si>
    <t>nota 1.3. - 1.10</t>
  </si>
  <si>
    <t>Koszty zakończonych prac rozwojowych oraz wartość firmy, a także wyjaśnienie okresu ich odpisywania, określonego odpowiednio w art. 33 ust. 3 oraz art. 44b ust. 10 UoR</t>
  </si>
  <si>
    <t>Entwicklungskosten und Geschäfts- oder Firmenwert sowie Erläuterungen zum Zeitraum von deren Abschreibung gemäß Art. 33 Abs. 3 sowie Art. 44b Abs. 10 RLG-PL</t>
  </si>
  <si>
    <t>Costs of completed development work and the goodwill, as well as explanation of the amortisation period thereof as referred in Article 33(3) and Article 44b(10) of the Accounting Act, respectively</t>
  </si>
  <si>
    <t>Wartość gruntów użytkowanych wieczyście</t>
  </si>
  <si>
    <t>Wert der Grundstücke im Erbnießbrauch</t>
  </si>
  <si>
    <t>Land under usufruct right</t>
  </si>
  <si>
    <t>Spółka nie użytkuje wieczyście gruntów.</t>
  </si>
  <si>
    <t>Die Gesellschaft hat keine Grundstücke im Erbnießbrauch.</t>
  </si>
  <si>
    <t>The Company does not use any land under usufruct right.</t>
  </si>
  <si>
    <r>
      <rPr>
        <sz val="10"/>
        <color rgb="FFFF0000"/>
        <rFont val="Arial"/>
        <family val="2"/>
        <charset val="238"/>
      </rPr>
      <t>Oddział</t>
    </r>
    <r>
      <rPr>
        <sz val="10"/>
        <rFont val="Arial"/>
        <family val="2"/>
      </rPr>
      <t xml:space="preserve"> nie użytkuje wieczyście gruntów.</t>
    </r>
  </si>
  <si>
    <t>Grunt użytkowany wieczyście</t>
  </si>
  <si>
    <t>Grundstücke im Erbnießbrauch</t>
  </si>
  <si>
    <t>Powierzchnia</t>
  </si>
  <si>
    <t>Fläche</t>
  </si>
  <si>
    <t>Area</t>
  </si>
  <si>
    <t>Wartość nieamortyzowanych lub nieumarzanych przez jednostkę środków trwałych, używanych na podstawie umów najmu, dzierżawy i innych umów, w tym z tytułu umów leasingu</t>
  </si>
  <si>
    <t>Nicht abgeschriebene Sachanlagen, die aufgrund eines Leasing-, Miet-, Pachtvertrags oder anderer Verträge genutzt worden sind</t>
  </si>
  <si>
    <t>Tangible assets used under contracts of lease and other similar agreements, not depreciated by the entity</t>
  </si>
  <si>
    <t xml:space="preserve">Spółka nie posiada nieamortyzowanych środków trwałych, używanych na podstawie umów najmu, dzierżawy  lub umów o podobnym charakterze. </t>
  </si>
  <si>
    <t>Die Gesellschaft hat keine nicht abgeschriebenen Sachanlagen, die auf der Grundlage von Miet-, Pacht- oder ähnlichen Verträgen genutzt würden.</t>
  </si>
  <si>
    <t>The Company does not own non-depreciated tangible assets used under rental, leasehold, lease or other similar agreements.</t>
  </si>
  <si>
    <r>
      <rPr>
        <sz val="10"/>
        <color rgb="FFFF0000"/>
        <rFont val="Arial"/>
        <family val="2"/>
        <charset val="238"/>
      </rPr>
      <t>Oddział</t>
    </r>
    <r>
      <rPr>
        <sz val="10"/>
        <rFont val="Arial"/>
        <family val="2"/>
      </rPr>
      <t xml:space="preserve"> nie posiada nieamortyzowanych środków trwałych, używanych na podstawie umów najmu, dzierżawy  lub umów o podobnym charakterze. </t>
    </r>
  </si>
  <si>
    <t>Wartość początkowa obcych środków trwałych użytkowanych na podstawie umów najmu, dzierżawy lub umów o podobnym charakterze:</t>
  </si>
  <si>
    <t>AHK-Wert fremder Sachanlagen, die auf der Grundlage von Miet-, Pacht- oder ähnlichen Verträgen genutzt würden:</t>
  </si>
  <si>
    <t>Initial value of third-party tangible assets used under rental, leasehold, lease or other similar agreements:</t>
  </si>
  <si>
    <t>Rodzaj środka trwałego</t>
  </si>
  <si>
    <t>Art der Sachanlage</t>
  </si>
  <si>
    <t>Tangible asset</t>
  </si>
  <si>
    <t>Stan na koniec 
roku obrotowego</t>
  </si>
  <si>
    <t>Stand am Ende 
des Geschäftsjahres</t>
  </si>
  <si>
    <t>Balance at the end of the financial year</t>
  </si>
  <si>
    <t>Liczba oraz wartość posiadanych papierów wartościowych lub praw, w tym świadectw udziałowych, zamiennych dłużnych papierów wartościowych, warrantów i opcji ze wskazaniem praw, jakie przyznają</t>
  </si>
  <si>
    <t>Anzahl und Wert der im Besitz der Gesellschaft befindlichen Wertpapiere und Rechte, darunter der Anteilsscheine, Wandelschuldverschreibungen, Optionsscheine und Optionen unter Angabe der Rechte, die sie gewähren</t>
  </si>
  <si>
    <t>Number and value of the securities or rights, including share certificates, convertible debt securities, warrants and options, with specification of the rights they confer</t>
  </si>
  <si>
    <t>Zobowiązania wobec budżetu państwa lub jednostek samorządu terytorialnego z tytułu uzyskania prawa własności budynków i budowli</t>
  </si>
  <si>
    <t>Verbindlichkeiten gegenüber dem Staatshaushalt oder Gebietskörperschaften aufgrund der Erlangung des Eigentumsrechts an Gebäuden und Bauten</t>
  </si>
  <si>
    <t>Liabilities against state budget or units of territorial self-government, due to obtained ownership right to buildings and structures</t>
  </si>
  <si>
    <t>Dane o strukturze własności kapitału podstawowego oraz liczbie i wartości nominalnej subskrybowanych akcji, w tym uprzywilejowanych</t>
  </si>
  <si>
    <t>Angaben über die Eigentumsstruktur des gezeichneten Kapitals sowie die Anzahl und den Nennwert der gezeichneten Aktien, darunter Vorzugsaktien</t>
  </si>
  <si>
    <t>Share capital ownership structure and the number and nominal value of subscribed shares, incl. preference shares</t>
  </si>
  <si>
    <t>Na dzień bilansowy udziały w Spółce posiadają:</t>
  </si>
  <si>
    <t>Die Anteile der Gesellschaft werden zum Bilanzstichtag gehalten von:</t>
  </si>
  <si>
    <t>As of the balance sheet date the shares in the Company are held by:</t>
  </si>
  <si>
    <t>Nazwa udziałowca</t>
  </si>
  <si>
    <t xml:space="preserve">Firma / Name des Gesellschafters </t>
  </si>
  <si>
    <t>Name of shareholder</t>
  </si>
  <si>
    <t>Wartość udziałów</t>
  </si>
  <si>
    <t xml:space="preserve">Wert der Anteile </t>
  </si>
  <si>
    <t>Value of shares</t>
  </si>
  <si>
    <t xml:space="preserve">Ilość udziałów </t>
  </si>
  <si>
    <t xml:space="preserve">Anzahl der Anteile </t>
  </si>
  <si>
    <t>Number of shares</t>
  </si>
  <si>
    <t>Wartość jednostki</t>
  </si>
  <si>
    <t xml:space="preserve">Wert eines Anteils </t>
  </si>
  <si>
    <t>Unit value</t>
  </si>
  <si>
    <t>Na dzień bilansowy akcje w Spółce posiadają:</t>
  </si>
  <si>
    <t>Die Aktien der Gesellschaft werden zum Bilanzstichtag gehalten von:</t>
  </si>
  <si>
    <t>Nazwa akcjonariusza</t>
  </si>
  <si>
    <t>Firma / Name des Aktionärs</t>
  </si>
  <si>
    <t>Wartość  akcji</t>
  </si>
  <si>
    <t>Wert der Aktien</t>
  </si>
  <si>
    <t>Ilość  akcji</t>
  </si>
  <si>
    <t>Anzahl der Aktien</t>
  </si>
  <si>
    <t>Wert einer Aktie</t>
  </si>
  <si>
    <t>Nie dotyczy, jednostka jest oddziałem zagranicznego podmiotu i nie posiada wydzielonego kapitału podstawowego.</t>
  </si>
  <si>
    <t>Trifft nicht zu, die Gesellschaft ist eine Niederlassung eines ausländischen Unternehmens und verfügt nicht über ausgesondertes gezeichnetes Kapital.</t>
  </si>
  <si>
    <t>Not applicable; the entity is a branch office of a foreign enterprise and has no separate share capital.</t>
  </si>
  <si>
    <t>Szczegółowy zakres zmian kapitałów zapasowych, rezerwowych oraz kapitału z aktualizacji wyceny (o ile jednostka nie sporządza zestawienia zmian w kapitale własnym)</t>
  </si>
  <si>
    <t>Ausführliche Darstellung der Änderungen an Kapitalrücklagen, sonstigen Rücklagen und Neubewertungsrücklagen (sofern die Gesellschaft keinen Eigenkapitalspiegel erstellt)</t>
  </si>
  <si>
    <t>Detailed scope of changes in capital reserves, other capital reserves  and revaluation reserve (unless the Company prepares the statement of changes in equity)</t>
  </si>
  <si>
    <t>Jednostka sporządza zestawienie zmian w kapitale własnym.</t>
  </si>
  <si>
    <t xml:space="preserve">Die Gesellschaft erstellt den Eigenkapitalspiegel. </t>
  </si>
  <si>
    <t>The Company prepares the statement of changes in equity.</t>
  </si>
  <si>
    <t>Kapitał (fundusz) zapasowy</t>
  </si>
  <si>
    <t>Kapitalrücklage</t>
  </si>
  <si>
    <t>Capital reserves</t>
  </si>
  <si>
    <t>Kapitał (fundusz) z aktualizacji wyceny</t>
  </si>
  <si>
    <t>Neubewertungs-rücklage</t>
  </si>
  <si>
    <t>Revaluation reserve</t>
  </si>
  <si>
    <t>Pozostałe kapitały (fundusze) rezerwowe</t>
  </si>
  <si>
    <t>Sonstige Rücklagen</t>
  </si>
  <si>
    <t>Other capital reserves</t>
  </si>
  <si>
    <t xml:space="preserve">Accumulated profit (loss) carried forward </t>
  </si>
  <si>
    <t xml:space="preserve">Korekty błędów </t>
  </si>
  <si>
    <t>Correction of  errors</t>
  </si>
  <si>
    <t>Stan na początek roku obrotowego po korektach</t>
  </si>
  <si>
    <t>Stand am Anfang des Geschäfts-jahres nach Korrekturen</t>
  </si>
  <si>
    <t>Balance at the beginning of the financial year after corrections</t>
  </si>
  <si>
    <t>Zwiększenia</t>
  </si>
  <si>
    <t>Zuführung</t>
  </si>
  <si>
    <t>Additions</t>
  </si>
  <si>
    <t>Zmniejszenia</t>
  </si>
  <si>
    <t>Minderung</t>
  </si>
  <si>
    <t>Disposals</t>
  </si>
  <si>
    <t>Propozycje co do podziału zysku/pokrycia straty za rok obrotowy</t>
  </si>
  <si>
    <t>Vorschläge zur Gewinnverwendung oder Verlustdeckung für das Geschäftsjahr</t>
  </si>
  <si>
    <t>Proposals with respect to profit distribution/cover of losses for the financial year</t>
  </si>
  <si>
    <t>Tytuł rezerwy</t>
  </si>
  <si>
    <t>Verwendungszweck der Rückstellung</t>
  </si>
  <si>
    <t>Provision specification</t>
  </si>
  <si>
    <t>Wykorzystanie</t>
  </si>
  <si>
    <t>Inanspruch
-nahme</t>
  </si>
  <si>
    <t>Used</t>
  </si>
  <si>
    <t>Rozwiązanie</t>
  </si>
  <si>
    <t>Auflösung</t>
  </si>
  <si>
    <t>Reversed</t>
  </si>
  <si>
    <t>Rezerwa na podatek odroczony</t>
  </si>
  <si>
    <t>Rezerwa na odprawy emerytalne i rentowe</t>
  </si>
  <si>
    <t>Provision for retirement and disability pension benefits</t>
  </si>
  <si>
    <t>Rezerwa na świadczenia urlopowe</t>
  </si>
  <si>
    <t xml:space="preserve">Urlaubsrückstellung </t>
  </si>
  <si>
    <t xml:space="preserve">Provision for unused holiday leave </t>
  </si>
  <si>
    <t>Rezerwa na premie i wynagrodzenia</t>
  </si>
  <si>
    <t>Rückstellung für Prämien sowie Löhne und Gehälter</t>
  </si>
  <si>
    <t>Provision for bonuses and wages and salaries</t>
  </si>
  <si>
    <t>Badanie sprawozdania finansowego</t>
  </si>
  <si>
    <t>Rückstellung für die Prüfung des Jahresabschlusses</t>
  </si>
  <si>
    <t>Provision for audit of the financial statements</t>
  </si>
  <si>
    <t>Sporządzenie sprawozdania finansowego</t>
  </si>
  <si>
    <t>Rückstellung für die Erstellung des Jahresabschlusses</t>
  </si>
  <si>
    <t>Provision for preparation of the financial statements</t>
  </si>
  <si>
    <t>Rezerwa na naprawy gwarancyjne</t>
  </si>
  <si>
    <t>Rückstellung für Garantien</t>
  </si>
  <si>
    <t>Provision for guarantees</t>
  </si>
  <si>
    <t>sonstige Rückstellungen</t>
  </si>
  <si>
    <t>nota 1.9</t>
  </si>
  <si>
    <t>Należności i zobowiązania wykazywane w więcej niż jednej pozycji bilansu</t>
  </si>
  <si>
    <t>Forderungen und Verbindlichkeiten, die unter mehreren Bilanzpositionen ausgewiesen werden</t>
  </si>
  <si>
    <t>Receivables and liabilities disclosed in more than one balance sheet item</t>
  </si>
  <si>
    <t>Należności</t>
  </si>
  <si>
    <t>Forderungen</t>
  </si>
  <si>
    <r>
      <rPr>
        <sz val="10"/>
        <rFont val="Arial"/>
        <family val="2"/>
      </rPr>
      <t>Receivables</t>
    </r>
  </si>
  <si>
    <t>część krótkoterminowa</t>
  </si>
  <si>
    <t>kurzfristiger Teil</t>
  </si>
  <si>
    <t>Short-term portion</t>
  </si>
  <si>
    <t>`</t>
  </si>
  <si>
    <t>część długoterminowa</t>
  </si>
  <si>
    <t>langfristiger Teil</t>
  </si>
  <si>
    <t>Long-term portion</t>
  </si>
  <si>
    <t>Zobowiązania</t>
  </si>
  <si>
    <t>Verbindlichkeiten</t>
  </si>
  <si>
    <r>
      <rPr>
        <sz val="10"/>
        <rFont val="Arial"/>
        <family val="2"/>
      </rPr>
      <t>Liabilities</t>
    </r>
  </si>
  <si>
    <t>1) nieprzeterminowane</t>
  </si>
  <si>
    <t>1) nicht überfällige Forderungen</t>
  </si>
  <si>
    <t>1) not overdue</t>
  </si>
  <si>
    <t>1) nicht überfällige Verbindlichkeiten</t>
  </si>
  <si>
    <t>2) przeterminowane</t>
  </si>
  <si>
    <t>2) überfällige Forderungen</t>
  </si>
  <si>
    <t>2) overdue</t>
  </si>
  <si>
    <t>2) überfällige Verbindlichkeiten</t>
  </si>
  <si>
    <t>0–90 dni</t>
  </si>
  <si>
    <t>0–90 Tage</t>
  </si>
  <si>
    <t>up to 90 days</t>
  </si>
  <si>
    <t>91–180 dni</t>
  </si>
  <si>
    <t>91–180 Tage</t>
  </si>
  <si>
    <t>91–180 days</t>
  </si>
  <si>
    <t>181–360 dni</t>
  </si>
  <si>
    <t>181–360 Tage</t>
  </si>
  <si>
    <t>181–360 days</t>
  </si>
  <si>
    <t>powyżej 360 dni</t>
  </si>
  <si>
    <t>über 360 Tage</t>
  </si>
  <si>
    <t>over 360 days</t>
  </si>
  <si>
    <t>Odpisy aktualizujące należności</t>
  </si>
  <si>
    <t>Wertberichtigungen auf Forderungen</t>
  </si>
  <si>
    <t>Value adjustment write-downs of receivables</t>
  </si>
  <si>
    <t xml:space="preserve">Należności po uwzględnieniu odpisów aktualizujących </t>
  </si>
  <si>
    <t>Forderungen unter Berücksichtigung der Wertberichtigungen</t>
  </si>
  <si>
    <t>Receivables after value adjustment write-downs</t>
  </si>
  <si>
    <t>3) w tym przeterminowane objęte postępowaniem upadłościowym, likwidacyjnym i układowym</t>
  </si>
  <si>
    <t>3) darunter überfällige Forderungen, die Gegenstand von Insolvenz-, Liquidations- und Vergleichsverfahren sind</t>
  </si>
  <si>
    <t>3) including overdue receivables covered by bankruptcy, liquidation and composition proceedings</t>
  </si>
  <si>
    <t>3) darunter überfällige Verbindlichkeiten, die Gegenstand von Insolvenz-, Liquidations- und Vergleichsverfahren sind</t>
  </si>
  <si>
    <t xml:space="preserve">3) including overdue liabilities covered by bankruptcy, liquidation and arrangement proceedings
</t>
  </si>
  <si>
    <t>Podmioty powiązane</t>
  </si>
  <si>
    <t>Verbundene Unternehmen</t>
  </si>
  <si>
    <t>Related parties</t>
  </si>
  <si>
    <t>Pozostałe jednostki, w których jednostka posiada zaangażowanie w kapitale</t>
  </si>
  <si>
    <t xml:space="preserve">Dritte Unternehmen, mit denen ein Beteiligungsverhältnis besteht  </t>
  </si>
  <si>
    <t>third parties in which the entity has an equity interest</t>
  </si>
  <si>
    <t>Podmioty niepowiązane</t>
  </si>
  <si>
    <t>Dritte Unternehmen</t>
  </si>
  <si>
    <t>Unrelated parties</t>
  </si>
  <si>
    <t>w tym potwierdzone</t>
  </si>
  <si>
    <t>darunter bestätigt</t>
  </si>
  <si>
    <t>including confirmed amounts</t>
  </si>
  <si>
    <t>w tym zapłacone</t>
  </si>
  <si>
    <t>darunter bezahlt</t>
  </si>
  <si>
    <t>including paid amounts</t>
  </si>
  <si>
    <t>Dane o odpisach aktualizujących długoterminowe aktywa finansowe i niefinansowe</t>
  </si>
  <si>
    <t xml:space="preserve">Angaben zu Wertberichtigungen auf langfristige finanzielle und nicht finanzielle Vermögenswerte </t>
  </si>
  <si>
    <t xml:space="preserve">Write-downs of long-term financial and non-financial assets  </t>
  </si>
  <si>
    <t>Odpis aktualizujący długoterminowe aktywa finansowe</t>
  </si>
  <si>
    <t xml:space="preserve">Wertberichtigungen auf langfristige finanzielle Vermögenswerte </t>
  </si>
  <si>
    <t xml:space="preserve">Write-downs of long-term financial assets  </t>
  </si>
  <si>
    <t>Odpis aktualizujący długoterminowe aktywa niefinansowe</t>
  </si>
  <si>
    <t xml:space="preserve">Wertberichtigungen auf langfristige nicht finanzielle Vermögenswerte </t>
  </si>
  <si>
    <t xml:space="preserve">Write-downs of long-term non-financial assets  </t>
  </si>
  <si>
    <t>Dane o odpisach aktualizujących należności</t>
  </si>
  <si>
    <t>Angaben zu Wertberichtigungen auf Forderungen</t>
  </si>
  <si>
    <t>Value adjustment write-downs</t>
  </si>
  <si>
    <t>Tytuł odpisu</t>
  </si>
  <si>
    <t>Art der Wertberichtigung</t>
  </si>
  <si>
    <t>Write-down specification</t>
  </si>
  <si>
    <t>Inanspruchnahme</t>
  </si>
  <si>
    <t>odpis indywidualny</t>
  </si>
  <si>
    <t>Einzel-wertberichtigung</t>
  </si>
  <si>
    <t>Individual value adjustments</t>
  </si>
  <si>
    <t>odpis ryczałtowy</t>
  </si>
  <si>
    <t>Pauschal-wertberichtigung</t>
  </si>
  <si>
    <t>Flat-rate value adjustments</t>
  </si>
  <si>
    <t>nota 1.10</t>
  </si>
  <si>
    <t>Zobowiązania z tytułu dostaw i usług</t>
  </si>
  <si>
    <t>Verbindlichkeiten aus Lieferungen und Leistungen</t>
  </si>
  <si>
    <t>Trade liabilities</t>
  </si>
  <si>
    <t>Suma (1+2)</t>
  </si>
  <si>
    <t>Summe (1+2)</t>
  </si>
  <si>
    <t>Total (1+2)</t>
  </si>
  <si>
    <t>Zobowiązania długoterminowe według pozycji bilansu</t>
  </si>
  <si>
    <t>Langfristige Verbindlichkeiten nach Bilanzpositionen</t>
  </si>
  <si>
    <t>Non-current liabilities by a balance sheet item</t>
  </si>
  <si>
    <t>Z tytułu emisji dłużnych
   papierów wartościowych</t>
  </si>
  <si>
    <t>Aus der Emission 
   schuldrechtlicher 
   Wertpapiere</t>
  </si>
  <si>
    <t>Issued debt securities</t>
  </si>
  <si>
    <t>Inne zobowiązania 
   finansowe</t>
  </si>
  <si>
    <t>Sonstige finanzielle
   Verbindlichkeiten</t>
  </si>
  <si>
    <t>Zobowiązania wekslowe</t>
  </si>
  <si>
    <t>Bills of exchange 
   payable</t>
  </si>
  <si>
    <t xml:space="preserve">Suma </t>
  </si>
  <si>
    <t xml:space="preserve">Summe </t>
  </si>
  <si>
    <t>Okres spłaty</t>
  </si>
  <si>
    <t>Restlaufzeit:</t>
  </si>
  <si>
    <t>Repayment period</t>
  </si>
  <si>
    <t>do 1 roku 
(do spłaty w kolejnym roku obrotowym)</t>
  </si>
  <si>
    <t>up to 1 year
(to be repaid in the following financial year)</t>
  </si>
  <si>
    <t>Razem:</t>
  </si>
  <si>
    <t>Insgesamt:</t>
  </si>
  <si>
    <t>Total:</t>
  </si>
  <si>
    <t>Wykaz istotnych czynnych i biernych rozliczeń międzyokresowych</t>
  </si>
  <si>
    <t>Aufstellung wesentlicher aktiver und passiver Rechnungsabgrenzungsposten</t>
  </si>
  <si>
    <t>List of significant items of prepayments and accruals</t>
  </si>
  <si>
    <t>Czynne rozliczenia międzyokresowe</t>
  </si>
  <si>
    <t>Aktive Rechnungsabgrenzungsposten</t>
  </si>
  <si>
    <t>Prepayments</t>
  </si>
  <si>
    <t>Tytuł czynnych rozliczeń międzyokresowych</t>
  </si>
  <si>
    <t>Einzelaufstellung aktiver Rechnungsabgrenzungsposten</t>
  </si>
  <si>
    <t>Specification of prepayments</t>
  </si>
  <si>
    <t>Zugänge</t>
  </si>
  <si>
    <t>Ujęcie w kosztach roku obrotowego</t>
  </si>
  <si>
    <t>Erfassung unter den Aufwendungen des Geschäftsjahres</t>
  </si>
  <si>
    <t>Recognition under costs of the financial year</t>
  </si>
  <si>
    <t>Koszty remontów</t>
  </si>
  <si>
    <t>Instandsetzung</t>
  </si>
  <si>
    <t>Costs of repairs</t>
  </si>
  <si>
    <t>Opłacone z góry prenumeraty, czynsze</t>
  </si>
  <si>
    <t>Im Voraus bezahltes Abonnement, Miete</t>
  </si>
  <si>
    <t>Subscriptions and rents, paid in advance</t>
  </si>
  <si>
    <t>Koszty ubezpieczeń majątkowych i osobowych</t>
  </si>
  <si>
    <t>Vermögens- und Personenversicherungen</t>
  </si>
  <si>
    <t>Property and personal insurance costs</t>
  </si>
  <si>
    <t>Odsetki naliczone od lokat</t>
  </si>
  <si>
    <t>Berechnete Zinsen auf Festgelder</t>
  </si>
  <si>
    <t>Interest accrued on deposits</t>
  </si>
  <si>
    <t>Podatek VAT do rozliczenia w następnych okresach</t>
  </si>
  <si>
    <t>Umsatzsteuer – zu erklären in den nächsten Perioden</t>
  </si>
  <si>
    <t>VAT to be settled in next periods</t>
  </si>
  <si>
    <t>Różnica między poniesionymi a zarachowanymi na wynik finansowy kosztami umów długoterminowych, w tym budowlanych</t>
  </si>
  <si>
    <t>Differenz zwischen den getragenen und den ergebniswirksamen Kosten der langfristigen Verträge, darunter Bauverträge</t>
  </si>
  <si>
    <t>Difference between long-term contracts’ costs incurred and those recognised in the profit (loss), including construction contracts</t>
  </si>
  <si>
    <t>Różnice między niższymi przychodami zafakturowanymi a przychodami faktycznie ustalonymi z umów długoterminowych, w tym budowlanych</t>
  </si>
  <si>
    <t>Differenz zwischen den niedrigeren fakturierten Erlösen und den tatsächlichen Erlösen aus langfristigen Verträgen, darunter Bauverträgen</t>
  </si>
  <si>
    <t>Differences between revenues invoiced (lower value) and those actually determined in long-term contracts, including construction contracts</t>
  </si>
  <si>
    <t>Różnica między wartością otrzymanych finansowych składników aktywów a zobowiązaniem zapłaty za nie</t>
  </si>
  <si>
    <t>Differenz zwischen dem Wert der erhaltenen finanziellen Vermögenswerte und den Zahlungsverbindlichkeiten für diese Vermögenswerte</t>
  </si>
  <si>
    <t>Difference between the value of received financial assets and the amount payable for them</t>
  </si>
  <si>
    <t>Różnica między wartością otrzymanych sładników aktywów a zobowiązaniem zapłaty za nie</t>
  </si>
  <si>
    <t>Differenzbetrag zwischen dem Wert der erhaltenen Vermögenswerte und den Zahlungsverbindlichkeiten für diese Vermögenswerte</t>
  </si>
  <si>
    <t>Difference between the value of received assets and the amount payable for them</t>
  </si>
  <si>
    <t xml:space="preserve">Accrued liabilities </t>
  </si>
  <si>
    <t>Bierne rozliczenia międzyokresowe</t>
  </si>
  <si>
    <t>Passive Aufwandsabgrenzungsposten</t>
  </si>
  <si>
    <t>Tytuł biernych rozliczeń międzyokresowych</t>
  </si>
  <si>
    <t>Einzelaufstellung passiver Aufwandssabgrenzungsposten</t>
  </si>
  <si>
    <t>Specification of accrued liabilities</t>
  </si>
  <si>
    <t>Bierne rozliczenia kosztów</t>
  </si>
  <si>
    <t>Passive Aufwandsabgrenzung</t>
  </si>
  <si>
    <t>Accrued expenses</t>
  </si>
  <si>
    <t xml:space="preserve">Rozliczenia międzyokresowe </t>
  </si>
  <si>
    <t>Passive Rechnungsabgrenzungsposten</t>
  </si>
  <si>
    <t xml:space="preserve">Tytuł rozliczeń międzyokresowych </t>
  </si>
  <si>
    <t>Einzelaufstellung passiver Rechnungsabgrenzungsposten</t>
  </si>
  <si>
    <t>Specification of accruals</t>
  </si>
  <si>
    <t>Dotacja na budowę środków trwałych i prac rozwojowych</t>
  </si>
  <si>
    <t>Zuschüsse für den Bau von Sachanlagen und Entwicklungsarbeiten</t>
  </si>
  <si>
    <t>Subsidy for construction of tangible assets and development work</t>
  </si>
  <si>
    <t>Nieodpłatnie otrzymane środki trwałe, środki trwałe w budowie oraz wartości niematerialne i prawne</t>
  </si>
  <si>
    <t>Unentgeltlich erhaltene Sachanlagen, Anlagen im Bau und immaterielle Vermögensgegenstände und Rechte</t>
  </si>
  <si>
    <t>Tangible assets, assets under construction and intangible assets received free of charge</t>
  </si>
  <si>
    <t xml:space="preserve">Pozostałe </t>
  </si>
  <si>
    <t xml:space="preserve">Sonstige </t>
  </si>
  <si>
    <t>nota 1.12 - 1.19</t>
  </si>
  <si>
    <t>Łączna kwota zobowiązań zabezpieczonych na majątku jednostki (ze wskazaniem charakteru i formy tych zabezpieczeń)</t>
  </si>
  <si>
    <t>Gesamtbetrag der mit dem Vermögen der Gesellschaft besicherten Verbindlichkeiten, unter Angabe der Art und Form dieser Sicherheiten</t>
  </si>
  <si>
    <t>Total liabilities secured against the Company's assets (by nature and form of each security)</t>
  </si>
  <si>
    <t>Spółka nie posiada zobowiązań zabezpieczonych na majątku.</t>
  </si>
  <si>
    <t>Die Gesellschaft weist keine Verbindlichkeiten aus, die mit dem Vermögen besichert wären.</t>
  </si>
  <si>
    <t>The Company has no liabilities secured against its assets.</t>
  </si>
  <si>
    <r>
      <rPr>
        <sz val="10"/>
        <color rgb="FFFF0000"/>
        <rFont val="Arial"/>
        <family val="2"/>
        <charset val="238"/>
      </rPr>
      <t>Oddział</t>
    </r>
    <r>
      <rPr>
        <sz val="10"/>
        <rFont val="Arial"/>
        <family val="2"/>
      </rPr>
      <t xml:space="preserve"> nie posiada zobowiązań zabezpieczonych na majątku.</t>
    </r>
  </si>
  <si>
    <t>Rodzaj zobowiązania</t>
  </si>
  <si>
    <t>Art der Verbindlichkeit</t>
  </si>
  <si>
    <t>Type of liability</t>
  </si>
  <si>
    <t>Wartość na dzień bilansowy</t>
  </si>
  <si>
    <t>Wert zum Bilanzstichtag</t>
  </si>
  <si>
    <t>Value as of the balance sheet date</t>
  </si>
  <si>
    <t>Rodzaj zabezpieczenia</t>
  </si>
  <si>
    <t>Art der Sicherheit</t>
  </si>
  <si>
    <t>Type of security</t>
  </si>
  <si>
    <t>Łączna kwota zobowiązań warunkowych, w tym również udzielonych przez jednostkę gwarancji i poręczeń, także wekslowych, niewykazanych w bilansie, ze wskazaniem zobowiązań zabezpieczonych na majątku jednostki oraz charakteru i formy tych zabezpieczeń</t>
  </si>
  <si>
    <t>Gesamtbetrag der Eventualverbindlichkeiten, darunter von der Gesellschaft erteilte Garantien und Bürgschaften, auch Wechselbürgschaften, die in der Bilanz nicht ausgewiesen wurden, unter Angabe der mit dem Vermögen der Gesellschaft besicherten Verbindlichkeiten sowie der Art und Form dieser Sicherheiten</t>
  </si>
  <si>
    <r>
      <rPr>
        <sz val="10"/>
        <rFont val="Arial"/>
        <family val="2"/>
      </rPr>
      <t>Total contingent liabilities, including warranties and guarantees granted by the entity, including also promissory notes provided by the entity but not disclosed in the balance sheet, with the indication of liabilities secured against the entity' assets, as well as the nature and form of each security</t>
    </r>
  </si>
  <si>
    <t>Spółka na dzień bilansowy nie posiada zobowiązań warunkowych.</t>
  </si>
  <si>
    <t>Zum Bilanzstichtag weist die Gesellschaft keine Eventualverbindlichkeiten aus.</t>
  </si>
  <si>
    <t>The Company has no contingent liabilities as of the balance sheet date.</t>
  </si>
  <si>
    <r>
      <rPr>
        <sz val="10"/>
        <color rgb="FFFF0000"/>
        <rFont val="Arial"/>
        <family val="2"/>
        <charset val="238"/>
      </rPr>
      <t xml:space="preserve">Oddział </t>
    </r>
    <r>
      <rPr>
        <sz val="10"/>
        <rFont val="Arial"/>
        <family val="2"/>
      </rPr>
      <t>na dzień bilansowy nie posiada zobowiązań warunkowych.</t>
    </r>
  </si>
  <si>
    <t>Aktywa niebędące instrumentami finansowymi, wyceniane wg wartości godziwej</t>
  </si>
  <si>
    <t>Vermögenswerte, die keine Finanzinstrumente sind, und zum beizulegenden Zeitwert bewertet werden</t>
  </si>
  <si>
    <r>
      <rPr>
        <sz val="10"/>
        <rFont val="Arial"/>
        <family val="2"/>
      </rPr>
      <t>Assets other than financial instruments, measured at fair value</t>
    </r>
  </si>
  <si>
    <t>Informacje o dochodach z tytułu ukrytych zysków w rozumieniu art. 28m ust. 1 pkt 2 ustawy z dnia 15.02.1992 r. o podatku dochodowym od osób prawnych - w przypadku spółek opodatkowanych ryczałtem od dochodów spółek</t>
  </si>
  <si>
    <t>Information über Einkünfte aus verdeckten Gewinnen im Sinne von Art. 28m Abs. 1 Pkt. 2 des Körperschaftsteuergesetzes vom 15.02.1992 – bei Gesellschaften, die mit der Pauschalsteuer auf die Einkünfte besteuert werden</t>
  </si>
  <si>
    <t>Information about income from hidden profits in the meaning of Article 28m(1)(2) of the (Polish) Corporate Income Tax Act of 15.02.1992 – in the case of companies subject to flat tax on net income, payable upon income disbursement</t>
  </si>
  <si>
    <t>Kwota pożyczki (kredytu) udzielonej udziałowcowi lub podmiotowi powiązanemu z udziałowcem oraz odsetki, prowizje, wynagrodzenia i opłaty od pożyczki (kredytu) udzielonej przez te podmioty</t>
  </si>
  <si>
    <t>Betrag eines Darlehens (Kredits), das (der) einem Gesellschafter bzw. einem mit dem Gesellschafter verbundenen Unternehmen erteilt wurde, sowie Zinsen, Provisionen, Vergütungen und Gebühren auf ein Darlehen (einen Kredit), das (der) von diesen Rechtsträgern erteilt wurde</t>
  </si>
  <si>
    <t>Loan (borrowings) granted to a shareholder or its associated enterprise, and interest, commission fees, fees and payments for the loan (borrowings) granted by these entities</t>
  </si>
  <si>
    <t>Kwota pożyczki (kredytu) udzielonej akcjonariuszowi lub podmiotowi powiązanemu z akcjonariuszem oraz odsetki, prowizje, wynagrodzenia i opłaty od pożyczki (kredytu) udzielonej przez te podmioty</t>
  </si>
  <si>
    <t>Betrag eines Darlehens (Kredits), das (der) einem Aktionär bzw. einem mit dem Aktionär verbundenen Unternehmen erteilt wurde, sowie Zinsen, Provisionen, Vergütungen und Gebühren auf ein Darlehen (einen Kredit), das (der) von diesen Rechtsträgern erteilt wurde</t>
  </si>
  <si>
    <t>Świadczenia wykonane na rzecz:</t>
  </si>
  <si>
    <t>Leistungen zugunsten:</t>
  </si>
  <si>
    <t>Services provided to:</t>
  </si>
  <si>
    <t xml:space="preserve">   einer Privat- oder Familienstiftung, eines gleichwertigen 
   Rechtsträgers oder eines durch eine solche Stiftung oder einen 
   gleichwertigen Rechtsträger geführten Unternehmens bzw. 
   zugunsten der Begünstigten einer solchen Stiftung oder eines 
   gleichwertigen Rechtsträgers</t>
  </si>
  <si>
    <t xml:space="preserve">   a private or family foundation, an equivalent foundation or 
   an enterprise run by such a foundation or equivalent foundation, 
   or to beneficiaries of such a foundation or equivalent foundation</t>
  </si>
  <si>
    <t xml:space="preserve">   eines Trusts oder eines anderen Rechtsträgers oder eines Treuhandverhältnisses</t>
  </si>
  <si>
    <t xml:space="preserve">   a trust, or another entity or a fiduciary relationship</t>
  </si>
  <si>
    <t>Nadwyżka wartości rynkowej transakcji określonej zgodnie z art. 11c ponad ustaloną cenę tej transakcji</t>
  </si>
  <si>
    <t>Überschuss des gemäß Art. 11c ermittelten Marktwertes des Geschäfts über den festgelegten Preis dieses Geschäfts</t>
  </si>
  <si>
    <t>Excess of the arm's length value of a transaction determined in accordance with Article 11c over the agreed price of the transaction</t>
  </si>
  <si>
    <t>Nadwyżka zwróconej kwoty dopłaty, wniesionej do spółki zgodnie z odrębnymi przepisami, ponad kwotę wniesionej dopłaty</t>
  </si>
  <si>
    <t>Überschuss des erstatteten Betrages eines gemäß gesonderten Vorschriften an die Gesellschaft geleisteten Nachschusses über den Betrag des geleisteten Nachschusses</t>
  </si>
  <si>
    <t>Excess of the refunded additional capital contributions made to the company under separate provisions over the amount of the contributions made</t>
  </si>
  <si>
    <t>Wypłacone z zysku wynagrodzenie z tytułu umorzenia udziałów lub ze zmniejszenia ich wartości</t>
  </si>
  <si>
    <t>Aus dem Gewinn ausbezahlte Vergütung für die Einziehung der Anteile bzw. aus der Minderung deren Werts</t>
  </si>
  <si>
    <t>Remuneration paid from the profit from cancellation of shares or reduction of their value;</t>
  </si>
  <si>
    <t>Wypłacone z zysku wynagrodzenie z tytułu umorzenia akcji lub ze zmniejszenia ich wartości</t>
  </si>
  <si>
    <t>Aus dem Gewinn ausbezahlte Vergütung für die Einziehung der Aktien bzw. aus der Minderung deren Werts</t>
  </si>
  <si>
    <t>Remuneration paid from the profit from cancellation of shares or reduction of their value</t>
  </si>
  <si>
    <t>Równowartość zysku przeznaczonego na podwyższenie kapitału zakładowego</t>
  </si>
  <si>
    <t>Gegenwert des Gewinns, der für die Erhöhung des Stammkapitals bestimmt ist</t>
  </si>
  <si>
    <t>Amount equivalent to the profit appropriated for share capital increase</t>
  </si>
  <si>
    <t>Darowizny, w tym prezenty i ofiary wszelkiego rodzaju</t>
  </si>
  <si>
    <t>Schenkungen, darunter Geschenke und Spenden aller Art</t>
  </si>
  <si>
    <t>Donations, including any gifts or donations</t>
  </si>
  <si>
    <t>Wydatki na reprezentację</t>
  </si>
  <si>
    <t>Repräsentationskosten</t>
  </si>
  <si>
    <t>Official entertainment costs</t>
  </si>
  <si>
    <t>Środki pieniężne zgromadzone na rachunku VAT, o którym mowa w art. 62a ust.1 ustawy z dn. 29.08.1997 - Prawo bankowe</t>
  </si>
  <si>
    <t>Guthaben auf dem Umsatzsteuer-Konto, von dem in Art. 62a Abs.1 des Bankgesetzes vom 29. August 1997 die Rede ist.</t>
  </si>
  <si>
    <t>Cash in the VAT account referred to in Article 62a(1) of the Banking Act of 29.08.1997</t>
  </si>
  <si>
    <t>Spółka nie posiada na dzień bilansowy środków pieniężnych zgromadzonych na rachunku VAT.</t>
  </si>
  <si>
    <t>Die Gesellschaft verfügt zum Bilanzstichtag über kein Guthaben auf dem Umsatzsteuerkonto.</t>
  </si>
  <si>
    <t>The Company has no cash in the VAT account as of the balance sheet date.</t>
  </si>
  <si>
    <r>
      <rPr>
        <sz val="10"/>
        <color rgb="FFFF0000"/>
        <rFont val="Arial"/>
        <family val="2"/>
        <charset val="238"/>
      </rPr>
      <t>Oddział</t>
    </r>
    <r>
      <rPr>
        <sz val="10"/>
        <rFont val="Arial"/>
        <family val="2"/>
      </rPr>
      <t xml:space="preserve"> nie posiada na dzień bilansowy środków pieniężnych zgromadzonych na rachunku VAT.</t>
    </r>
  </si>
  <si>
    <t>Stan środków pieniężnych zgromadzonych na rachunku VAT</t>
  </si>
  <si>
    <t>Guthaben auf dem Umsatzsteuer-Konto</t>
  </si>
  <si>
    <t>Cash in the VAT account</t>
  </si>
  <si>
    <t>Liczba akcji obejmowanych przez akcjonariuszy w prostej spółce akcyjnej w zamian za wkłady niepieniężne, których przedmiotem jest prawo niezbywalne lub swiadczenie pracy, lub usług.</t>
  </si>
  <si>
    <t>Anzahl der Aktien, die von Aktionären in einer einfachen Aktiengesellschaft im Gegenzug für Sacheinlagen übernommen werden, deren Gegenstand ein nicht veräußerbares Recht oder die Arbeitsleistung oder die Dienstleistungserbringung sind.</t>
  </si>
  <si>
    <r>
      <t>The number of shares taken up by the shareholders in a simple joint stock company (</t>
    </r>
    <r>
      <rPr>
        <i/>
        <sz val="10"/>
        <color theme="1"/>
        <rFont val="Arial"/>
        <family val="2"/>
      </rPr>
      <t>PSA</t>
    </r>
    <r>
      <rPr>
        <sz val="10"/>
        <color theme="1"/>
        <rFont val="Arial"/>
        <family val="2"/>
      </rPr>
      <t>) in exchange for in-kind contributions in the form of a non-transferable right or performance of work or services.</t>
    </r>
  </si>
  <si>
    <t>Struktura rzeczowa (rodzaje działalności) i terytorialna (rynki geograficzne) przychodów netto ze sprzedaży towarów i produktów, w zakresie, w jakim te rodzaje i rynki istotnie różnią się od siebie, z uwzględnieniem zasad organizacji sprzedaży produktów i świadczenia usług</t>
  </si>
  <si>
    <t>Sachbezogene (Arten der Geschäftstätigkeit) und gebietsbezogene (geographische Märkte) Struktur der Erträge aus dem Verkauf von Waren und Erzeugnissen in einem Umfang, in dem sich diese Arten und Märkte wesentlich voneinander unterscheiden, unter Berücksichtigung der Grundsätze für den Verkauf von Erzeugnissen und die Erbringung von Dienstleistungen</t>
  </si>
  <si>
    <t>Net revenue from the sale of merchandise and goods, by item (type of activity) and by area (geographical market), in so far as the types of activity and the geographical markets significantly differ from each other in terms of the rules on the sale of goods and the supply of services;</t>
  </si>
  <si>
    <t>Spółka nie osiągnęła przychodów ze sprzedaży zarówno w bieżącym roku obrotowym, jak i w roku poprzednim.</t>
  </si>
  <si>
    <t>Die Gesellschaft hat weder in diesem noch im vorherigen Geschäftsjahr keine Umsatzerlöse erzielt.</t>
  </si>
  <si>
    <t>The Company earned no sales revenue either in the current financial year or in the preceding year.</t>
  </si>
  <si>
    <r>
      <rPr>
        <sz val="10"/>
        <color rgb="FFFF0000"/>
        <rFont val="Arial"/>
        <family val="2"/>
        <charset val="238"/>
      </rPr>
      <t>Oddział</t>
    </r>
    <r>
      <rPr>
        <sz val="10"/>
        <rFont val="Arial"/>
        <family val="2"/>
      </rPr>
      <t xml:space="preserve"> nie osiągnęła przychodów ze sprzedaży zarówno w bieżącym roku obrotowym, jak i w roku poprzednim.</t>
    </r>
  </si>
  <si>
    <t>Ze względu na pierwszy rok działalności spółka nie osiągnęła w roku obrotowym przychodów ze sprzedaży.</t>
  </si>
  <si>
    <t>Da es sich um das erste Geschäftsjahr handelt, hat die Gesellschaft im Geschäftsjahr keine Umsatzerlöse erzielt.</t>
  </si>
  <si>
    <t>The company earned no sales revenues in the financial year because it was its first year of operations.</t>
  </si>
  <si>
    <t>Ze względu na pierwszy rok działalności Oddział nie osiągnął w roku obrotowym przychodów ze sprzedaży.</t>
  </si>
  <si>
    <t>The branch office earned no sales revenues in the financial year because it was its first year of operations.</t>
  </si>
  <si>
    <t>Pozycja</t>
  </si>
  <si>
    <t>Position</t>
  </si>
  <si>
    <t>Item</t>
  </si>
  <si>
    <t>Przychody ze sprzedaży produktów</t>
  </si>
  <si>
    <t xml:space="preserve">Revenue from sale of finished goods </t>
  </si>
  <si>
    <t>Przychody ze sprzedaży towarów</t>
  </si>
  <si>
    <t xml:space="preserve">Revenue from sale of merchandise </t>
  </si>
  <si>
    <t>Kraj</t>
  </si>
  <si>
    <t>Inland</t>
  </si>
  <si>
    <t>Domestic</t>
  </si>
  <si>
    <t>Eksport</t>
  </si>
  <si>
    <t>Export</t>
  </si>
  <si>
    <t>Exports</t>
  </si>
  <si>
    <t>Kraje UE</t>
  </si>
  <si>
    <r>
      <t>EU-L</t>
    </r>
    <r>
      <rPr>
        <sz val="10"/>
        <rFont val="Arial"/>
        <family val="2"/>
        <charset val="238"/>
      </rPr>
      <t>ä</t>
    </r>
    <r>
      <rPr>
        <sz val="10"/>
        <rFont val="Arial"/>
        <family val="2"/>
        <charset val="238"/>
      </rPr>
      <t>nder</t>
    </r>
  </si>
  <si>
    <t>EU countries</t>
  </si>
  <si>
    <t>Wysokość i wyjaśnienie przyczyn odpisów aktualizujących środki trwałe</t>
  </si>
  <si>
    <t>Höhe und Erläuterung der Gründe für Wertberichtigungen auf Sachanlagen</t>
  </si>
  <si>
    <t xml:space="preserve">Value adjustment write-downs of tangible assets and clarification of the reasons </t>
  </si>
  <si>
    <t>Spółka nie dokonywała odpisów aktualizujących środki trwałe zarówno w bieżącym roku obrotowym, jak i w roku poprzednim.</t>
  </si>
  <si>
    <t>Die Gesellschaft nahm weder in diesem noch im vorherigen Geschäftsjahr Wertberichtigungen auf Sachanlagen vor.</t>
  </si>
  <si>
    <t>The Company made no value adjustment write-downs of tangible assets either in the current financial year or in the preceding year.</t>
  </si>
  <si>
    <r>
      <rPr>
        <sz val="10"/>
        <color rgb="FFFF0000"/>
        <rFont val="Arial"/>
        <family val="2"/>
        <charset val="238"/>
      </rPr>
      <t>Oddział</t>
    </r>
    <r>
      <rPr>
        <sz val="10"/>
        <rFont val="Arial"/>
        <family val="2"/>
      </rPr>
      <t xml:space="preserve"> nie dokonywał odpisów aktualizujących środki trwałe zarówno w bieżącym roku obrotowym, jak i w roku poprzednim.</t>
    </r>
  </si>
  <si>
    <t>Spółka nie dokonywała odpisów aktualizujących środki trwałe w bieżącym roku obrotowym.</t>
  </si>
  <si>
    <t>Die Gesellschaft nahm in diesem Geschäftsjahr keine Wertberichtigungen auf Sachanlagen vor.</t>
  </si>
  <si>
    <t>The Company made no value adjustment write-downs of tangible assets in the current financial year.</t>
  </si>
  <si>
    <t>Oddział nie dokonywał odpisów aktualizujących środki trwałe w bieżącym roku obrotowym.</t>
  </si>
  <si>
    <t>Wysokość odpisów aktualizujących wartość zapasów</t>
  </si>
  <si>
    <t>Höhe der Wertberichtigungen auf Vorräte</t>
  </si>
  <si>
    <t>Value adjustment write-downs of inventories</t>
  </si>
  <si>
    <t>Spółka nie dokonywała odpisów aktualizujących zapasy zarówno w bieżącym roku obrotowym, jak i w roku poprzednim.</t>
  </si>
  <si>
    <t>Die Gesellschaft nahm weder in diesem noch im vorherigen Geschäftsjahr Wertberichtigungen auf Vorräte vor.</t>
  </si>
  <si>
    <t>The Company made no value adjustment write-downs of inventories either in the current financial year or in the preceding year.</t>
  </si>
  <si>
    <r>
      <rPr>
        <sz val="10"/>
        <color rgb="FFFF0000"/>
        <rFont val="Arial"/>
        <family val="2"/>
        <charset val="238"/>
      </rPr>
      <t>Oddzia</t>
    </r>
    <r>
      <rPr>
        <sz val="10"/>
        <rFont val="Arial"/>
        <family val="2"/>
      </rPr>
      <t>ł nie dokonywał odpisów aktualizujących zapasy zarówno w bieżącym roku obrotowym, jak i w roku poprzednim.</t>
    </r>
  </si>
  <si>
    <t>Spółka nie dokonywała odpisów aktualizujących zapasy w bieżącym roku obrotowym.</t>
  </si>
  <si>
    <t>Die Gesellschaft nahm in diesem Geschäftsjahr keine Wertberichtigungen auf Vorräte vor.</t>
  </si>
  <si>
    <t>The Company made no value adjustment write-downs of inventoriesin the current financial year.</t>
  </si>
  <si>
    <r>
      <rPr>
        <sz val="10"/>
        <color rgb="FFFF0000"/>
        <rFont val="Arial"/>
        <family val="2"/>
        <charset val="238"/>
      </rPr>
      <t>Oddział</t>
    </r>
    <r>
      <rPr>
        <sz val="10"/>
        <rFont val="Arial"/>
        <family val="2"/>
      </rPr>
      <t xml:space="preserve"> nie dokonywał odpisów aktualizujących zapasy w bieżącym roku obrotowym.</t>
    </r>
  </si>
  <si>
    <t>Informacje o przychodach, kosztach i wynikach działalności zaniechanej w roku obrotowym lub przewidzianej do zaniechania w roku następnym</t>
  </si>
  <si>
    <t>Informationen über Erträge, Aufwendungen und Ergebnisse aus Tätigkeiten, deren Einstellung im Geschäftsjahr erfolgte oder für das Folgejahr vorgesehen ist</t>
  </si>
  <si>
    <t>Revenues, expenses and results of activities discontinued in the financial year or expected to be discontinued in the next financial year</t>
  </si>
  <si>
    <t>Działalność zaniechana w roku obrotowym</t>
  </si>
  <si>
    <t>Im Geschäftsjahr eingestellte Tätigkeit</t>
  </si>
  <si>
    <t>Activity discontinued in the financial year</t>
  </si>
  <si>
    <t>Rodzaj działalności</t>
  </si>
  <si>
    <t>Art der Tätigkeit</t>
  </si>
  <si>
    <t>Type of activity</t>
  </si>
  <si>
    <t>Przychody</t>
  </si>
  <si>
    <t>Erträge</t>
  </si>
  <si>
    <t>Revenues</t>
  </si>
  <si>
    <t>Koszty</t>
  </si>
  <si>
    <t>Aufwendungen</t>
  </si>
  <si>
    <t>Costs</t>
  </si>
  <si>
    <t>Wynik na działalności</t>
  </si>
  <si>
    <t>Profit (loss)</t>
  </si>
  <si>
    <t>Działalność przewidziana do zaniechania w następnym roku obrotowym</t>
  </si>
  <si>
    <t>Tätigkeit, deren Einstellung im folgenden Geschäftsjahr vorgesehen ist</t>
  </si>
  <si>
    <t>Activity expected to be discontinued in the next financial year</t>
  </si>
  <si>
    <t>Rozliczenie głównych pozycji różniących podstawę opodatkowania podatkiem dochodowym od wyniku finansowego (zysku, straty) brutto</t>
  </si>
  <si>
    <t>Abrechnung der Hauptposten, die die steuerliche Bemessungsgrundlage vom Ergebnis vor Steuern unterscheiden:</t>
  </si>
  <si>
    <t>Settlement of main items which cause differences between taxable income and profit (loss) before tax</t>
  </si>
  <si>
    <t>Körperschaftsteuer</t>
  </si>
  <si>
    <t>Corporate income tax</t>
  </si>
  <si>
    <t>Podatek odroczony</t>
  </si>
  <si>
    <t>Latente Steuern</t>
  </si>
  <si>
    <t>Deffered tax</t>
  </si>
  <si>
    <t>A. Zysk (strata) brutto za dany rok</t>
  </si>
  <si>
    <t>A. Ergebnis vor Steuern für das betreffende Jahr</t>
  </si>
  <si>
    <t xml:space="preserve">A. Profit (loss) before tax for the period </t>
  </si>
  <si>
    <t>B. Przychody zwolnione z opodatkowania (trwałe różnice), w tym:</t>
  </si>
  <si>
    <t>B. Steuerbefreit Einnahmen (dauerhafte Differenzen), darunter:</t>
  </si>
  <si>
    <t>B. Tax-exempt revenues (permanent differences), of which:</t>
  </si>
  <si>
    <t>C. Przychody niepodlegające opodatkowaniu w roku bieżącym, w tym:</t>
  </si>
  <si>
    <t>C. Im laufenden Jahr nicht zu besteuernde Einnahmen, darunter:</t>
  </si>
  <si>
    <t>C. Non-taxable revenues in the current year, of which:</t>
  </si>
  <si>
    <t>D. Przychody podlegające opodatkowaniu w roku bieżącym, ujęte w księgach rachunkowych lat ubiegłych w tym:</t>
  </si>
  <si>
    <t>D. Im laufenden Jahr zu besteuernde Einnahmen, die in den Handelsbüchern der Vorjahre ausgewiesen wurden, darunter:</t>
  </si>
  <si>
    <t>D. Revenues taxable in the current year, entered in the books of accounts for previous years, of which:</t>
  </si>
  <si>
    <t>E. Koszty niestanowiące kosztów uzyskania przychodów (trwałe różnice), w tym:</t>
  </si>
  <si>
    <t>E. Steuerlich nicht abzugsfähige Betriebsausgaben (dauerhafte Differenzen), darunter:</t>
  </si>
  <si>
    <t>E. Non-tax-deductible costs (permanent differences), of which:</t>
  </si>
  <si>
    <t>F. Koszty nieuznawane za koszty uzyskania przychodów w bieżącym roku, w tym:</t>
  </si>
  <si>
    <t>F. Nicht als steuerlich abzugsfähige Betriebsausgaben des laufenden Jahres eingestufte Aufwendungen, darunter:</t>
  </si>
  <si>
    <t>F. Costs not classified as tax-deductible costs in the current year, of which:</t>
  </si>
  <si>
    <t>G. Koszty uznawane za koszty uzyskania przychodów w roku bieżącym ujęte w księgach lat ubiegłych, w tym:</t>
  </si>
  <si>
    <t>G. Steuerlich abzugsfähige Betriebsausgaben des laufenden Geschäftsjahres, die in den Handelsbüchern der Vorjahre erfasst wurden, darunter:</t>
  </si>
  <si>
    <t>G. Costs classified as tax-deductibe costs in the current year, entered in the books of account for previous years, of which:</t>
  </si>
  <si>
    <t>H. Strata z lat ubiegłych, w tym:</t>
  </si>
  <si>
    <t>H. Verlustvortrag, darunter:</t>
  </si>
  <si>
    <t>H. Accumulated loss carried forward, of which:</t>
  </si>
  <si>
    <t>I. Inne zmiany podstawy opodatkowania, w tym:</t>
  </si>
  <si>
    <t>I. Sonstige Änderungen der Steuerbemessungsgrundlage, darunter:</t>
  </si>
  <si>
    <t>I. Other changes in taxable base, of which:</t>
  </si>
  <si>
    <t>J. Podstawa opodatkowania podatkiem dochodowym</t>
  </si>
  <si>
    <t>J. Körperschaftsteuerbemessungsgrundlage</t>
  </si>
  <si>
    <t xml:space="preserve">J. Taxable base for corporate income tax purposes </t>
  </si>
  <si>
    <t>K. Podatek dochodowy</t>
  </si>
  <si>
    <t>K.  Körperschaftsteuer</t>
  </si>
  <si>
    <t>K. Corporate income tax</t>
  </si>
  <si>
    <t>Zysk kapit.</t>
  </si>
  <si>
    <t>Einkünfte aus Kapital-
vermögen</t>
  </si>
  <si>
    <t>Capital gains</t>
  </si>
  <si>
    <t>Inne źródła</t>
  </si>
  <si>
    <t>Sonstige Einkunfts-
arten</t>
  </si>
  <si>
    <t>Other sources</t>
  </si>
  <si>
    <t>Łącznie:</t>
  </si>
  <si>
    <t>zysk / strata brutto</t>
  </si>
  <si>
    <t>gross profit (loss)</t>
  </si>
  <si>
    <t>(-) przychody niepodlegające opodatkowaniu</t>
  </si>
  <si>
    <t>(-) nicht steuerbare Betriebseinnahmen</t>
  </si>
  <si>
    <t>(-) non-taxable revenues</t>
  </si>
  <si>
    <t>(+) koszty nkup</t>
  </si>
  <si>
    <t>(+) steuerlich nicht abzugsfähige Betriebsausgaben</t>
  </si>
  <si>
    <t>(+) non-tax-deductible costs</t>
  </si>
  <si>
    <t>(-) koszty nkup z lat poprzednich stanowiące kup w roku obrotowym</t>
  </si>
  <si>
    <t>(-) steuerlich nicht abzugsfähige Betriebsausgaben aus den Vorjahren, die im Geschäftsjahr steuerlich abzugsfähige Betriebsausgaben darstellen</t>
  </si>
  <si>
    <t>(+) non-tax-deductible costs carried forward, deductible in the financial year</t>
  </si>
  <si>
    <t>Dochód</t>
  </si>
  <si>
    <t>Einkommen</t>
  </si>
  <si>
    <t>Income</t>
  </si>
  <si>
    <t>(-) odliczenia od dochodu</t>
  </si>
  <si>
    <t>(-) Minderungen des Einkommens</t>
  </si>
  <si>
    <t>(-) deductions from income</t>
  </si>
  <si>
    <t>Dochód do opodatkowania</t>
  </si>
  <si>
    <t>Zu versteuerndes Einkommen</t>
  </si>
  <si>
    <t>Taxable income</t>
  </si>
  <si>
    <t>Podstawa PDOP (po zaokrągleniu)</t>
  </si>
  <si>
    <t>Körperschaftsteuerliche Bemessungsgrundlage (nach Abrundung)</t>
  </si>
  <si>
    <t>Basis for corporate income tax (in round figures)</t>
  </si>
  <si>
    <t>Income tax</t>
  </si>
  <si>
    <t>zmiana podatku odroczonego</t>
  </si>
  <si>
    <t>Änderung der latenten Steuern</t>
  </si>
  <si>
    <t>Change in deferred tax</t>
  </si>
  <si>
    <t>Razem podatek dochodowy</t>
  </si>
  <si>
    <t>Insgesamt Körperschaftsteuer</t>
  </si>
  <si>
    <t>Total income tax</t>
  </si>
  <si>
    <t>Koszt wytworzenia produktów na własne potrzeby oraz koszty rodzajowe (tylko w przypadku, gdy jednostka sporządza rachunek zysków i strat w wariancie kalkulacyjnym)</t>
  </si>
  <si>
    <t>Eigenleistungen und Aufwendungen der betrieblichen Tätigkeit (sofern die Gesellschaft die Gewinn- und Verlustrechnung nach dem Umsatzkostenverfahren erstellt)</t>
  </si>
  <si>
    <t xml:space="preserve">Production cost of finished goods for own purposes and expenses by type (only if the entity prepares the income statement using the function of expense method)
</t>
  </si>
  <si>
    <t>Spółka sporządza rachunek zysków i strat w wariancie porównawczym.</t>
  </si>
  <si>
    <t>Die Gewinn- und Verlustrechnung wird nach dem Gesamtkostenverfahren erstellt.</t>
  </si>
  <si>
    <t>Nie dotyczy</t>
  </si>
  <si>
    <t>Trifft nicht zu</t>
  </si>
  <si>
    <t>Not applicable</t>
  </si>
  <si>
    <r>
      <rPr>
        <sz val="10"/>
        <color rgb="FFFF0000"/>
        <rFont val="Arial"/>
        <family val="2"/>
        <charset val="238"/>
      </rPr>
      <t>Oddział</t>
    </r>
    <r>
      <rPr>
        <sz val="10"/>
        <rFont val="Arial"/>
        <family val="2"/>
      </rPr>
      <t xml:space="preserve"> sporządza rachunek zysków i strat w wariancie porównawczym.</t>
    </r>
  </si>
  <si>
    <t>Spółka nie wytworzyła produktów na własne potrzeby, zarówno w bieżącym roku obrotowym jak i w roku poprzednim.</t>
  </si>
  <si>
    <t>Die Gesellschaft hat weder im laufenden noch im vorausgehenden Geschäftsjahr Eigenleistungen erbracht.</t>
  </si>
  <si>
    <t>The Company manufactured no finished goods for its own purposes either in the reporting year or in the previous year.</t>
  </si>
  <si>
    <r>
      <rPr>
        <sz val="10"/>
        <color rgb="FFFF0000"/>
        <rFont val="Arial"/>
        <family val="2"/>
        <charset val="238"/>
      </rPr>
      <t>Oddział</t>
    </r>
    <r>
      <rPr>
        <sz val="10"/>
        <rFont val="Arial"/>
        <family val="2"/>
      </rPr>
      <t xml:space="preserve"> nie wytworzyła produktów na własne potrzeby, zarówno w bieżącym roku obrotowym jak i w roku poprzednim.</t>
    </r>
  </si>
  <si>
    <t>Spółka nie wytworzyła w bieżącym roku obrotowym produktów na własne potrzeby.</t>
  </si>
  <si>
    <t>Die Gesellschaft hat keine Eigenleistungen im laufenden Geschäftsjahr erbracht.</t>
  </si>
  <si>
    <t>The Company manufactured no finished goods for its own purposes in the reporting year.</t>
  </si>
  <si>
    <r>
      <rPr>
        <sz val="10"/>
        <color rgb="FFFF0000"/>
        <rFont val="Arial"/>
        <family val="2"/>
        <charset val="238"/>
      </rPr>
      <t>Oddzia</t>
    </r>
    <r>
      <rPr>
        <sz val="10"/>
        <rFont val="Arial"/>
        <family val="2"/>
      </rPr>
      <t>ł nie wytworzył w bieżącym roku obrotowym produktów na własne potrzeby.</t>
    </r>
  </si>
  <si>
    <t>Koszty wytworzenia produktów na własne potrzeby</t>
  </si>
  <si>
    <t>Production costs of finished goods, capitalised</t>
  </si>
  <si>
    <t>Koszty rodzajowe</t>
  </si>
  <si>
    <t>Aufwendungen der betrieblichen Tätigkeit:</t>
  </si>
  <si>
    <t>Costs by type</t>
  </si>
  <si>
    <t>a) amortyzacja</t>
  </si>
  <si>
    <t>a) Abschreibung</t>
  </si>
  <si>
    <t>a) depreciation</t>
  </si>
  <si>
    <t>b) zużycie materiałów i energii</t>
  </si>
  <si>
    <t>b) Verbrauch an Roh- Hilfs- und Betriebsstoffen und Energie</t>
  </si>
  <si>
    <t>b) raw materials and energy used</t>
  </si>
  <si>
    <t>c) usługi obce</t>
  </si>
  <si>
    <t>c) Fremdleistungen</t>
  </si>
  <si>
    <t>c) external services</t>
  </si>
  <si>
    <t>d) podatki i opłaty</t>
  </si>
  <si>
    <t>d) Steuern und Gebühren</t>
  </si>
  <si>
    <t>d) taxes and charges</t>
  </si>
  <si>
    <t>e) wynagrodzenia</t>
  </si>
  <si>
    <t>e) Löhne und Gehälter</t>
  </si>
  <si>
    <t>e) wages and salaries</t>
  </si>
  <si>
    <t>f) ubezpieczenia społeczne i inne świadczenia, w tym:</t>
  </si>
  <si>
    <t>f) Personalnebenkosten, darunter:</t>
  </si>
  <si>
    <t>f) social security and other employee benefits, incl.:</t>
  </si>
  <si>
    <t>g) pozostałe koszty rodzajowe</t>
  </si>
  <si>
    <t>g) sonstige Aufwendungen der betrieblichen Tätigkeit</t>
  </si>
  <si>
    <t>g) other costs by type</t>
  </si>
  <si>
    <t>Odsetki oraz różnice kursowe, które powiększyły cenę nabycia towarów lub koszt wytworzenia produktów w roku obrotowym</t>
  </si>
  <si>
    <t>Zinsen und Kursdifferenzen, die die Anschaffungskosten der Waren oder die Herstellungskosten der Erzeugnisse im Geschäftsjahr erhöhten</t>
  </si>
  <si>
    <t>Interest and foreign exchange gains (losses) which have increased the acquisition cost of merchandise or the cost of production of goods in the financial year</t>
  </si>
  <si>
    <t>różnice kursowe</t>
  </si>
  <si>
    <t>Kursdifferenzen</t>
  </si>
  <si>
    <t>foreign exchange gains (losses)</t>
  </si>
  <si>
    <t>Spółka korzysta z uproszczeń i nie kalkuluje podatku odroczonego. Pozycja nie wystąpiła zarówno w bieżącym roku obrotowym jak i w roku poprzednim.</t>
  </si>
  <si>
    <r>
      <t>Die Gesellschaft nimmt Vereinfachungen in Anspruch und kalkuliert</t>
    </r>
    <r>
      <rPr>
        <sz val="10"/>
        <color rgb="FFFF0000"/>
        <rFont val="Arial"/>
        <family val="2"/>
        <charset val="238"/>
      </rPr>
      <t xml:space="preserve"> </t>
    </r>
    <r>
      <rPr>
        <sz val="10"/>
        <color theme="1"/>
        <rFont val="Arial"/>
        <family val="2"/>
        <charset val="238"/>
      </rPr>
      <t>keine latenten Steuer</t>
    </r>
    <r>
      <rPr>
        <sz val="10"/>
        <color rgb="FFFF0000"/>
        <rFont val="Arial"/>
        <family val="2"/>
        <charset val="238"/>
      </rPr>
      <t>n</t>
    </r>
    <r>
      <rPr>
        <sz val="10"/>
        <color theme="1"/>
        <rFont val="Arial"/>
        <family val="2"/>
        <charset val="238"/>
      </rPr>
      <t>.</t>
    </r>
    <r>
      <rPr>
        <sz val="10"/>
        <rFont val="Arial"/>
        <family val="2"/>
        <charset val="238"/>
      </rPr>
      <t xml:space="preserve"> Die Position wurde weder im laufenden noch im vorausgehenden Geschäftsjahr ausgewiesen.</t>
    </r>
  </si>
  <si>
    <t>The Company follows simplified procedures and does not calculate deferred tax. There was no such item either in the reporting year or in the previous year.</t>
  </si>
  <si>
    <r>
      <rPr>
        <sz val="10"/>
        <color rgb="FFFF0000"/>
        <rFont val="Arial"/>
        <family val="2"/>
        <charset val="238"/>
      </rPr>
      <t>Oddział</t>
    </r>
    <r>
      <rPr>
        <sz val="10"/>
        <rFont val="Arial"/>
        <family val="2"/>
        <charset val="238"/>
      </rPr>
      <t xml:space="preserve"> korzysta z uproszczeń i nie kalkuluje podatku odroczonego. Pozycja nie wystąpiła zarówno w bieżącym roku obrotowym jak i w roku poprzednim.</t>
    </r>
  </si>
  <si>
    <t>Spółka korzysta z uproszczeń i nie kalkuluje podatku odroczonego. Pozycja nie wystąpiła w bieżącym roku obrotowym.</t>
  </si>
  <si>
    <r>
      <t>Die Gesellschaft nimmt Vereinfachungen in Anspruch und kalkuliert</t>
    </r>
    <r>
      <rPr>
        <sz val="10"/>
        <color rgb="FFFF0000"/>
        <rFont val="Arial"/>
        <family val="2"/>
        <charset val="238"/>
      </rPr>
      <t xml:space="preserve"> </t>
    </r>
    <r>
      <rPr>
        <sz val="10"/>
        <color theme="1"/>
        <rFont val="Arial"/>
        <family val="2"/>
        <charset val="238"/>
      </rPr>
      <t>keine latenten Steuer</t>
    </r>
    <r>
      <rPr>
        <sz val="10"/>
        <color rgb="FFFF0000"/>
        <rFont val="Arial"/>
        <family val="2"/>
        <charset val="238"/>
      </rPr>
      <t>n</t>
    </r>
    <r>
      <rPr>
        <sz val="10"/>
        <color theme="1"/>
        <rFont val="Arial"/>
        <family val="2"/>
        <charset val="238"/>
      </rPr>
      <t>.</t>
    </r>
    <r>
      <rPr>
        <sz val="10"/>
        <rFont val="Arial"/>
        <family val="2"/>
        <charset val="238"/>
      </rPr>
      <t xml:space="preserve"> Die Position wurde im laufenden Geschäftsjahr nicht ausgewiesen.</t>
    </r>
  </si>
  <si>
    <t>The Company follows simplified procedures and does not calculate deferred tax. There was no such item in the reporting year.</t>
  </si>
  <si>
    <r>
      <rPr>
        <sz val="10"/>
        <color rgb="FFFF0000"/>
        <rFont val="Arial"/>
        <family val="2"/>
        <charset val="238"/>
      </rPr>
      <t>Oddział</t>
    </r>
    <r>
      <rPr>
        <sz val="10"/>
        <rFont val="Arial"/>
        <family val="2"/>
        <charset val="238"/>
      </rPr>
      <t xml:space="preserve"> korzysta z uproszczeń i nie kalkuluje podatku odroczonego. Pozycja nie wystąpiła w bieżącym roku obrotowym.</t>
    </r>
  </si>
  <si>
    <t>Aktywa z tytułu odroczonego podatku dochodowego - ujemne różnice przejściowe</t>
  </si>
  <si>
    <t>Aktive latente Steuern                                            
- vorübergehende negative Differenzen</t>
  </si>
  <si>
    <t>Deferred tax assets 
- negative temporary differences</t>
  </si>
  <si>
    <t>Odpisy aktualizujące zapasy</t>
  </si>
  <si>
    <t>Wertberichtigung auf Vorräte</t>
  </si>
  <si>
    <t>Zobowiązanie leasingowe - wartość netto środków trwałych w leasingu</t>
  </si>
  <si>
    <r>
      <t>Leasingverbindli</t>
    </r>
    <r>
      <rPr>
        <sz val="10"/>
        <color theme="1"/>
        <rFont val="Arial"/>
        <family val="2"/>
        <charset val="238"/>
      </rPr>
      <t xml:space="preserve">chkeit </t>
    </r>
    <r>
      <rPr>
        <sz val="10"/>
        <rFont val="Arial"/>
        <family val="2"/>
        <charset val="238"/>
      </rPr>
      <t>- Nettowert der geleasten Sachanlagen</t>
    </r>
  </si>
  <si>
    <t xml:space="preserve">Lease liabilities - net value of leased tangible assets </t>
  </si>
  <si>
    <t>Różnica między wartością bilansową a podatkową środków trwałych</t>
  </si>
  <si>
    <r>
      <t xml:space="preserve">Differenz zwischen dem </t>
    </r>
    <r>
      <rPr>
        <sz val="10"/>
        <color theme="3" tint="0.39997558519241921"/>
        <rFont val="Arial"/>
        <family val="2"/>
        <charset val="238"/>
      </rPr>
      <t>Bilanzwert</t>
    </r>
    <r>
      <rPr>
        <sz val="10"/>
        <rFont val="Arial"/>
        <family val="2"/>
        <charset val="238"/>
      </rPr>
      <t xml:space="preserve"> und dem steuerlichen Wert der Sachanlagen</t>
    </r>
  </si>
  <si>
    <t>Difference between the value of tangible assets for accounting and for tax purposes</t>
  </si>
  <si>
    <t>Straty podatkowe możliwe do odliczenia</t>
  </si>
  <si>
    <t>Abzugsfähige Steuerverluste</t>
  </si>
  <si>
    <t>Deductible tax losses</t>
  </si>
  <si>
    <t>Razem różnice przejściowe</t>
  </si>
  <si>
    <t>Vorübergehende Differenzen insgesamt</t>
  </si>
  <si>
    <t>Total temporary differences</t>
  </si>
  <si>
    <t>Aktive latente Steuern</t>
  </si>
  <si>
    <t>Odpis aktualizujący aktywo z tytułu odroczonego podatku dochodowego</t>
  </si>
  <si>
    <t>Wertberichtigung auf aktive latente Steuern</t>
  </si>
  <si>
    <t>Value adjustment write-down of deferred tax asset</t>
  </si>
  <si>
    <t>Aktywa z tytułu odroczonego podatku dochodowego (po uwzględnieniu odpisu aktualizującego)</t>
  </si>
  <si>
    <t>Aktive latente Steuern (unter Berücksichtigung der Wertberichtigung)</t>
  </si>
  <si>
    <t>Deferred tax assets (after value adjustment write-down)</t>
  </si>
  <si>
    <t>Rezerwa na podatek odroczony 
- dodatnie różnice przejściowe</t>
  </si>
  <si>
    <t>Rückstellung für latente Steuern - vorübergehende positive Differenzen</t>
  </si>
  <si>
    <t>Deferred tax liabilities
- positive temporary differences</t>
  </si>
  <si>
    <t>Wartość netto środków trwałych w leasingu - zobowiązanie leasingowe</t>
  </si>
  <si>
    <r>
      <t>Nettowert der geleasten Sachanlagen - Leasingverbindlich</t>
    </r>
    <r>
      <rPr>
        <sz val="10"/>
        <color theme="1"/>
        <rFont val="Arial"/>
        <family val="2"/>
        <charset val="238"/>
      </rPr>
      <t>keit</t>
    </r>
  </si>
  <si>
    <t>Net value of leased tangible assets - lease liabilities</t>
  </si>
  <si>
    <t xml:space="preserve">Rezerwa na podatek odroczony </t>
  </si>
  <si>
    <t>Rückstellung für latente Steuern</t>
  </si>
  <si>
    <t>Zmiana stanu aktywów z tytułu odroczonego podatku dochodowego</t>
  </si>
  <si>
    <t>Bestandsveränderung der aktiven latenten Steuern</t>
  </si>
  <si>
    <t>Increase (decrease) in deferred tax assets</t>
  </si>
  <si>
    <t>Zmiana stanu rezerw na podatek odroczony</t>
  </si>
  <si>
    <t>Bestandsveränderung der Rückstellung für latente Steuern</t>
  </si>
  <si>
    <t>Increase (decrease) in deferred tax liabilities</t>
  </si>
  <si>
    <t>Korekta podatku dochodowego w RZiS z tytułu podatku odroczonego</t>
  </si>
  <si>
    <t>Korrektur der Körperschaftsteuer in der GuV-Rechnung um latente Steuern</t>
  </si>
  <si>
    <t>Adjustment of income tax in the income statement due to deferred tax</t>
  </si>
  <si>
    <t>Koszt wytworzenia środków trwałych w budowie, w tym odsetki oraz różnice kursowe, które powiększyły koszt wytworzenia środków trwałych w budowie w roku obrotowym</t>
  </si>
  <si>
    <t>Herstellungskosten der Anlagen im Bau, darunter Zinsen und Kursdifferenzen, die die Herstellungskosten der Anlagen im Bau im Geschäftsjahr erhöhten</t>
  </si>
  <si>
    <t>Cost of production of assets under construction, including interest and foreign exchange gains (losses) which have increased the cost of production of the assets in the financial year</t>
  </si>
  <si>
    <t>Koszty wytworzenia środków trwałych w budowie</t>
  </si>
  <si>
    <t>Herstellungskosten der Anlagen im Bau</t>
  </si>
  <si>
    <t>Production costs of assets under construction</t>
  </si>
  <si>
    <t xml:space="preserve"> - w tym skapitalizowane odsetki</t>
  </si>
  <si>
    <t xml:space="preserve"> - darunter kapitalisierte Zinsen </t>
  </si>
  <si>
    <t xml:space="preserve"> - including capitalised interest </t>
  </si>
  <si>
    <t xml:space="preserve"> - w tym skapitalizowane różnice kursowe od zobowiązań zaciągniętych w celu ich sfinansowania</t>
  </si>
  <si>
    <t xml:space="preserve"> - darunter kapitalisierte Kursdifferenzen auf die zu deren Finanzierung aufgenommenen Verbindlichkeiten </t>
  </si>
  <si>
    <t xml:space="preserve"> - including capitalised foreign exchange gains (losses) on liabilities incurred to finance them</t>
  </si>
  <si>
    <t>Koszty wytworzenia środków trwałych oddanych do użytkowania w roku obrotowym</t>
  </si>
  <si>
    <t>Herstellungskosten der in Betrieb genommenen Sachanlagen</t>
  </si>
  <si>
    <t>Production costs of tangible assets put into use in the financial year</t>
  </si>
  <si>
    <t>w tym odsetki oraz skapitalizowane różnice kursowe od zobowiązań zaciągniętych w celu ich sfinansowania</t>
  </si>
  <si>
    <t xml:space="preserve">darunter Zinsen und kapitalisierte Kursdifferenzen auf die zu deren Finanzierung aufgenommenen Verbindlichkeiten </t>
  </si>
  <si>
    <t>including interest and capitalised foreign exchange gains (losses) on liabilities incurred to finance them</t>
  </si>
  <si>
    <t>Poniesione w ostatnim roku i planowane na następny rok nakłady na niefinansowe aktywa trwałe</t>
  </si>
  <si>
    <t>Im Vorjahr getragene und für das Folgejahr geplante Aufwendungen für nicht finanzielle langfristige Vermögenswerte</t>
  </si>
  <si>
    <t>Outlays  for non-financial tangible assets made in the last year and planned for the next year</t>
  </si>
  <si>
    <t>Nie planuje się również istotnych nakładów na niefinansowe aktywa trwałe w kolejnym roku obrotowym.</t>
  </si>
  <si>
    <t>Es sind auch keine wesentlichen Aufwendungen für nicht finanzielle Vermögenswerte im nächsten Geschäftsjahr geplant.</t>
  </si>
  <si>
    <t>No significant outlays for non-financial tangible assets are planned for the following financial year either.</t>
  </si>
  <si>
    <t>Poniesione nakłady w roku obrotowym</t>
  </si>
  <si>
    <t>im Geschäftsjahr getragene Aufwendungen</t>
  </si>
  <si>
    <t>Outlays made in the financial year</t>
  </si>
  <si>
    <t>w tym poniesione nakłady na ochronę środowiska</t>
  </si>
  <si>
    <t>darunter für Umweltschutzmaßnahmen</t>
  </si>
  <si>
    <t>including outlays made for environmental protection</t>
  </si>
  <si>
    <t>Planowane nakłady w kolejnym roku obrotowym</t>
  </si>
  <si>
    <t>für das Folgejahr geplante Aufwendungen</t>
  </si>
  <si>
    <t>Planned outlays for the following financial year</t>
  </si>
  <si>
    <t>w tym planowane nakłady na ochronę środowiska</t>
  </si>
  <si>
    <t>including outlays planned for environmental protection</t>
  </si>
  <si>
    <t>Kwota i charakter poszczególnych pozycji przychodów lub kosztów o nadzwyczajnej wartości lub które wystąpiły incydentalnie</t>
  </si>
  <si>
    <t>Betrag und Art der einzelnen Posten unter den Erträgen oder Aufwendungen, deren Wert außerordentlich war oder die gelegentlich aufgetreten sind</t>
  </si>
  <si>
    <r>
      <rPr>
        <sz val="10"/>
        <rFont val="Arial"/>
        <family val="2"/>
      </rPr>
      <t>Extraordinary or incidental revenues or expenses, by amount and nature</t>
    </r>
  </si>
  <si>
    <t>Expenses</t>
  </si>
  <si>
    <t>Otrzymane odszkodowania z tytułu zdarzeń losowych</t>
  </si>
  <si>
    <t>Erhaltene Entschädigungen aufgrund von unvorhersehbaren Ereignissen</t>
  </si>
  <si>
    <t>Damages received due to extraordinary items</t>
  </si>
  <si>
    <t>Skutki zdarzeń losowych</t>
  </si>
  <si>
    <t>Folgen unvorhersehbarer Ereignisse</t>
  </si>
  <si>
    <t>Losses on extraordinary items</t>
  </si>
  <si>
    <t>Podatek dochodowy od wyniku na operacjach nadzwyczajnych</t>
  </si>
  <si>
    <t>Körperschaftsteuer auf das außerordentliche Ergebnis</t>
  </si>
  <si>
    <t>Income tax on result of extraordinary items</t>
  </si>
  <si>
    <t xml:space="preserve">Extraordinary gains </t>
  </si>
  <si>
    <t xml:space="preserve">Außerordentliche Aufwendungen </t>
  </si>
  <si>
    <t>Wynik na operacjach nadzwyczajnych</t>
  </si>
  <si>
    <t xml:space="preserve">Körperschaftsteuer auf das außerordentliche Ergebnis </t>
  </si>
  <si>
    <t>Informacje o kosztach związanych z pracami badawczymi i pracami rozwojowymi, które nie zostały zakwalifikowane zgodnie z art. 33 ust. 2 do wartości niematerialnych i prawnych</t>
  </si>
  <si>
    <t>Informationen über die Kosten i.Z.m. mit Forschungs- und Entwicklungsarbeiten, die nicht gemäß Art. 33 Abs. 2 RLG-PL als immaterielle Vermögensgegenstände und Rechte eingestuft wurden</t>
  </si>
  <si>
    <t>Information about the costs of research and development which have not been classified as intangible assets by virtue of Article 33(2)</t>
  </si>
  <si>
    <t>Prace badawcze</t>
  </si>
  <si>
    <t>Forschungsarbeiten</t>
  </si>
  <si>
    <t>Research work</t>
  </si>
  <si>
    <t>Prace rozwojowe</t>
  </si>
  <si>
    <t>Entwicklungsarbeiten</t>
  </si>
  <si>
    <t>Development work</t>
  </si>
  <si>
    <t>Wartość żywności przekazanej organizacjom pozarządowym, z przeznaczeniem na wykonywanie przez te organizacje zadań w zakresie określonym w art. 2 pkt 2 ustawy z dnia 19 lipca 2019 r. o przeciwdziałaniu marnowaniu żywności, lub kwota opłaty za marnowanie żywności, o której mowa w art. 5 tej ustawy.</t>
  </si>
  <si>
    <t>Wert der Lebensmittel, die an Nicht-Regierungsorganisationen übergeben wurden, damit diese Aufgaben gemäß Art. 2 Pkt. 2 des Gesetzes vom 19. Juli 2019 über die Vermeidung der Lebensmittelverschwendung erfüllen können, oder für die Lebensmittelverschwendung fällige Gebühr gemäß Art. 5 dieses Gesetzes.</t>
  </si>
  <si>
    <t>The value of food transferred to non-governmental organisations so that they perform their tasks in the scope specified in Article 2(2) of the Food Waste Prevention Act of 19 July 2019, or the food waste fee referred to in Article 5 of that Act.</t>
  </si>
  <si>
    <t>Wartość żywności przekazanej organizacjom pozarządowym</t>
  </si>
  <si>
    <t>Wert der an Nicht-Regierungsorganisationen übergebenen Lebensittel</t>
  </si>
  <si>
    <t>The value of food transferred to non-governmental organisations</t>
  </si>
  <si>
    <t>Kwota opłaty za marnowanie żywności</t>
  </si>
  <si>
    <t>Gebühr für Lebensmittelverschwendung</t>
  </si>
  <si>
    <t>Food waste fee</t>
  </si>
  <si>
    <t>nota 3</t>
  </si>
  <si>
    <t>Objaśnienia struktury środków pieniężnych przyjętych do rachunku przepływów pieniężnych (przy stosowaniu metody bezpośredniej i pośredniej)</t>
  </si>
  <si>
    <t>Erläuterungen zur Struktur der Geldmittel, die der Kapitalflussrechnung zugrunde liegen (unter Anwendung der direkten und indirekten Methode)</t>
  </si>
  <si>
    <t>Explanations to the structure of cash and cash equivalents to be included in cash flow statement (when using the direct and indirect methods)</t>
  </si>
  <si>
    <t>Uzgodnienie przepływów netto z działalności operacyjnej, sporządzone metodą pośrednią (przy stosowaniu metody bezpośredniej)</t>
  </si>
  <si>
    <t>Abstimmung des Nettokapitalflusses aus der laufenden Geschäftstätigkeit, erstellt nach der indirekten Methode (unter Anwendung der direkten Methode)</t>
  </si>
  <si>
    <t>Reconciliation of net cash flows from operating activities, prepared using the indirect method (when using the direct method)</t>
  </si>
  <si>
    <t>(w przypadku różnic pomiędzy zmianami stanu niektórych pozycji w bilansie oraz zmianami tych samych pozycji wykazanymi w rachunku przepływów pieniężnych należy wyjaśnić ich przyczyny)</t>
  </si>
  <si>
    <t>(bei Differenzen zwischen den Bestandsveränderungen einiger Positionen in der Bilanz und den Änderungen derselben Positionen in der Kapitalflussrechnung sind ihre Gründe aufzuklären)</t>
  </si>
  <si>
    <t>(in case of differences between changes in some balance sheet items and changes in the same items shown in cash flow statement, their reasons should be explained)</t>
  </si>
  <si>
    <t>Spółka nie ma obowiązku sporządzania rachunku przepływów pieniężnych.</t>
  </si>
  <si>
    <t>Die Gesellschaft ist nicht verpflichtet, die Kapitalflussrechnung zu erstellen.</t>
  </si>
  <si>
    <t>The Company does not have to prepare the cash flow statement.</t>
  </si>
  <si>
    <r>
      <rPr>
        <sz val="10"/>
        <color rgb="FFFF0000"/>
        <rFont val="Arial"/>
        <family val="2"/>
        <charset val="238"/>
      </rPr>
      <t>Oddział</t>
    </r>
    <r>
      <rPr>
        <sz val="10"/>
        <rFont val="Arial"/>
        <family val="2"/>
      </rPr>
      <t xml:space="preserve"> nie ma obowiązku sporządzania rachunku przepływów pieniężnych.</t>
    </r>
  </si>
  <si>
    <t xml:space="preserve">Przepływy pieniężne netto </t>
  </si>
  <si>
    <t xml:space="preserve">Nettokapitalfluss </t>
  </si>
  <si>
    <t>Net cash inflow/outflow</t>
  </si>
  <si>
    <t>Środki pieniężne na początek roku obrotowego</t>
  </si>
  <si>
    <t>Geldmittel am Anfang des Geschäftsjahres</t>
  </si>
  <si>
    <t>Cash and cash equivalents at the beginning of the financial year</t>
  </si>
  <si>
    <t>Środki pieniężne na koniec roku obrotowego</t>
  </si>
  <si>
    <t>Geldmittel am Ende des Geschäftsjahres</t>
  </si>
  <si>
    <t>Cash and cash equivalents as the end of the financial year</t>
  </si>
  <si>
    <t>nota 4</t>
  </si>
  <si>
    <t xml:space="preserve">Informacje o charakterze i celu gospodarczym zawartych przez jednostkę umów nieuwzględnionych w bilansie w zakresie niezbędnym do oceny ich wpływu na sytuację majątkową, finansową i wynik finansowy </t>
  </si>
  <si>
    <t>Informationen über die Art und den wirtschaftlichen Zweck der durch die Gesellschaft abgeschlossenen Verträge, die in der Bilanz nicht berücksichtigt wurden, soweit diese Verträge hinsichtlich ihres Einflusses auf die Vermögens-, Finanz- und Ertragslage der Gesellschaft sowie ihr Jahresergebnis als wesentlich einzustufen sind</t>
  </si>
  <si>
    <t xml:space="preserve">Nature and economic objective of agreements made by the Company and not included in the balance sheet in the scope necessary for assessing their impact on the net worth and financial standing as well as the profit (loss) </t>
  </si>
  <si>
    <t>Nie wystąpiły takie umowy, zarówno w bieżącym roku obrotowym, jak i w roku poprzednim.</t>
  </si>
  <si>
    <t>Solche Verträge wurden weder im laufenden noch im vorausgehenden Geschäftsjahr geschlossen.</t>
  </si>
  <si>
    <t>There were no such agreements, either in the current financial year or in the previous year.</t>
  </si>
  <si>
    <t>W bieżącym roku obrotowym nie wystąpiły takie umowy.</t>
  </si>
  <si>
    <t>Solche Verträge wurden im laufenden Geschäftsjahr nicht geschlossen.</t>
  </si>
  <si>
    <t>There were no such agreements in the current financial year.</t>
  </si>
  <si>
    <t>Informacje o istotnych transakcjach (wraz z ich kwotami) zawartych przez jednostkę na innych warunkach niż rynkowe z jednostkami powiązanymi</t>
  </si>
  <si>
    <t>Informationen über wesentliche Geschäfte (einschließlich ihrer Beträge), welche die Gesellschaft mit verbundenen Parteien zu anderen als den marktüblichen Konditionen abgeschlossen hat</t>
  </si>
  <si>
    <t>Significant transactions (incl. their amounts) made by the Company with related parties on terms deferring from market conditions</t>
  </si>
  <si>
    <t>Istotne transakcje zawarte przez spółkę na innych warunkach niż rynkowe ze stronami powiązanymi</t>
  </si>
  <si>
    <t>Wesentliche Geschäfte, die durch die Gesellschaft mit verbundenen Parteien zu anderen als den marktüblichen Konditionen abgeschlossen wurden</t>
  </si>
  <si>
    <t>Significant transactions made by the Company with related parties on non-market terms</t>
  </si>
  <si>
    <t>Warunki transakcji zawieranych przez Spółkę ze stronami powiązanymi w roku obrotowym, jak i w roku poprzednim, nie odbiegały od warunków rynkowych.</t>
  </si>
  <si>
    <r>
      <t xml:space="preserve">Die Konditionen der Geschäfte, die von der Gesellschaft mit verbundenen Parteien abgeschlossen wurden, wichen weder im laufenden noch im </t>
    </r>
    <r>
      <rPr>
        <sz val="10"/>
        <color rgb="FFFF00FF"/>
        <rFont val="Arial"/>
        <family val="2"/>
        <charset val="238"/>
      </rPr>
      <t>vorausgehenden</t>
    </r>
    <r>
      <rPr>
        <sz val="10"/>
        <rFont val="Arial"/>
        <family val="2"/>
      </rPr>
      <t xml:space="preserve"> Geschäftsjahr von den marktüblichen Konditionen ab.</t>
    </r>
  </si>
  <si>
    <t>Terms of the transactions made by the Company with related parties in the financial year and in the previous year did not differ from the market terms.</t>
  </si>
  <si>
    <t>Warunki transakcji zawieranych przez Oddział ze stronami powiązanymi w roku obrotowym, jak i w roku poprzednim, nie odbiegały od warunków rynkowych.</t>
  </si>
  <si>
    <t>Warunki transakcji zawieranych przez Spółkę ze stronami powiązanymi nie odbiegały od warunków rynkowych.</t>
  </si>
  <si>
    <t>Die Konditionen der Geschäfte, die von der Gesellschaft mit verbundenen Parteien abgeschlossen wurden, wichen von den marktüblichen Konditionen ab.</t>
  </si>
  <si>
    <t>Terms of the transactions made by the Company with related parties did not differ from the market terms.</t>
  </si>
  <si>
    <t>Warunki transakcji zawieranych przez Oddział ze stronami powiązanymi nie odbiegały od warunków rynkowych.</t>
  </si>
  <si>
    <t>Informacje o przeciętnym zatrudnieniu w roku obrotowym z podziałem na grupy zawodowe</t>
  </si>
  <si>
    <t>Informationen über die durchschnittliche Beschäftigung im Geschäftsjahr mit Aufteilung in Berufsgruppen</t>
  </si>
  <si>
    <t>Average employment in the Company during the financial year in breakdown by professional groups</t>
  </si>
  <si>
    <t>Przeciętny stan zatrudnienia w roku obrotowym</t>
  </si>
  <si>
    <t>Durchschnittlicher Beschäftigungsstand im Geschäftsjahr</t>
  </si>
  <si>
    <t>Average employment during the financial year</t>
  </si>
  <si>
    <t>pracownicy administracyjni</t>
  </si>
  <si>
    <t>Verwaltungsangestellte</t>
  </si>
  <si>
    <t>administration employees</t>
  </si>
  <si>
    <t>pracownicy umysłowi</t>
  </si>
  <si>
    <t>Angestellte</t>
  </si>
  <si>
    <t>white-collar employees</t>
  </si>
  <si>
    <t>pracownicy fizyczni</t>
  </si>
  <si>
    <t>Arbeiter</t>
  </si>
  <si>
    <t>blue-collar employees</t>
  </si>
  <si>
    <t>pozostali</t>
  </si>
  <si>
    <t>other employees</t>
  </si>
  <si>
    <t>Spółka nie zatrudnia pracowników.</t>
  </si>
  <si>
    <t>Die Gesellschaft beschäftigt keine Arbeitnehmer.</t>
  </si>
  <si>
    <t>The Company does not hire employees.</t>
  </si>
  <si>
    <r>
      <rPr>
        <sz val="10"/>
        <color rgb="FFFF0000"/>
        <rFont val="Arial"/>
        <family val="2"/>
        <charset val="238"/>
      </rPr>
      <t>Oddział</t>
    </r>
    <r>
      <rPr>
        <sz val="10"/>
        <rFont val="Arial"/>
        <family val="2"/>
      </rPr>
      <t xml:space="preserve"> nie zatrudnia pracowników.</t>
    </r>
  </si>
  <si>
    <t>Kobiety</t>
  </si>
  <si>
    <t>Frauen</t>
  </si>
  <si>
    <t>Female</t>
  </si>
  <si>
    <t>Mężczyźni</t>
  </si>
  <si>
    <t>Männer</t>
  </si>
  <si>
    <t>Male</t>
  </si>
  <si>
    <t>Razem</t>
  </si>
  <si>
    <t>Wynagrodzenia, łącznie z wynagrodzeniem z zysku, wypłacone lub należne osobom wchodzącym w skład organów zarządzających, nadzorujących albo administrujących spółek handlowych (dla każdej grupy osobno) za rok obrotowy oraz wszelkie zobowiązania wynikające z emerytur i świadczeń o podobnym charakterze dla byłych członków tych organów lub zobowiązania zaciągnięte w związku z tymi emeryturami, ze wskazaniem kwoty ogółem dla każdej kategorii organu</t>
  </si>
  <si>
    <t>Vergütungen, einschließlich Gewinnbeteiligungen, die an Personen, welche zu den Leitungs-, Aufsichts- oder Verwaltungsorganen von Handelsgesellschaften gehören, für das Geschäftsjahr ausgezahlt wurden oder diesen Personen zustehen (separat für jede Gruppe) sowie sämtliche Verbindlichkeiten aus Pensionen und ähnlichen Leistungen für ehemalige Mitglieder dieser Organe oder eingegangene Verbindlichkeiten im Zusammenhang mit diesen Pensionen, unter Angabe des Gesamtbetrages für jede Kategorie des Organs</t>
  </si>
  <si>
    <r>
      <rPr>
        <sz val="10"/>
        <rFont val="Arial"/>
        <family val="2"/>
      </rPr>
      <t>Remuneration, including a profit share, paid or payable to members of the management, supervisory or administrative authorities of commercial companies (for each of those authorities separately) for the financial year, as well as all liabilities on account of pensions and similar benefits payable to former members of those authorities, or liabilities contracted in connection with such pensions, with an indication of the total amount for each of the authorities</t>
    </r>
  </si>
  <si>
    <t>Spółka nie wypłacała wynagrodzeń członkom organów zarządzających i nadzorujących, zarówno w bieżącym roku obrotowym jak i w roku poprzednim.</t>
  </si>
  <si>
    <t>Die Gesellschaft zahlte weder im laufenden noch im vorausgehenden Geschäftsjahr Vergütungen an Personen, die den Leitungs- oder Aufsichtsorganen angehören.</t>
  </si>
  <si>
    <t>The Company paid no remuneration to members of management and supervisory bodies either in the current financial year or in the previous year.</t>
  </si>
  <si>
    <r>
      <rPr>
        <sz val="10"/>
        <color rgb="FFFF0000"/>
        <rFont val="Arial"/>
        <family val="2"/>
        <charset val="238"/>
      </rPr>
      <t>Oddzia</t>
    </r>
    <r>
      <rPr>
        <sz val="10"/>
        <rFont val="Arial"/>
        <family val="2"/>
      </rPr>
      <t>ł nie wypłacał wynagrodzeń członkom organów zarządzających i nadzorujących, zarówno w bieżącym roku obrotowym jak i w roku poprzednim.</t>
    </r>
  </si>
  <si>
    <t>Spółka nie wypłacała w bieżącym roku obrotowym wynagrodzeń członkom organów zarządzających i nadzorujących.</t>
  </si>
  <si>
    <t>Die Gesellschaft zahlte im laufenden Geschäftsjahr keineVergütungen an Personen, die den Leitungs- oder Aufsichtsorganen angehören.</t>
  </si>
  <si>
    <t>The Company paid no remuneration to members of management and supervisory bodies in the current financial year.</t>
  </si>
  <si>
    <r>
      <rPr>
        <sz val="10"/>
        <color rgb="FFFF0000"/>
        <rFont val="Arial"/>
        <family val="2"/>
        <charset val="238"/>
      </rPr>
      <t>Oddział</t>
    </r>
    <r>
      <rPr>
        <sz val="10"/>
        <rFont val="Arial"/>
        <family val="2"/>
      </rPr>
      <t xml:space="preserve"> nie wypłacał w bieżącym roku obrotowym wynagrodzeń członkom organów zarządzających i nadzorujących.</t>
    </r>
  </si>
  <si>
    <t>Wynagrodzenie Członków Zarządu</t>
  </si>
  <si>
    <t>Vergütung für die Geschäftsführung</t>
  </si>
  <si>
    <t>Remuneration for the Management Board</t>
  </si>
  <si>
    <t>Vergütung für den Vorstand</t>
  </si>
  <si>
    <t>Wynagrodzenie Rady Nadzorczej</t>
  </si>
  <si>
    <t>Vergütung für den Aufsichtsrat</t>
  </si>
  <si>
    <t>Remuneration for the Supervisory Board</t>
  </si>
  <si>
    <t>Zaliczki, kredyty, pożyczki i świadczenia o podobnym charakterze udzielone osobom wchodzącym w skład organów zarządzających, nadzorujących i administrujących jednostki, ze wskazaniem ich głównych warunków, wysokości oprocentowania oraz wszelkich kwot spłaconych, odpisanych lub umorzonych, a także zobowiązania zaciągnięte w ich imieniu tytułem gwarancji i poręczeń wszelkiego rodzaju, ze wskazaniem kwoty ogółem dla każdego z tych organów</t>
  </si>
  <si>
    <t>Vorschüsse, Kredite, Darlehen und ähnliche Leistungen für Mitglieder der Leitungs-, Aufsichts- und Verwaltungsorgane der Gesellschaft, unter Angabe der Hauptbedingungen, der Verzinsung und sämtlicher zurückgezahlter, abgeschriebener oder erlassener Beträge, sowie der in ihrem Namen eingegangenen Verbindlichkeiten aus Garantien und Bürgschaften jeglicher Art, unter Angabe des Gesamtbetrages für jede Kategorie dieser Organe</t>
  </si>
  <si>
    <r>
      <rPr>
        <sz val="10"/>
        <rFont val="Arial"/>
        <family val="2"/>
      </rPr>
      <t>Advances, loans, borrowings and similar benefits granted to members of the entity's management, supervisory and administrative authorities, with an indication of their basic terms, interest rate and any and all amounts repaid, written off or forgiven, as well as liabilities contracted on their behalf by way of guarantees and/or warranties of any kind, indicating the total amount for each of the authorities</t>
    </r>
  </si>
  <si>
    <t>Spółka nie wypłacała w/w świadczeń członkom organów zarządzających i nadzorujących, zarówno w bieżącym roku obrotowym jak i w roku poprzednim.</t>
  </si>
  <si>
    <t>Die Gesellschaft zahlte weder im laufenden noch im vorausgehenden Geschäftsjahr die o.g. Vergütungen an Personen, die den Leitungs- oder Aufsichtsorganen angehören.</t>
  </si>
  <si>
    <t>The Company paid no such benefits to members of management and supervisory bodies either in the current financial year or in the previous year.</t>
  </si>
  <si>
    <r>
      <rPr>
        <sz val="10"/>
        <color rgb="FFFF0000"/>
        <rFont val="Arial"/>
        <family val="2"/>
        <charset val="238"/>
      </rPr>
      <t>Oddział</t>
    </r>
    <r>
      <rPr>
        <sz val="10"/>
        <rFont val="Arial"/>
        <family val="2"/>
      </rPr>
      <t xml:space="preserve"> nie wypłacał w/w świadczeń członkom organów zarządzających i nadzorujących, zarówno w bieżącym roku obrotowym jak i w roku poprzednim.</t>
    </r>
  </si>
  <si>
    <t>Spółka nie wypłacała w bieżącym roku obrotowym w/w świadczeń członkom organów zarządzających i nadzorujących.</t>
  </si>
  <si>
    <t>Die Gesellschaft zahlte im laufenden Geschäftsjahr keine o.g. Vergütungen an Personen, die den Leitungs- oder Aufsichtsorganen angehören.</t>
  </si>
  <si>
    <t>The Company paid no such benefits to members of management and supervisory bodies in the current financial year.</t>
  </si>
  <si>
    <t>Oddział nie wypłacał w bieżącym roku obrotowym w/w świadczeń członkom organów zarządzających i nadzorujących.</t>
  </si>
  <si>
    <t>Informacja o wynagrodzeniu firmy audytorskiej, wypłaconym lub należnym za rok obrotowy</t>
  </si>
  <si>
    <t>Information über die Vergütung für die Wirtschaftsprüfungsgesellschaft, die für das Geschäftsjahr ausgezahlt wurde oder zusteht</t>
  </si>
  <si>
    <t>Remuneration of an audit firm paid or due for the financial year</t>
  </si>
  <si>
    <t>Spółka nie korzystała z usług firmy audytorskiej, zarówno w bieżącym roku obrotowym jak i w roku poprzednim.</t>
  </si>
  <si>
    <t>Die Gesellschaft hat die Dienstleistungen einer Wirtschaftsprüfungsgesellschaft weder im laufenden Geschäftsjahr noch im Vorjahr in Anspruch genommen.</t>
  </si>
  <si>
    <t>The Company did not use the services of an audit firm either in the current or in the preceding financial year.</t>
  </si>
  <si>
    <r>
      <rPr>
        <sz val="10"/>
        <color rgb="FFFF0000"/>
        <rFont val="Arial"/>
        <family val="2"/>
        <charset val="238"/>
      </rPr>
      <t>Oddział</t>
    </r>
    <r>
      <rPr>
        <sz val="10"/>
        <rFont val="Arial"/>
        <family val="2"/>
      </rPr>
      <t xml:space="preserve"> nie korzystał z usług firmy audytorskiej, zarówno w bieżącym roku obrotowym jak i w roku poprzednim.</t>
    </r>
  </si>
  <si>
    <t>Spółka nie korzystała z usług firmy audytorskiej.</t>
  </si>
  <si>
    <t>Die Gesellschaft hat die Dienstleistungen einer Wirtschaftsprüfungsgesellschaft nicht in Anspruch genommen.</t>
  </si>
  <si>
    <t>The Company did not use the services of an audit firm.</t>
  </si>
  <si>
    <r>
      <rPr>
        <sz val="10"/>
        <color rgb="FFFF0000"/>
        <rFont val="Arial"/>
        <family val="2"/>
        <charset val="238"/>
      </rPr>
      <t>Oddział</t>
    </r>
    <r>
      <rPr>
        <sz val="10"/>
        <rFont val="Arial"/>
        <family val="2"/>
      </rPr>
      <t xml:space="preserve"> nie korzystał z usług firmy audytorskiej.</t>
    </r>
  </si>
  <si>
    <t>Badanie ustawowe w rozumieniu art. 2 pkt 1 ustawy o biegłych rewidentach</t>
  </si>
  <si>
    <t>Obligatorische Jahresabschlussprüfung gemäß Art. 2 Pkt. 1 des polnischen Gesetzes über die Wirtschaftsprüfer</t>
  </si>
  <si>
    <t>Statutory audit in the meaning of Article 2(1) of the Statutory Auditors Act</t>
  </si>
  <si>
    <t>Fakultatywne badanie rocznego sprawozdania finansowego</t>
  </si>
  <si>
    <t>Freiwillige Jahresabschlussprüfung</t>
  </si>
  <si>
    <t>Voluntary audit of annual financial statements</t>
  </si>
  <si>
    <t>Inne usługi atestacyjne</t>
  </si>
  <si>
    <t>Sonstige Bestätigungsleistungen</t>
  </si>
  <si>
    <t>Other assurance services</t>
  </si>
  <si>
    <t>Usługi doradztwa podatkowego</t>
  </si>
  <si>
    <t>die Steuerberatung</t>
  </si>
  <si>
    <t>Tax advisory services</t>
  </si>
  <si>
    <t>Pozostałe usługi</t>
  </si>
  <si>
    <t>sonstige Leistungen</t>
  </si>
  <si>
    <t>Other services</t>
  </si>
  <si>
    <t>Udzielone członkom Zarządu</t>
  </si>
  <si>
    <t>für Geschäftsführer</t>
  </si>
  <si>
    <t>Advanced to members of the Management Board</t>
  </si>
  <si>
    <t>für Vorstandsmitglieder</t>
  </si>
  <si>
    <t>Tytuł</t>
  </si>
  <si>
    <t>Einzelaufstellung</t>
  </si>
  <si>
    <t xml:space="preserve">Specification </t>
  </si>
  <si>
    <t>Kwota udzielona</t>
  </si>
  <si>
    <t>Betrag gewährt</t>
  </si>
  <si>
    <t>Amount granted</t>
  </si>
  <si>
    <t>Kwota spłacona</t>
  </si>
  <si>
    <t>Betrag zurückgezahlt</t>
  </si>
  <si>
    <t>Amount repaid</t>
  </si>
  <si>
    <t>Stopa procentowa</t>
  </si>
  <si>
    <t>Zinssatz</t>
  </si>
  <si>
    <t>Interest rate</t>
  </si>
  <si>
    <t>Udzielone członkom Rady Nadzorczej</t>
  </si>
  <si>
    <t>für Aufsichtsratsmitglieder</t>
  </si>
  <si>
    <t>Advanced to members of the Supervisory Board</t>
  </si>
  <si>
    <t>Przychody i koszty z tytułu błędów popełnionych w latach ubiegłych odnoszonych w roku obrotowym na kapitał (fundusz) własny</t>
  </si>
  <si>
    <t>Erträge und Aufwendungen aufgrund der Fehler aus den Vorjahren, die im Geschäftsjahr unter dem Eigenkapital erfasst werden</t>
  </si>
  <si>
    <t>Revenues and expenses resulting from errors committed in previous years, appropriated to owners' equity</t>
  </si>
  <si>
    <t>W roku obrotowym nie dokonywano korekty błędów lat ubiegłych.</t>
  </si>
  <si>
    <t>Im Geschäftsjahr wurden die Fehler aus den Vorjahren nicht korrigiert.</t>
  </si>
  <si>
    <t>No prior period adjustments were made in the financial year.</t>
  </si>
  <si>
    <r>
      <t>Informacje o znaczących zdarzeniach, jakie nastąpiły po dniu bilansowym, a nieuwzględnionych w sprawozdaniu finansowym oraz o ich wpływie na sytuację majątkową, finansową oraz wynik finansowy jed</t>
    </r>
    <r>
      <rPr>
        <sz val="10"/>
        <color rgb="FFFF0000"/>
        <rFont val="Arial"/>
        <family val="2"/>
        <charset val="238"/>
      </rPr>
      <t>nostki</t>
    </r>
  </si>
  <si>
    <t>Informationen über wesentliche, nach dem Bilanzstichtag eingetretene Ereignisse, die im Jahresabschluss nicht berücksichtigt wurden, und über deren Einfluss auf die Vermögens-, Finanz- und Ertragslage sowie das Jahresergebnis der Gesellschaft</t>
  </si>
  <si>
    <t>Information on significant events after balance sheet date, not disclosed in the financial statements</t>
  </si>
  <si>
    <t>Początek 2020 roku przyniósł rozprzestrzenienie się wirusa COVID-19 (koronawirusa) w wielu krajach. Sytuacja ta ma negatywny wpływ na gospodarkę światową. Znaczne osłabienie kursu waluty polskiej, fluktuacja cen towarów, spadek wartości akcji mogą mieć wpływ na sytuację jednostki w roku 2020. Kierownictwo uważa taką sytuację za zdarzenie niepowodujące korekt w sprawozdaniu finansowym za rok 2019, lecz za zdarzenie po dacie bilansu, wymagające dodatkowych ujawnień. Nie jest możliwe przedstawienie precyzyjnych danych liczbowych, dotyczących potencjalnego wpływu obecnej sytuacji na jednostkę. Ewentualny wpływ zostanie uwzględniony w księgach rachunkowych i sprawozdaniu finansowym za rok 2020.</t>
  </si>
  <si>
    <t>Der Anfang des Jahres 2020 brachte die Verbreitung des Coronavirus COVID-19 in vielen Ländern mit sich. Diese Situation beeinträchtigt die Weltwirtschaft. Der erhebliche Rückgang des Kurses der polnischen Währung, die Fluktuation der Warenpreise und der Rückgang des Wertes von Aktien können auf die Lage der Gesellschaft im Jahre 2020 Einfluss haben. Die Geschäftsleitung betrachtet dies nicht als ein Ereignis, das Korrekturen des Jahresabschlusses für 2019 nach sich zieht, sondern als ein Ereignis nach dem Bilanzstichtag, das zusätzliche Offenlegungen erfordert. Es ist nicht möglich, zu dem potentiellen Einfluss der gegenwärtigen Situation auf die Gesellschaft präzise Zahlenangaben zu machen. Der etwaige Einfluss wird in den Handelsbüchern und im Jahresabschluss für 2020 berücksichtigt.</t>
  </si>
  <si>
    <t>The beginning of 2020 brought the spread of the COVID-19 virus (coronavirus) in many countries. This has an adverse influence on the global economy. The company's operations in 2020 may be affected by the depreciation of the Polish currency,  fluctuations in the prices of goods and a decrease in the value of the company's shares. The management regards these circumstances not as an event requiring adjustments in the 2019 financial statements, but as a post-balance sheet event subject to additional disclosure. It is currently not possible to present in exact numbers the potential influence of the current situation on the company's operations. Any potential effects will be taken into account in the books of account and the financial statements for the year 2020.</t>
  </si>
  <si>
    <t>Dokonane w roku obrotowym zmiany zasad (polityki) rachunkowości, w tym metody wyceny, jeżeli wywierają one istotny wpływ na sytuację majątkową, finansową i wynik finansowy jednostki, ich przyczyny i spowodowaną zmianami kwotę wyniku finansowego oraz zmian w kapitale (funduszu) własnym, oraz przedstawienie zmiany sposobu sporządzania sprawozdania finansowego wraz z podaniem jej przyczyny</t>
  </si>
  <si>
    <t>Im Geschäftsjahr vorgenommene Änderungen der Rechnungslegungsgrundsätze (-politik), darunter der Bewertungsmethoden, sofern sie wesentlichen Einfluss auf die Vermögens-, Finanz- und Ertragslage sowie das Jahresergebnis der Gesellschaft haben, die Gründe für diese Änderungen und die von ihnen verursachten Änderungen des Jahresergebnisses und des Eigenkapitals sowie Darstellung der Änderung der Art und Weise der Erstellung des Jahresabschlusses, unter Angabe der Gründe für diese Änderung</t>
  </si>
  <si>
    <r>
      <rPr>
        <sz val="10"/>
        <rFont val="Arial"/>
        <family val="2"/>
      </rPr>
      <t>Changes in the accounting rules (policy) made in the financial year, including the valuation method, if they have material impact on the net worth, financial standing and profit (loss) of the entity, their reasons and amount of the profit (loss) as affected by the changes, as well changes in owners' equity, and changes in the method of preparing the financial statements along with reasons therefor</t>
    </r>
  </si>
  <si>
    <t>Informacje liczbowe, wraz z wyjaśnieniem, zapewniające porównywalność danych sprawozdania finansowego za rok poprzedzający ze sprawozdaniem za rok obrotowy</t>
  </si>
  <si>
    <t>Zahlenangaben mit einer Erläuterung, die die Vergleichbarkeit der Angaben aus dem Vorjahresabschluss mit dem Jahresabschluss für das Geschäftsjahr gewährleisten</t>
  </si>
  <si>
    <t>Numerical information, with clarification, guaranteeing the comparability of data from prior year financial statements with this year financial statements</t>
  </si>
  <si>
    <t>Wpływ wyżej opisanych zdarzeń na sprawozdanie finansowe za rok ubiegły prezentuje poniższa tabela:</t>
  </si>
  <si>
    <t>Der Einfluss der oben beschriebenen Ereignisse auf den Jahresabschluss für das vorausgehende Jahr ist der nachfolgenden Tabelle zu entnehmen:</t>
  </si>
  <si>
    <t>The impact of the abovementioned events on the financial statements for the previous year is presented in the table below:</t>
  </si>
  <si>
    <t>Skorygowane dane finansowe za poprzedni rok obrotowy zostały zaprezentowane jako trzecia kolumna do bilansu i rachunku zysków i strat.</t>
  </si>
  <si>
    <t>Die korrigierten Finanzangaben für das vorausgehende Geschäftsjahr wurden als dritte Spalte zur Bilanz und der Gewinn- und Verlustrechnung dargestellt.</t>
  </si>
  <si>
    <t>Adjusted financial data for the previous financial year are presented as the third column in the balance sheet and the income statement.</t>
  </si>
  <si>
    <t>Nie dotyczy, bieżący rok obrotowy jest pierwszym rokiem działalności spółki.</t>
  </si>
  <si>
    <t>Trifft nicht zu, das laufende Geschäftsjahr ist das erste Jahr der Tätigkeit der Gesellschaft.</t>
  </si>
  <si>
    <t>Not applicable, the current financial year is the company’s first year of operations.</t>
  </si>
  <si>
    <t>w tym:</t>
  </si>
  <si>
    <t>darunter:</t>
  </si>
  <si>
    <t>of which:</t>
  </si>
  <si>
    <t>Zmiana</t>
  </si>
  <si>
    <t>Änderung</t>
  </si>
  <si>
    <t>Change</t>
  </si>
  <si>
    <t>Przychody ze sprzedaży</t>
  </si>
  <si>
    <t>Erträge aus dem Verkauf</t>
  </si>
  <si>
    <t>Revenues from sale</t>
  </si>
  <si>
    <t>Wspólne przedsięwzięcia, które nie podlegają konsolidacji</t>
  </si>
  <si>
    <t>Gemeinsame Unternehmungen, die nicht in den Konzernabschluss einbezogen werden</t>
  </si>
  <si>
    <t>Joint ventures applying the consolidation exception</t>
  </si>
  <si>
    <t>Nazwa i zakres działalności wspólnego przedsięwzięcia</t>
  </si>
  <si>
    <t>Bezeichnung und Umfang der Tätigkeit der gemeinsamen Unternehmung</t>
  </si>
  <si>
    <t>Name and business activity of the joint venture</t>
  </si>
  <si>
    <t>Procentowy udział jednostki w przedsięwzięciu</t>
  </si>
  <si>
    <t>Prozentanteil der Gesellschaft an der Unternehmung</t>
  </si>
  <si>
    <t>Percentage share of the entity in the joint venture</t>
  </si>
  <si>
    <t>Część wspólnie kontrolowanych rzeczowych składników aktywów trwałych oraz wartości niematerialnych i prawnych</t>
  </si>
  <si>
    <t>Gemeinsam beherrschte Gegenstände des Sachanlagevermögens sowie immaterielle Vermögensgegenstände und Rechte</t>
  </si>
  <si>
    <t>Part of property, plant and equipment, and intangible assets controlled jointly</t>
  </si>
  <si>
    <t>Zobowiązania zaciągnięte na potrzeby przedsięwzięcia lub zakup używanych rzeczowych składników aktywów trwałych</t>
  </si>
  <si>
    <t>Verbindlichkeiten, die für Zwecke der Unternehmung oder für den Kauf gebrauchter Gegenstände des Sachanlagevermögens aufgenommen wurden</t>
  </si>
  <si>
    <t>Liabilities incurred for the purpose of the joint venture or for purchase of property, plant and equipment used</t>
  </si>
  <si>
    <t>Część zobowiązań wspólnie zaciągniętych</t>
  </si>
  <si>
    <t>Gemeinsam eingegangene Verbindlichkeiten</t>
  </si>
  <si>
    <t>Part of liabilities incurred jointly</t>
  </si>
  <si>
    <t>Przychody uzyskane ze wspólnego przedsięwzięcia</t>
  </si>
  <si>
    <t xml:space="preserve">Erträge aus der gemeinsamen Unternehmung </t>
  </si>
  <si>
    <t>Revenues from the joint venture</t>
  </si>
  <si>
    <t>Koszty związane ze wspólnym przedsięwzięciem</t>
  </si>
  <si>
    <t>Mit der gemeinsamen Unternehmung verbundene Aufwendungen</t>
  </si>
  <si>
    <t>Costs related to the joint venture</t>
  </si>
  <si>
    <t>Zobowiązania warunkowe dotyczące wspólnego przedsięwzięcia</t>
  </si>
  <si>
    <t>Eventualverbindlichkeiten, welche die gemeinsame Unternehmung betreffen</t>
  </si>
  <si>
    <t>Contingent liabilities concerning the joint venture</t>
  </si>
  <si>
    <t>Zobowiązania inwestycyjne dotyczące wspólnego przedsięwzięcia</t>
  </si>
  <si>
    <t>Investitionsverbindlichkeiten, welche die gemeinsame Unternehmung betreffen</t>
  </si>
  <si>
    <t>Investment liabilities concerning the joint venture</t>
  </si>
  <si>
    <t>Opis szczegółowy</t>
  </si>
  <si>
    <t>Detaillierte Beschreibung</t>
  </si>
  <si>
    <t>Detailed description</t>
  </si>
  <si>
    <t>Kwota</t>
  </si>
  <si>
    <t>Betrag</t>
  </si>
  <si>
    <t>Amount</t>
  </si>
  <si>
    <t>Informacje o transakcjach z jednostkami powiązanymi</t>
  </si>
  <si>
    <t>Informationen über Geschäfte mit verbundenen Unternehmen</t>
  </si>
  <si>
    <t>Information on transactions with related parties</t>
  </si>
  <si>
    <t>nazwa jednostki powiązanej</t>
  </si>
  <si>
    <t>Name des verbundenen Unternehmens</t>
  </si>
  <si>
    <t>name of related party</t>
  </si>
  <si>
    <t>waluta transakcji</t>
  </si>
  <si>
    <t>Währung des Geschäfts</t>
  </si>
  <si>
    <t>transaction currency</t>
  </si>
  <si>
    <t>wartość transakcji w walucie</t>
  </si>
  <si>
    <t>Wert des Geschäfts in Fremdwährung</t>
  </si>
  <si>
    <t>value of transaction in the currency</t>
  </si>
  <si>
    <t>wartość transakcji w PLN</t>
  </si>
  <si>
    <t>Wert des Geschäfts in PLN</t>
  </si>
  <si>
    <t>value of transaction in PLN</t>
  </si>
  <si>
    <t>informacja o rodzaju transakcji</t>
  </si>
  <si>
    <t>Information über die Art des Geschäfts</t>
  </si>
  <si>
    <t>information on the nature of transaction</t>
  </si>
  <si>
    <t>Zakupy</t>
  </si>
  <si>
    <t>Einkäufe</t>
  </si>
  <si>
    <t>Purchases</t>
  </si>
  <si>
    <t>Verkäufe</t>
  </si>
  <si>
    <t>Odsetki - koszty finansowe</t>
  </si>
  <si>
    <t>Zinsen - Finanzaufwendungen</t>
  </si>
  <si>
    <t>Interest – financial expenses</t>
  </si>
  <si>
    <t>Odsetki - przychody finansowe</t>
  </si>
  <si>
    <t>Zinsen - Finanzerträge</t>
  </si>
  <si>
    <t>Interest – financial revenues</t>
  </si>
  <si>
    <t>Otrzymane dywidendy i udziały w zyskach</t>
  </si>
  <si>
    <t>Dividends and profit sharing, received</t>
  </si>
  <si>
    <t>Otrzymane pożyczki</t>
  </si>
  <si>
    <t>Erhaltene Darlehen</t>
  </si>
  <si>
    <t>Loans received</t>
  </si>
  <si>
    <t>Udzielone pożyczki</t>
  </si>
  <si>
    <t>Gewährte Darlehen</t>
  </si>
  <si>
    <t>Loans granted</t>
  </si>
  <si>
    <t>Zakup środków trwałych</t>
  </si>
  <si>
    <t>Einkauf von Sachanlagen</t>
  </si>
  <si>
    <t>Purchases of tangible assets</t>
  </si>
  <si>
    <t>Wykaz spółek, w których jednostka posiada zaangażowanie w kapitale lub 20% w ogólnej liczbie głosów w organie stanowiącym Spółki</t>
  </si>
  <si>
    <t>Verzeichnis der Gesellschaften, an deren Kapital die Gesellschaft beteiligt ist oder 20% der Stimmen im beschlussfassenden Organ der Gesellschaft besitzt</t>
  </si>
  <si>
    <t>List of companies in which the entity has an equity interest or holds 20% in the total number of votes in the decision-making body of the Company</t>
  </si>
  <si>
    <t>nazwa spółki</t>
  </si>
  <si>
    <t>name of the company</t>
  </si>
  <si>
    <t>siedziba spółki</t>
  </si>
  <si>
    <t>Sitz der Gesellschaft</t>
  </si>
  <si>
    <t>company registered office</t>
  </si>
  <si>
    <t>procent udziałów</t>
  </si>
  <si>
    <t>Prozentuale Kapitalbe-teiligung</t>
  </si>
  <si>
    <t>percentage of shares</t>
  </si>
  <si>
    <t>stopień udziału w zarządzaniu</t>
  </si>
  <si>
    <t>Grad der Teilnahme an der Unterneh-mensführung</t>
  </si>
  <si>
    <t>level of participation in management</t>
  </si>
  <si>
    <t>zysk / strata netto spółki za ostatni rok obrotowy</t>
  </si>
  <si>
    <t>Jahresergebnis der Gesellschaft im letzten Jahr</t>
  </si>
  <si>
    <t>company's net profit/ loss for the last financial year</t>
  </si>
  <si>
    <t>Jeżeli jednostka nie sporządza skonsolidowanego sprawozdania finansowego, korzystając ze zwolnienia lub wyłączeń informacje o:</t>
  </si>
  <si>
    <t>Falls die Gesellschaft keinen Konzernabschluss erstellt, weil sie Befreiungen und Ausschlüsse in Anspruch nimmt, Informationen über:</t>
  </si>
  <si>
    <t>If the entity does not prepare consolidated financial statements, based on exemption or exclusion, information on:</t>
  </si>
  <si>
    <t xml:space="preserve"> - podstawie prawnej wraz z danymi uzasadniającymi odstąpienie od konsolidacji,</t>
  </si>
  <si>
    <t xml:space="preserve"> - die Rechtsgrundlage sowie die Begründung für den Verzicht auf die Erstellung eines Konzernabschlusses;</t>
  </si>
  <si>
    <t>- legal grounds together with information justifying the resignation from consolidation,</t>
  </si>
  <si>
    <t xml:space="preserve"> - nazwie i siedzibie jednostki sporządzającej skonsolidowane sprawozdanie finansowe na wyższym szczeblu grupy kapitałowej oraz miejscu jego publikacji</t>
  </si>
  <si>
    <t xml:space="preserve"> - die Firma und den Sitz der Gesellschaft, die den Konzernabschluss auf der höchsten Ebene des Konzerns erstellt, sowie den Ort seiner Veröffentlichung</t>
  </si>
  <si>
    <t>- name and registered office of the entity preparing the consolidated financial statements at a higher level of the group as well as the place of their publishing</t>
  </si>
  <si>
    <t xml:space="preserve"> - podstawowych wskaźnikach ekonomiczno- finansowych, charakteryzujących działalność jednostek powiązanych w danym i ubiegłym roku obrotowym</t>
  </si>
  <si>
    <t xml:space="preserve"> - grundlegende Wirtschafts- und Finanzdaten, die über die Geschäftstätigkeit der verbundenen Unternehmen im laufenden sowie im vorausgehenden Geschäftsjahr Auskunft geben.</t>
  </si>
  <si>
    <t>- fundamental economic and financial ratios, characterising the activities of related parties in the relevant year and in the prior financial year.</t>
  </si>
  <si>
    <t>- rodzaju stosowanych standardów rachunkowości (krajowych czy międzynarodowych) przez jednostki powiązane</t>
  </si>
  <si>
    <t>- Art der durch verbundene Unternehmen angewandten (nationalen oder internationalen) Rechnungslegungsgrundsätze</t>
  </si>
  <si>
    <r>
      <rPr>
        <sz val="10"/>
        <rFont val="Arial"/>
        <family val="2"/>
      </rPr>
      <t>- type of the accounting standards (national or international) used by related parties</t>
    </r>
  </si>
  <si>
    <t>wartość przychodów netto ze sprzedaży produktów, towarów i materiałów oraz przychodów finansowych</t>
  </si>
  <si>
    <t>Umsatzerlöse und Finanzerträge</t>
  </si>
  <si>
    <t>revenue from sale of finished goods, merchandise and raw materials, and financial income</t>
  </si>
  <si>
    <t>wynik finansowy netto oraz wartość kapitału własnego, z podziałem na grupy</t>
  </si>
  <si>
    <t>Jahresergebnis und Eigenkapital, unter Aufteilung in Gruppen</t>
  </si>
  <si>
    <r>
      <rPr>
        <sz val="10"/>
        <rFont val="Arial"/>
        <family val="2"/>
      </rPr>
      <t>net profit (loss) and owners' equity, in breakdown by group</t>
    </r>
  </si>
  <si>
    <t>wartość aktywów trwałych</t>
  </si>
  <si>
    <t xml:space="preserve">Langfristige Vermögenswerte </t>
  </si>
  <si>
    <r>
      <rPr>
        <sz val="10"/>
        <rFont val="Arial"/>
        <family val="2"/>
      </rPr>
      <t>non-current assets value</t>
    </r>
  </si>
  <si>
    <t>przeciętne roczne zatrudnienie</t>
  </si>
  <si>
    <t>Beschäftigtenzahl im Jahresdurchschnitt</t>
  </si>
  <si>
    <t>average annual employment</t>
  </si>
  <si>
    <t>Informacje o spółce, z którą nastąpiło połączenie rozliczone metodą nabycia</t>
  </si>
  <si>
    <t>Informationen über die Gesellschaft, mit der eine Verschmelzung nach der Erwerbsmethode erfolgte</t>
  </si>
  <si>
    <t>Information on the company with which the entity has merged, the consolidation accounted for using the acquisition method</t>
  </si>
  <si>
    <t>Sprawozdanie finansowe spółki nie podlega konsolidacji.</t>
  </si>
  <si>
    <t>Der Jahresabschluss der Gesellschaft unterliegt nicht der Konsolidierung.</t>
  </si>
  <si>
    <t>The financial statements are not consolidated.</t>
  </si>
  <si>
    <t>podaj nazwę jednostki macierzystej</t>
  </si>
  <si>
    <t>XYZ GmbH</t>
  </si>
  <si>
    <t>Mannheim</t>
  </si>
  <si>
    <t>Nazwa spółki</t>
  </si>
  <si>
    <t>Name of the company</t>
  </si>
  <si>
    <t>Przedmiot działalności spółki przejętej</t>
  </si>
  <si>
    <t>Unternehmensgegenstand der übertragenden Gesellschaft</t>
  </si>
  <si>
    <t>Main line of business of the acquired company</t>
  </si>
  <si>
    <t>Informacja o wyemitowanych akcjach (udziałach) w celu połączenia</t>
  </si>
  <si>
    <t>Information über die Aktien (Anteile), die zwecks Verschmelzung emittiert wurden</t>
  </si>
  <si>
    <t>Information on shares issued for the purpose of the merger</t>
  </si>
  <si>
    <t>Liczba akcji (udziałów):</t>
  </si>
  <si>
    <t>Anzahl der Aktien (Anteile):</t>
  </si>
  <si>
    <t>Number of shares:</t>
  </si>
  <si>
    <t>Wartość nominalna akcji (udziałów):</t>
  </si>
  <si>
    <t>Nennwert der Aktien (Anteile):</t>
  </si>
  <si>
    <t>Nominal value of shares:</t>
  </si>
  <si>
    <t>Rodzaj akcji (udziałów):</t>
  </si>
  <si>
    <t>Art der Aktien (Anteile):</t>
  </si>
  <si>
    <t>Type of shares:</t>
  </si>
  <si>
    <t>Informacje o spółkach, z którymi nastąpiło połączenie rozliczone metodą łączenia udziałów</t>
  </si>
  <si>
    <t>Informationen über Gesellschaften, mit denen eine Verschmelzung durch Interessenzusammenführung erfolgte</t>
  </si>
  <si>
    <t>Information on the companies with which the entity has merged, the consolidation accounted for using the pooling of interests method</t>
  </si>
  <si>
    <t>Przedmiot działalności spółki:</t>
  </si>
  <si>
    <t>Unternehmensgegenstand der Gesellschaft:</t>
  </si>
  <si>
    <t>Main line of business of the company:</t>
  </si>
  <si>
    <t>Dane połączonych spółek za okres od XX.XX.XXXX do XX.XX.XXXX</t>
  </si>
  <si>
    <t>Angaben zu verschmolzenen Gesellschaften für den Zeitraum vom XX.XX.XXXX bis zum XX.XX.XXXX</t>
  </si>
  <si>
    <t>Data of the consolidated companies for the period from XX.XX.XXXX to XX.XX.XXXX.</t>
  </si>
  <si>
    <t xml:space="preserve">Revenues   </t>
  </si>
  <si>
    <t>Zysk / strata</t>
  </si>
  <si>
    <t>Gewinn / Verlust</t>
  </si>
  <si>
    <t>Profit./loss</t>
  </si>
  <si>
    <t>Kapitał własny – stan na XX.XX.XXXX</t>
  </si>
  <si>
    <t>Eigenkapital – Stand zum XX.XX.XXXX</t>
  </si>
  <si>
    <t>Owners' equity – balance as of XX.XX.XXXX.</t>
  </si>
  <si>
    <t>Zmiana kapitału własnego</t>
  </si>
  <si>
    <t>Änderung des Eigenkapitals</t>
  </si>
  <si>
    <t>Change in owners' equity</t>
  </si>
  <si>
    <t xml:space="preserve">Zmiana stanu - kapitał podstawowy </t>
  </si>
  <si>
    <t>Änderung des Bestandes - Gezeichnetes Kapital</t>
  </si>
  <si>
    <t xml:space="preserve">Change in share capital </t>
  </si>
  <si>
    <t>Zmiana stanu - Zysk / strata z lat ubiegłych</t>
  </si>
  <si>
    <t>Änderung des Bestandes - Gewinn-/Verlustvortrag</t>
  </si>
  <si>
    <t>Change in the profit (loss) carried forward</t>
  </si>
  <si>
    <t>Zmiana stanu kapitał zapasowy</t>
  </si>
  <si>
    <t>Änderung des Bestandes - Kapitalrücklage</t>
  </si>
  <si>
    <t>Change in capital reserves</t>
  </si>
  <si>
    <t xml:space="preserve">Kompensaty wzajemnych rozrachunków </t>
  </si>
  <si>
    <t>Aufrechnung gegenseitiger Forderungen/Verbindlichkeiten</t>
  </si>
  <si>
    <t xml:space="preserve">Offset of mutual liabilities and receivables </t>
  </si>
  <si>
    <t>Zmiana kwalifikacji środków trwałych na towary</t>
  </si>
  <si>
    <t>Änderung der Einstufung der Sachanlagen und deren Erfassung als Waren</t>
  </si>
  <si>
    <t>Reclassification of tangible assets into merchandise</t>
  </si>
  <si>
    <t>nota 8</t>
  </si>
  <si>
    <t>W przypadku występowania niepewności co do możliwości kontynuowania działalności opis tych niepewności oraz stwierdzenie, że taka niepewność występuje, oraz wskazanie czy sprawozdanie finansowe zawiera korekty z tym związane oraz opis podejmowanych bądź planowanych przez jednostkę działań mających na celu eliminację niepewności</t>
  </si>
  <si>
    <t>Sollte es Umstände geben, die die Unternehmensfortführung in Frage stellen, so sind diese Umstände zu beschreiben, es ist festzustellen, dass solche Umstände vorliegen, und es ist anzugeben, ob der Jahresabschluss diesbezügliche Korrekturen enthält und welche Maßnahmen die Gesellschaft zur Beseitigung der o.g. Umstände ergriffen hat bzw. zu ergreifen beabsichtigt</t>
  </si>
  <si>
    <t>If there are any uncertainties as to the Company's ability to continue as a going concern, a description of those uncertainties and a statement that such an uncertainty exists, as well as an indication as to whether the financial statements contain relevant corrections and a description of actions taken or planned by the entity, aiming at eliminating the uncertainty</t>
  </si>
  <si>
    <t>Nie dotyczy, nie istnieją niepewności co do możliwości kontynuowania działalności przez Spółkę.</t>
  </si>
  <si>
    <t>Trifft nicht zu; es liegen keine Umstände vor, die die Unternehmensfortführung durch die Gesellschaft in Frage stellen würden.</t>
  </si>
  <si>
    <t>Not applicable. There are no uncertainties as to the Company's ability to continue as a going concern.</t>
  </si>
  <si>
    <t>Nie dotyczy, nie istnieją niepewności co do możliwości kontynuowania działalności przez Oddział.</t>
  </si>
  <si>
    <t>nota 9</t>
  </si>
  <si>
    <t>Inne informacje niż wymienione w pozostałych notach, które mogłyby w istotny sposób wpłynąć na ocenę sytuacji majątkowej, finansowej oraz wynik finansowy jednostki</t>
  </si>
  <si>
    <t>Sonstige Informationen außer den o.g. Sachverhalten, sofern sie die Vermögens-, Finanz- und Ertragslage sowie das Jahresergebnis der Gesellschaft wesentlich beeinflussen könnten</t>
  </si>
  <si>
    <r>
      <rPr>
        <sz val="10"/>
        <rFont val="Arial"/>
        <family val="2"/>
      </rPr>
      <t>Information other than that included in the remaining notes, which might materially affect the assessment of the net worth, financial standing and profit (loss) of the entity</t>
    </r>
  </si>
  <si>
    <t>nota 11</t>
  </si>
  <si>
    <t>Spółka użytkuje majątek trwały na podstawie umów najmu oraz umów leasingu operacyjnego. Łączna kwota przyszłych zobowiązań wynikających z zawartych umów najmu i leasingu, nieujętych w księgach, prezentuje poniższa tabela.</t>
  </si>
  <si>
    <t>Die Gesellschaft nutzt das Anlagevermögen aufgrund von Miet- bzw. Operate Leasing-Verträgen. Der Gesamtbetrag künftiger Verbindlichkeiten, die sich aus Miet- und Leasingverträgen ergeben und nicht in den Büchern erfasst wurden, ist der nachfolgenden Tabelle zu entnehmen.</t>
  </si>
  <si>
    <t>The Company uses non-current assets under rental agreements and operating lease. The table below shows the total of future liabilities under lease and rental agreements, not disclosed in the books of account.</t>
  </si>
  <si>
    <t>Oddział użytkuje majątek trwały na podstawie umów najmu oraz umów leasingu operacyjnego. Łączna kwota przyszłych zobowiązań wynikających z zawartych umów najmu i leasingu, nieujętych w księgach, prezentuje poniższa tabela.</t>
  </si>
  <si>
    <t>Łączna kwota przyszłych zobowiązań z tytułu opłat dotyczących umowy</t>
  </si>
  <si>
    <t>Gesamtbetrag künftiger Verbindlichkeiten aus Gebühren betreffend den Vertrag</t>
  </si>
  <si>
    <t>The total of future liabilities on account of contractual fees</t>
  </si>
  <si>
    <t>najem biura</t>
  </si>
  <si>
    <t>Miete des Büros</t>
  </si>
  <si>
    <t>lease of office space</t>
  </si>
  <si>
    <t>najem hali magazynowej</t>
  </si>
  <si>
    <t>Miete der Lagerhalle</t>
  </si>
  <si>
    <t>lease of warehouse hall</t>
  </si>
  <si>
    <t>leasing operacyjny sprzętu komputerowego</t>
  </si>
  <si>
    <t>Operate Leasing über Computergeräte</t>
  </si>
  <si>
    <t>operating lease of software</t>
  </si>
  <si>
    <t>leasing operacyjny samochodów osobowych</t>
  </si>
  <si>
    <t>Operate Leasing über PKW</t>
  </si>
  <si>
    <t>operating lease of passenger cars</t>
  </si>
  <si>
    <t>leasing operacyjny pozostały</t>
  </si>
  <si>
    <t>Operate Leasing - Sonstiges</t>
  </si>
  <si>
    <t>operating lease - other</t>
  </si>
  <si>
    <t>Aktywa z tytułu niezakończonych umów długoterminowych</t>
  </si>
  <si>
    <t>Aktiva aus nicht beendeten langfristigen Verträgen</t>
  </si>
  <si>
    <t>Assets on account of uncompleted long-term contracts</t>
  </si>
  <si>
    <t>Rozliczenia międzyokresowe umów długoterminowych</t>
  </si>
  <si>
    <t>Rechnungsabgrenzung der langfristigen Verträge</t>
  </si>
  <si>
    <t>Prepayments and accruals related to long-term contracts</t>
  </si>
  <si>
    <t>Ergänzende Informationen zu den Folgen der Bewertung der langfristigen Verträge, die bis zum 31.12.2023 nicht beendet wurden.</t>
  </si>
  <si>
    <t>Additional information about implications of the valuation of long-term contracts unfinished as of 31/12/2023</t>
  </si>
  <si>
    <t>Umowy długoterminowe ogółem</t>
  </si>
  <si>
    <t>Langfristige Verträge insgesamt</t>
  </si>
  <si>
    <t>Long-term contracts total</t>
  </si>
  <si>
    <t xml:space="preserve"> - w tym umowy niezakończone łącznie</t>
  </si>
  <si>
    <t xml:space="preserve"> - einschließlich nicht beendeter Verträge insgesamt</t>
  </si>
  <si>
    <t xml:space="preserve"> - including total of uncompleted</t>
  </si>
  <si>
    <t xml:space="preserve"> - w tym umowy niezakończone, gdzie przychody ustalane są metodą zysku zerowego</t>
  </si>
  <si>
    <t xml:space="preserve"> - einschließlich noch nicht beendeter Verträge, die nach der Null-Gewinn-Methode ermittelt wurden</t>
  </si>
  <si>
    <t xml:space="preserve"> - including uncompleted for which revenues are calculated using the zero risk method</t>
  </si>
  <si>
    <t>Koszty ujęte w RZiS</t>
  </si>
  <si>
    <t>Aufwendungen, in GuV erfasst</t>
  </si>
  <si>
    <t>Costs disclosed in income statement</t>
  </si>
  <si>
    <t>Koszty faktycznie poniesione</t>
  </si>
  <si>
    <t>Aufwendungen, tatsächlich getragen</t>
  </si>
  <si>
    <t>Costs actually incurred</t>
  </si>
  <si>
    <t>Rezerwa na straty</t>
  </si>
  <si>
    <t>Rückstellung für Verluste</t>
  </si>
  <si>
    <t>Provision for losses</t>
  </si>
  <si>
    <t>Przychody zafakturowane</t>
  </si>
  <si>
    <t>Erträge, in Rechnung gestellt</t>
  </si>
  <si>
    <t>Invoiced revenues</t>
  </si>
  <si>
    <t>Przychody ustalone zgodnie ze stosowaną metodą wyceny</t>
  </si>
  <si>
    <t>Gemäß der angewandten Bewertungsmethode ermittelte Erträge</t>
  </si>
  <si>
    <t>Revenues calculated in accordance with the adopted valuation method</t>
  </si>
  <si>
    <t xml:space="preserve">1. Czynne rozliczenia międzyokresowe kosztów </t>
  </si>
  <si>
    <t xml:space="preserve">1. Aktive Aufwandsabgrenzung </t>
  </si>
  <si>
    <t xml:space="preserve">1. Prepaid expenses </t>
  </si>
  <si>
    <t>2. Należności niezafakturowane</t>
  </si>
  <si>
    <t>2. Forderungen, nicht in Rechnung gestellt</t>
  </si>
  <si>
    <t>2. Non-invoiced receivables</t>
  </si>
  <si>
    <t>1. Bierne rozliczenia międzyokresowe kosztów</t>
  </si>
  <si>
    <t>1. Passive Aufwandsabgrenzung</t>
  </si>
  <si>
    <t>1. Accrued expenses</t>
  </si>
  <si>
    <t>2. Rozliczenia międzyokresowe przychodów</t>
  </si>
  <si>
    <t>2. Ertragsabgrenzung</t>
  </si>
  <si>
    <t>2. Deferred revenues</t>
  </si>
  <si>
    <t>Kwota przewidywanych strat z realizowanych umów długoterminowych niezakończonych na dzień bilansowy, ujętych w RZiS</t>
  </si>
  <si>
    <t>Betrag der voraussichtlichen Verluste aus zum Bilanzstichtag nicht beendeten langfristigen Verträgen, in der GuV erfasst</t>
  </si>
  <si>
    <t>Value of anticipated losses on long-term contracts unfinished as of the balance sheet date, recognised in income statement</t>
  </si>
  <si>
    <t>Wysokość kosztów, których pokrycie przez inwestora nie jest prawdopodobne</t>
  </si>
  <si>
    <t>Aufwendungen, die wahrscheinlich nicht von dem Investor übernommen werden</t>
  </si>
  <si>
    <t>Amount of costs unlikely to be covered by the investor</t>
  </si>
  <si>
    <t>Wartość sum zatrzymanych przez inwestorów jako gwarancje należytego wykonania usługi</t>
  </si>
  <si>
    <t>Gesamtbeträge, einbehalten von den Investoren als Garantie für die ordnungsgemäße Erbringung der Dienstleistung</t>
  </si>
  <si>
    <t>Value of amounts kept by investors as performance guarantees</t>
  </si>
  <si>
    <t>nota 10</t>
  </si>
  <si>
    <t>Informacje dodatkowe w zakresie instrumentów finansowych, zgodnie z §40.1  Rozporządzenia Ministra Finansów z dnia 12.12.2001 w sprawie szczegółowych zasad uznawania, metod wyceny, zakresu ujawniania i sposobu prezentacji instrumentów finansowych</t>
  </si>
  <si>
    <t>Zusätzliche Informationen zu Finanzinstrumenten gemäß § 40.1 der Verordnung des Finanzministers vom 12. Dezember 2001 über die detaillierten Grundsätze für Einstufung, Bewertungsmethoden, Umfang der Offenlegung und Darstellungsart der Finanzinstrumente</t>
  </si>
  <si>
    <t>Additional information on financial instruments in accordance with §40.1of the Regulation of the Minister of Finance dated 12/12/2001 on the detailed rules for the recognition, the methods of valuation, the scope of disclosure and the manner of presentation of financial instruments</t>
  </si>
  <si>
    <t>Spółka zastosowała uproszczenia wynikające z art. 28b ust. 1 Ustawy o rachunkowości i nie stosuje przepisów w/w Rozporządzenia.</t>
  </si>
  <si>
    <t>Die Gesellschaft hat die Vereinfachungen aus Art. 28b Abs. 1 RLG-PL in Anspruch genommen und wendet die Vorschriften der o.g. Verordnung nicht an.</t>
  </si>
  <si>
    <t>The Company applied simplifications under Article 28b(1) of the Accounting Act and does not apply the provisions of the abovementioned Regulation.</t>
  </si>
  <si>
    <t>Oddział zastosował uproszczenia wynikające z art. 28b ust. 1 Ustawy o rachunkowości i nie stosuje przepisów w/w Rozporządzenia.</t>
  </si>
  <si>
    <t>Podstawowa charakterystyka, ilość i wartość instrumentów finansowych, w tym opis istotnych warunków i terminów, które mogą wpływać na wielkość, rozkład w czasie oraz pewność przyszłych przepływów pieniężnych</t>
  </si>
  <si>
    <t>Grundlegende Charakteristik, Menge und Wert der Finanzinstrumente, darunter Beschreibung wesentlicher Bedingungen und Fristen, die sich auf die Größe, periodische Abgrenzung und Sicherheit der künftigen Geldflüsse auswirken können</t>
  </si>
  <si>
    <t>Basic characteristics, number and value of the financial instruments, including a description of significant terms and dates which may affect the amount, timing and probability of future cash flows</t>
  </si>
  <si>
    <t>Aktywa finansowe - charakterystyka instrumentów finansowych</t>
  </si>
  <si>
    <t>Finanzielle Vermögenswerte – Charakteristik der Finanzinstrumente</t>
  </si>
  <si>
    <t xml:space="preserve">Financial assets - characteristics of financial instruments </t>
  </si>
  <si>
    <t>Pożyczki udzielone i należności własne</t>
  </si>
  <si>
    <t>Ausleihungen und eigene Forderungen</t>
  </si>
  <si>
    <t>Loans advanced and receivables</t>
  </si>
  <si>
    <t xml:space="preserve">Aktywa finansowe utrzymywane do terminu wymagalności </t>
  </si>
  <si>
    <t>Bis zum Fälligkeitstermin gehaltene finanzielle Vermögenswerte</t>
  </si>
  <si>
    <t>Financial assets held until maturity</t>
  </si>
  <si>
    <t>Aktywa finansowe dostępne do sprzedaży</t>
  </si>
  <si>
    <t>Zum Verkauf verfügbare finanzielle Vermögenswerte</t>
  </si>
  <si>
    <t>Financial assets avalable for sale</t>
  </si>
  <si>
    <t>Aktywa finansowe przeznaczone do obrotu</t>
  </si>
  <si>
    <t>Zur Veräußerung bestimmte finanzielle Vermögenswerte</t>
  </si>
  <si>
    <t>Financial asset held for trading</t>
  </si>
  <si>
    <t>Informacje dotyczące odpisów aktualizujących z tytułu trwałej utraty wartości aktywów finansowych</t>
  </si>
  <si>
    <t>Informationen über Wertberichtigungen aufgrund dauerhafter Wertminderung der finanziellen Vermögenswerte</t>
  </si>
  <si>
    <t>Information on impairment write-downs of financial assets</t>
  </si>
  <si>
    <t xml:space="preserve">Informacje o odsetkach naliczonych od dłużnych instrumentów finansowych, pożyczek udzielonych i należności własnych </t>
  </si>
  <si>
    <t>Informationen über Zinsen auf schuldrechtliche Finanzinstrumente, Ausleihungen und eigene Forderungen</t>
  </si>
  <si>
    <t>Information on interest on debt financial instruments, loans advanced and receivables</t>
  </si>
  <si>
    <t>Rodzaj aktywa</t>
  </si>
  <si>
    <t>Art der Aktiva</t>
  </si>
  <si>
    <t>Type of asset</t>
  </si>
  <si>
    <r>
      <t>Erte</t>
    </r>
    <r>
      <rPr>
        <sz val="10"/>
        <color theme="1"/>
        <rFont val="Arial"/>
        <family val="2"/>
        <charset val="238"/>
      </rPr>
      <t>ilt</t>
    </r>
    <r>
      <rPr>
        <sz val="10"/>
        <rFont val="Arial"/>
        <family val="2"/>
      </rPr>
      <t>e Darlehen</t>
    </r>
  </si>
  <si>
    <t>Dłużne instrumenty finansowe</t>
  </si>
  <si>
    <t>Schuldrechtliche Finanzinstrumente</t>
  </si>
  <si>
    <t>Debt financial instruments</t>
  </si>
  <si>
    <t>Pozostałe aktywa</t>
  </si>
  <si>
    <t>Sonstige Aktiva</t>
  </si>
  <si>
    <t>Other assets</t>
  </si>
  <si>
    <t>Odsetki zrealizowane</t>
  </si>
  <si>
    <t>Realisierte Zinsen</t>
  </si>
  <si>
    <t>Interest, realised</t>
  </si>
  <si>
    <t>Odsetki niezrealizowane, o terminie płatności:</t>
  </si>
  <si>
    <t>Nicht realisierte Zinsen, mit Zahlungsfrist:</t>
  </si>
  <si>
    <t>Unrealised interest, falling due:</t>
  </si>
  <si>
    <t>Przychody z tytułu odsetek w danym roku obrotowym</t>
  </si>
  <si>
    <t>Erträge aus Zinsen in dem betreffenden Geschäftsjahr</t>
  </si>
  <si>
    <t>Interest income in the financial year</t>
  </si>
  <si>
    <t>Informacje o niezrealizowanych odsetkach od udzielonych pożyczek i należności własnych, które objęto odpisem aktualizującym w roku obrotowym</t>
  </si>
  <si>
    <t>Informationen über nicht realisierte Zinsen auf Ausleihungen und eigene Forderungen, die in dem betreffenden Geschäftsjahr wertberichtigt wurden</t>
  </si>
  <si>
    <t>Information on unrealised interest on loans advanced and receivables, covered by a value adjustment write-down in the financial year</t>
  </si>
  <si>
    <t xml:space="preserve">Informacje o aktywach finansowych wycenianych w wartości godziwej </t>
  </si>
  <si>
    <t>Informationen über finanzielle Vermögenswerte, die zum beizulegenden Zeitwert bewertet wurden</t>
  </si>
  <si>
    <t xml:space="preserve">Information on financial assets measured at fair value  </t>
  </si>
  <si>
    <t>Zobowiązania finansowe - charakterystyka instrumentów finansowych</t>
  </si>
  <si>
    <t xml:space="preserve">Finanzielle Verbindlichkeiten – Charakteristik der Finanzinstrumente </t>
  </si>
  <si>
    <t xml:space="preserve">Financial liabilities – characteristics of financial instruments </t>
  </si>
  <si>
    <t>Zobowiązania finansowe przeznaczone do obrotu</t>
  </si>
  <si>
    <t>Zur Veräußerung bestimmte finanzielle Verbindlichkeiten</t>
  </si>
  <si>
    <t>Financial liabilities held for trading</t>
  </si>
  <si>
    <t>Instrumenty zabezpieczające</t>
  </si>
  <si>
    <t xml:space="preserve">Sicherungsinstrumente </t>
  </si>
  <si>
    <t>Hedging instruments</t>
  </si>
  <si>
    <t>Pozostałe zobowiązania finansowe</t>
  </si>
  <si>
    <t>Sonstige finanzielle Verbindlichkeiten</t>
  </si>
  <si>
    <t>Koszty z tytułu odsetek od zobowiązań finansowych</t>
  </si>
  <si>
    <t>Kosten der Zinsen auf finanzielle Verbindlichkeiten</t>
  </si>
  <si>
    <t>Cost of interest on financial liabilities</t>
  </si>
  <si>
    <t>Cele i zasady zarządzania ryzykiem finansowym, w tym dotyczące zabezpieczenia podstawowych rodzajów planowanych transakcji oraz uprawdopodobnionych przyszłych zobowiązań</t>
  </si>
  <si>
    <t>Ziele und Grundsätze des Finanzrisikomanagements, darunter betreffend die Besicherung der wichtigsten Arten der geplanten Geschäfte und der glaubhaft gemachten zukünftigen Verbindlichkeiten</t>
  </si>
  <si>
    <t>Purposes and rules of financial risk management including those related to hedging the basic types of forecast transactions and firm commitments</t>
  </si>
  <si>
    <t>Spółka nie stosuje rachunkowości zabezpieczeń.</t>
  </si>
  <si>
    <t>Die Gesellschaft wendet keine Sicherheitsrechnungslegung an.</t>
  </si>
  <si>
    <t>The Company does not use hedge accounting.</t>
  </si>
  <si>
    <r>
      <rPr>
        <sz val="10"/>
        <color rgb="FFFF0000"/>
        <rFont val="Arial"/>
        <family val="2"/>
        <charset val="238"/>
      </rPr>
      <t>Oddział</t>
    </r>
    <r>
      <rPr>
        <sz val="10"/>
        <rFont val="Arial"/>
        <family val="2"/>
      </rPr>
      <t xml:space="preserve"> nie stosuje rachunkowości zabezpieczeń.</t>
    </r>
  </si>
  <si>
    <t xml:space="preserve">Zarząd ponosi odpowiedzialność za ustanowienie i nadzór nad polityką zarządzania ryzykiem finansowym, w tym w szczególności identyfikację i analizę ryzyk, na które Spółka jest narażona. Zasady i procedury zarządzania ryzykiem podlegają regularnej weryfikacji, w celu uwzględnienia zmiany warunków rynkowych i zmian w działalności Spółki. </t>
  </si>
  <si>
    <t>Die Geschäftsführung ist für die Festlegung und Aufsicht über die Politik des Finanzrisikomanagements, darunter insbesondere die Identifizierung und Analyse der Risiken für die Gesellschaft, verantwortlich. Die Grundsätze und Verfahren des Risikomanagements unterliegen regelmäßigen Überprüfungen zwecks Berücksichtigung der Änderungen auf dem Markt und bei der Tätigkeit der Gesellschaft.</t>
  </si>
  <si>
    <t>The Management Board is responsible for designing and supervising the financial risk management policy, including in particular, for identification and examination of risks to which the Company is exposed. The risk management procedures and policy are regularly reviewed to account for changes in the market conditions and in the Company's business activity.</t>
  </si>
  <si>
    <r>
      <t xml:space="preserve">Zarząd </t>
    </r>
    <r>
      <rPr>
        <sz val="10"/>
        <color rgb="FFFF0000"/>
        <rFont val="Arial"/>
        <family val="2"/>
        <charset val="238"/>
      </rPr>
      <t>jednostki macierzystej</t>
    </r>
    <r>
      <rPr>
        <sz val="10"/>
        <rFont val="Arial"/>
        <family val="2"/>
      </rPr>
      <t xml:space="preserve"> ponosi odpowiedzialność za ustanowienie i nadzór nad polityką zarządzania ryzykiem finansowym, w tym w szczególności identyfikację i analizę ryzyk, na które </t>
    </r>
    <r>
      <rPr>
        <sz val="10"/>
        <color rgb="FFFF0000"/>
        <rFont val="Arial"/>
        <family val="2"/>
        <charset val="238"/>
      </rPr>
      <t>Oddział</t>
    </r>
    <r>
      <rPr>
        <sz val="10"/>
        <rFont val="Arial"/>
        <family val="2"/>
      </rPr>
      <t xml:space="preserve"> jest narażony. Zasady i procedury zarządzania ryzykiem podlegają regularnej weryfikacji, w celu uwzględnienia zmiany warunków rynkowych i zmian w działalności </t>
    </r>
    <r>
      <rPr>
        <sz val="10"/>
        <color rgb="FFFF0000"/>
        <rFont val="Arial"/>
        <family val="2"/>
        <charset val="238"/>
      </rPr>
      <t>Oddziału</t>
    </r>
    <r>
      <rPr>
        <sz val="10"/>
        <rFont val="Arial"/>
        <family val="2"/>
      </rPr>
      <t xml:space="preserve">. </t>
    </r>
  </si>
  <si>
    <t>Der Vorstand ist für die Festlegung und Aufsicht über die Politik des Finanzrisikomanagements, darunter insbesondere die Identifizierung und Analyse der Risiken für die Gesellschaft, verantwortlich. Die Grundsätze und Verfahren des Risikomanagements unterliegen regelmäßigen Überprüfungen zwecks Berücksichtigung der Änderungen auf dem Markt und bei der Tätigkeit der Gesellschaft.</t>
  </si>
  <si>
    <r>
      <t xml:space="preserve">Zarząd </t>
    </r>
    <r>
      <rPr>
        <sz val="10"/>
        <color rgb="FFFF0000"/>
        <rFont val="Arial"/>
        <family val="2"/>
        <charset val="238"/>
      </rPr>
      <t>jednostki macierzystej</t>
    </r>
    <r>
      <rPr>
        <sz val="10"/>
        <rFont val="Arial"/>
        <family val="2"/>
      </rPr>
      <t xml:space="preserve"> ponosi odpowiedzialność za ustanowienie i nadzór nad polityką zarządzania ryzykiem finansowym, w tym w szczególności identyfikację i analizę ryzyk, na które Oddział jest narażony. Zasady i procedury zarządzania ryzykiem podlegają regularnej weryfikacji, w celu uwzględnienia zmiany warunków rynkowych i zmian w działalności Oddziału. </t>
    </r>
  </si>
  <si>
    <t>Działalność Spółki narażona jest na następujące rodzaje ryzyka wynikające z posiadania instrumentów finansowych:</t>
  </si>
  <si>
    <t>Die Tätigkeit der Gesellschaft ist aufgrund der Finanzinstrumente, über die sie verfügt, folgenden Risiken ausgesetzt:</t>
  </si>
  <si>
    <t>The Company's business activity is exposed to the following risks connected with the financial instruments it holds:</t>
  </si>
  <si>
    <r>
      <t xml:space="preserve">Działalność </t>
    </r>
    <r>
      <rPr>
        <sz val="10"/>
        <color rgb="FFFF0000"/>
        <rFont val="Arial"/>
        <family val="2"/>
        <charset val="238"/>
      </rPr>
      <t>Oddziału</t>
    </r>
    <r>
      <rPr>
        <sz val="10"/>
        <rFont val="Arial"/>
        <family val="2"/>
      </rPr>
      <t xml:space="preserve"> narażona jest na następujące rodzaje ryzyka wynikające z posiadania instrumentów finansowych:</t>
    </r>
  </si>
  <si>
    <t>- ryzyko walutowe</t>
  </si>
  <si>
    <t>- Währungsrisiko</t>
  </si>
  <si>
    <t>- currency risk</t>
  </si>
  <si>
    <t>- ryzyko stopy procentowej</t>
  </si>
  <si>
    <t>- Zinssatzrisiko</t>
  </si>
  <si>
    <t>- interest rate risk</t>
  </si>
  <si>
    <t>- ryzyko kredytowe</t>
  </si>
  <si>
    <t>- Kreditrisiko</t>
  </si>
  <si>
    <t>- credit risk</t>
  </si>
  <si>
    <t>- ryzyko płynności</t>
  </si>
  <si>
    <t>- Liquiditätsrisiko</t>
  </si>
  <si>
    <t>- liquidity risk</t>
  </si>
  <si>
    <t>Spółka nie wyceniała aktywów i zobowiązań w wartości godziwej.</t>
  </si>
  <si>
    <t>Die Gesellschaft hat die Aktiva und Passiva nicht nach dem beizulegenden Zeitwert bewertet.</t>
  </si>
  <si>
    <t>The Company did not measure any assets and liabilities at fair value.</t>
  </si>
  <si>
    <t>Nie wystąpiły</t>
  </si>
  <si>
    <t>None</t>
  </si>
  <si>
    <t>Kwota umowna</t>
  </si>
  <si>
    <t>Vertragswert</t>
  </si>
  <si>
    <t>Contractual amount</t>
  </si>
  <si>
    <t>Część krótkoterminowa</t>
  </si>
  <si>
    <t>Kurzfristiger Teil</t>
  </si>
  <si>
    <t>Część długoterminowa</t>
  </si>
  <si>
    <t>Langfristiger Teil</t>
  </si>
  <si>
    <t>Warunki oprocentowania</t>
  </si>
  <si>
    <t>Bedingungen der Verzinsung</t>
  </si>
  <si>
    <t>Interest terms</t>
  </si>
  <si>
    <t>Zabezpieczenia</t>
  </si>
  <si>
    <t>Sicherheiten</t>
  </si>
  <si>
    <t>Security</t>
  </si>
  <si>
    <t>Kredyt inwestycyjny</t>
  </si>
  <si>
    <t>Investitionskredit</t>
  </si>
  <si>
    <t>Investment loan</t>
  </si>
  <si>
    <t>Pożyczka grupowa</t>
  </si>
  <si>
    <t>Gruppendarlehen</t>
  </si>
  <si>
    <t>Group loan</t>
  </si>
  <si>
    <t>Koszty z tytułu odsetek w danym roku obrotowym</t>
  </si>
  <si>
    <t>Zinsaufwendungen im betreffenden Geschäftsjahr</t>
  </si>
  <si>
    <t>Cost of interest in the financial year</t>
  </si>
  <si>
    <t>Odsetki naliczone i zapłacone</t>
  </si>
  <si>
    <t>Berechnete und gezahlte Zinsen</t>
  </si>
  <si>
    <t>Interest accrued and paid</t>
  </si>
  <si>
    <t>Odsetki naliczone lecz nie zapłacone</t>
  </si>
  <si>
    <t>Berechnete, jedoch nicht gezahlte Zinsen</t>
  </si>
  <si>
    <t>Interest accrued but unpaid</t>
  </si>
  <si>
    <t>do 3 m-cy</t>
  </si>
  <si>
    <t>bis zu 3 Monaten</t>
  </si>
  <si>
    <t>up to 3 months</t>
  </si>
  <si>
    <t>3 - 12 m-cy</t>
  </si>
  <si>
    <t>3 bis 12 Monate</t>
  </si>
  <si>
    <t>from 3 to 12 months</t>
  </si>
  <si>
    <t>powyżej 12 m-cy</t>
  </si>
  <si>
    <t>over 12 months</t>
  </si>
  <si>
    <t>Pozostałe zobowiązania krótkoterminowe, w tym:</t>
  </si>
  <si>
    <t>Sonstige kurzfristige Verbindlichkeiten, darunter:</t>
  </si>
  <si>
    <t>Other current liabilities, incl.:</t>
  </si>
  <si>
    <t>loans and borrowings</t>
  </si>
  <si>
    <t>dłużne papiery wartościowe</t>
  </si>
  <si>
    <t>Schuldrechtliche Wertpapiere</t>
  </si>
  <si>
    <t>debt securities</t>
  </si>
  <si>
    <t>zobowiązania finansowe inne</t>
  </si>
  <si>
    <t>Długoterminowe zobowiązania finansowe</t>
  </si>
  <si>
    <t>Langfristige finanziele Verbindlichkeiten</t>
  </si>
  <si>
    <t>Non-current financial liabilities</t>
  </si>
  <si>
    <t>Zarządzanie ryzykiem związanym z instrumentami finansowymi polega przede wszystkim na planowaniu przepływów pieniężnych oraz monitorowaniu zaangażowania własnych środków finansowych.</t>
  </si>
  <si>
    <t>Das Risikomanagement im Zusammenhang mit Finanzinstrumenten besteht vor allem in der Planung der Geldflüsse und in der Überwachung der eigenen eingesetzten Finanzmittel.</t>
  </si>
  <si>
    <t>The management of risk connected with financial instruments consists in particular in cash flow planning and monitoring the engagement of own funds.</t>
  </si>
  <si>
    <t>Ryzyko walutowe</t>
  </si>
  <si>
    <t>Währungsrisiko</t>
  </si>
  <si>
    <t>Currency risk</t>
  </si>
  <si>
    <t>Spółka jest narażona na ryzyko walutowe w związku z:</t>
  </si>
  <si>
    <t>Das Währungsrisiko für die Gesellschaft ergibt sich aus Folgendem:</t>
  </si>
  <si>
    <t>The Company is exposed to currency risk in connection with:</t>
  </si>
  <si>
    <t>Działalność Oddziału narażona jest na ryzyko walutowe w związku z:</t>
  </si>
  <si>
    <t xml:space="preserve">- realizowaniem przychodów ze sprzedaży </t>
  </si>
  <si>
    <t>- Erzielung von Erträgen aus dem Verkauf</t>
  </si>
  <si>
    <t>- earning revenues from sales</t>
  </si>
  <si>
    <t xml:space="preserve">- dokonywaniem zakupów operacyjnych </t>
  </si>
  <si>
    <t>- operativen Einkäufen</t>
  </si>
  <si>
    <t>- operational purchases</t>
  </si>
  <si>
    <t xml:space="preserve">- dokonywaniem istotnych nakładów inwestycyjnych </t>
  </si>
  <si>
    <t>- wesentlichen Investitionsaufwendungen</t>
  </si>
  <si>
    <t>- significant capital expenditures</t>
  </si>
  <si>
    <t xml:space="preserve">- finansowaniem działalności kredytami </t>
  </si>
  <si>
    <t xml:space="preserve">- Finanzierung der Tätigkeit mit Krediten </t>
  </si>
  <si>
    <t>- financing its operations with loans</t>
  </si>
  <si>
    <t>w walucie obcej.</t>
  </si>
  <si>
    <t>in Fremdwährung.</t>
  </si>
  <si>
    <t>in foreign currencies.</t>
  </si>
  <si>
    <t xml:space="preserve">Spółka minimalizuje ryzyko walutowe poprzez: </t>
  </si>
  <si>
    <t>Die Gesellschaft minimiert das Währungsrisiko durch:</t>
  </si>
  <si>
    <t>The Company minimises the currency risk by:</t>
  </si>
  <si>
    <t xml:space="preserve">Oddział minimalizuje ryzyko walutowe poprzez: </t>
  </si>
  <si>
    <t>- odpowiednie ukształtowanie struktury aktywów i pasywów wyrażonych w walutach obcych,</t>
  </si>
  <si>
    <t>- entsprechende Ausgestaltung der Struktur der Aktiva und Passiva in Fremdwährung,</t>
  </si>
  <si>
    <t>- properly structuring the assets and equity and liabilities denominated in foreign currencies,</t>
  </si>
  <si>
    <t>- zawieranie kontraktów terminowych forward na zakup/sprzedaż waluty.</t>
  </si>
  <si>
    <t>- Abschluss von Forward-Termingeschäften über den Einkauf/Verkauf von Währung.</t>
  </si>
  <si>
    <t>- concluding forward contracts for currency sale/purchase.</t>
  </si>
  <si>
    <t>Analiza wrażliwości istotnych pozycji wyrażonych w walutach obcych na zmiany kursów walut</t>
  </si>
  <si>
    <t>Analyse der Anfälligkeit wesentlicher Positionen in Fremdwährung für Währungskursänderungen</t>
  </si>
  <si>
    <t>Vulnerability of material items denominated in foreign currencies to changes in currency exchange rates</t>
  </si>
  <si>
    <t>Kurs bilansowy:</t>
  </si>
  <si>
    <t>Bilanzkurs:</t>
  </si>
  <si>
    <t>Exchange rate as of the balance sheet date:</t>
  </si>
  <si>
    <t>Aktywa i zobowiązania finansowe</t>
  </si>
  <si>
    <t>Aktiva und finanzielle Verbindlichkeiten</t>
  </si>
  <si>
    <t>Assets and financial liabilities</t>
  </si>
  <si>
    <t>Wartość narażona na ryzyko</t>
  </si>
  <si>
    <t>Risikobehafteter Wert</t>
  </si>
  <si>
    <t>Amount at risk</t>
  </si>
  <si>
    <t>Balance sheet amount as of 31.12.2020</t>
  </si>
  <si>
    <t>Wpływ zmiany na wynik finansowy</t>
  </si>
  <si>
    <t>Einfluss von Änderungen auf das Ergebnis</t>
  </si>
  <si>
    <t>Impact of the change on the profit(loss)</t>
  </si>
  <si>
    <t>Należności od odbiorców</t>
  </si>
  <si>
    <t>Forderungen gegen Debitoren</t>
  </si>
  <si>
    <t>Receivables from customers</t>
  </si>
  <si>
    <t>Środki pieniężne</t>
  </si>
  <si>
    <t>Flüssige Mittel</t>
  </si>
  <si>
    <t>Cash</t>
  </si>
  <si>
    <t xml:space="preserve">Pożyczki udzielone  </t>
  </si>
  <si>
    <t>Erteilte Darlehen</t>
  </si>
  <si>
    <t>Zobowiązania wobec dostawców</t>
  </si>
  <si>
    <t>Verbindlichkeiten gegenüber Kreditoren</t>
  </si>
  <si>
    <t>Liabilities against suppliers</t>
  </si>
  <si>
    <t>Zobowiązania leasingowe</t>
  </si>
  <si>
    <t>Leasingverbindlichkeiten</t>
  </si>
  <si>
    <t>Lease liabilities</t>
  </si>
  <si>
    <t>Zobowiązania z tytułu pożyczek grupowych</t>
  </si>
  <si>
    <t>Verbindlichkeiten aus Konzerndarlehen</t>
  </si>
  <si>
    <t>Liabilities on account of group loans</t>
  </si>
  <si>
    <t>Zobowiązania z tytułu kredytów bankowych</t>
  </si>
  <si>
    <t>Verbindlichkeiten aus Bankkrediten</t>
  </si>
  <si>
    <t>Bank loan liabilities</t>
  </si>
  <si>
    <t>Ryzyko stopy procentowej</t>
  </si>
  <si>
    <t>Zinssatzrisiko</t>
  </si>
  <si>
    <t>Interest rate risk</t>
  </si>
  <si>
    <t>Na ryzyko stóp procentowych Spółka narażona jest w związku z:</t>
  </si>
  <si>
    <t>Das Risiko von Zinsschwankungen für die Gesellschaft ergibt sich aus Folgendem:</t>
  </si>
  <si>
    <t>The Company is exposed to interest rate risk in connection with:</t>
  </si>
  <si>
    <t>Na ryzyko stóp procentowych Oddział narażony jest w związku z:</t>
  </si>
  <si>
    <t>- udzielonymi pożyczkami</t>
  </si>
  <si>
    <t>- erteilten Darlehen</t>
  </si>
  <si>
    <t>- loans granted</t>
  </si>
  <si>
    <t>- lokowaniem wolnych środków pieniężnych na lokatach o zmiennym oprocentowaniu</t>
  </si>
  <si>
    <t>- Anlage von Geldmitteln mit variabler Verzinsung</t>
  </si>
  <si>
    <t>- depositing cash surpluses on variable-rate deposits</t>
  </si>
  <si>
    <t xml:space="preserve">- uczestnictwem w systemie cash pool </t>
  </si>
  <si>
    <r>
      <t xml:space="preserve">- Teilnahme </t>
    </r>
    <r>
      <rPr>
        <sz val="10"/>
        <color theme="1"/>
        <rFont val="Arial"/>
        <family val="2"/>
        <charset val="238"/>
      </rPr>
      <t>am</t>
    </r>
    <r>
      <rPr>
        <sz val="10"/>
        <rFont val="Arial"/>
        <family val="2"/>
        <charset val="238"/>
      </rPr>
      <t xml:space="preserve"> Cash Pool-Syste</t>
    </r>
    <r>
      <rPr>
        <sz val="10"/>
        <color theme="1"/>
        <rFont val="Arial"/>
        <family val="2"/>
        <charset val="238"/>
      </rPr>
      <t>m</t>
    </r>
  </si>
  <si>
    <t>- participation in a cash pooling system</t>
  </si>
  <si>
    <t>- korzystaniem z zewnętrznych źródeł finansowania o zmiennym oprocentowaniu.</t>
  </si>
  <si>
    <t>- Nutzung externer Finanzierungsquellen mit variabler Verzinsung</t>
  </si>
  <si>
    <t>- using external sources of financing with variable interest rates.</t>
  </si>
  <si>
    <t xml:space="preserve">Pozycje oprocentowane według zmiennej stopy narażają Spółkę na ryzyko zmiany przepływów pieniężnych w wyniku zmiany stóp procentowych i w związku z tym wpływają na wysokość kosztów lub przychodów odsetkowych ujmowanych w wyniku finansowym. </t>
  </si>
  <si>
    <t>Die variabel verzinsten Positionen setzen die Gesellschaft dem Risiko einer Änderung der Kapitalflüsse infolge der Änderung der Zinssätze aus und beeinflussen demnach die Höhe der Zinsaufwendungen bzw. -erträge, die im Ergebnis berücksichtigt werden.</t>
  </si>
  <si>
    <t>Items subject to variable interest rate put the Company at risk of changes in cash flow as a result of changes in interest rates and therefore affect interest income and expenses disclosed in the profit(loss).</t>
  </si>
  <si>
    <t xml:space="preserve">Pozycje oprocentowane według zmiennej stopy narażają Oddział na ryzyko zmiany przepływów pieniężnych w wyniku zmiany stóp procentowych i w związku z tym wpływają na wysokość kosztów lub przychodów odsetkowych ujmowanych w wyniku finansowym. </t>
  </si>
  <si>
    <t>Spółka minimalizuje ryzyko stopy procentowej poprzez odpowiednie ukształtowanie struktury aktywów i pasywów o zmiennej i stałej stopie procentowej.</t>
  </si>
  <si>
    <r>
      <t>Die Gesellschaft minimiert das Zinssatzrisiko durch entsprechende</t>
    </r>
    <r>
      <rPr>
        <sz val="10"/>
        <color theme="1"/>
        <rFont val="Arial"/>
        <family val="2"/>
        <charset val="238"/>
      </rPr>
      <t xml:space="preserve"> </t>
    </r>
    <r>
      <rPr>
        <sz val="10"/>
        <color rgb="FFFF0000"/>
        <rFont val="Arial"/>
        <family val="2"/>
        <charset val="238"/>
      </rPr>
      <t>G</t>
    </r>
    <r>
      <rPr>
        <sz val="10"/>
        <rFont val="Arial"/>
        <family val="2"/>
        <charset val="238"/>
      </rPr>
      <t>estaltung der Struktur der Aktiva und Passiva mit variablem und festem Zinssatz.</t>
    </r>
  </si>
  <si>
    <t>The Company minimises the currency risk by appropriately structuring assets and liabilities with variable and fixed interest rates.</t>
  </si>
  <si>
    <t>Oddział minimalizuje ryzyko stopy procentowej poprzez odpowiednie ukształtowanie struktury aktywów i pasywów o zmiennej i stałej stopie procentowej.</t>
  </si>
  <si>
    <t>W ocenie Zarządu poziom i wahania stóp procentowych nie powodował konieczności stosowania instrumentów zabezpieczających ryzyka stopy procentowej.</t>
  </si>
  <si>
    <t>Nach Auffassung der Geschäftsführung erfordern das Niveau und die Schwankungen der Zinssätze keine Anwendung von Instrumenten zur Absicherung gegen das Zinssatzsrisiko.</t>
  </si>
  <si>
    <t>In the opinion of the Management Board the interest rates and their fluctuations did not trigger the need to use instruments hedging interest rate risks.</t>
  </si>
  <si>
    <t>Nach Auffassung des Vorstands erfordern das Niveau und die Schwankungen der Zinssätze keine Anwendung von Instrumenten zur Absicherung gegen das Zinssatzsrisiko.</t>
  </si>
  <si>
    <t>Ryzyko kredytowe</t>
  </si>
  <si>
    <t>Kreditrisiko</t>
  </si>
  <si>
    <t>Credit risk</t>
  </si>
  <si>
    <t>Spółka narażona jest na ryzyko kredytowe w związku z ewentualną niewypłacalnością swoich dłużników. Zarząd ogranicza to ryzyko poprzez:</t>
  </si>
  <si>
    <t>Die Gesellschaft ist dem Kreditrisiko wegen einer etwaigen Zahlungsunfähigkeit ihrer Schuldner ausgesetzt. Die Geschäftsführung beschränkt dieses Risiko wie folgt:</t>
  </si>
  <si>
    <t>The Company is exposed to credit risk in connection with a potential insolvency of its debitors. The Management Board limits that risk by:</t>
  </si>
  <si>
    <t>Oddział narażony jest na ryzyko kredytowe w związku z ewentualną niewypłacalnością swoich dłużników. Zarząd ogranicza to ryzyko poprzez:</t>
  </si>
  <si>
    <t>Die Gesellschaft ist dem Kreditrisiko wegen einer etwaigen Zahlungsunfähigkeit ihrer Schuldner ausgesetzt. Der Vorstand beschränkt dieses Risiko wie folgt:</t>
  </si>
  <si>
    <t>The Company is exposed to credit risk in connection with a potential insolvency of its debtors. The Management Board limits that risk by:</t>
  </si>
  <si>
    <t>- utrzymywanie odpowiedniej struktury portfela wierzytelności</t>
  </si>
  <si>
    <t>- Beibehaltung einer entsprechenden Struktur des Forderungsportfolios</t>
  </si>
  <si>
    <t>- maintaining an appropriate portfolio of receivables</t>
  </si>
  <si>
    <t>- monitorowanie kondycji finansowej kontrahentów</t>
  </si>
  <si>
    <t>- Überwachung der Finanzlage der Geschäftspartner</t>
  </si>
  <si>
    <t>- monitoring of the financial standing of contractors</t>
  </si>
  <si>
    <t>- zarządzanie limitami kredytowymi i terminami płatności</t>
  </si>
  <si>
    <t>- Management der Kreditlimits und der Zahlungsfristen</t>
  </si>
  <si>
    <t>- managing credit limits and payment deadlines</t>
  </si>
  <si>
    <t>- ubezpieczanie należności handlowych.</t>
  </si>
  <si>
    <t>- Versicherung der Forderungen aus Lieferungen und Leistungen.</t>
  </si>
  <si>
    <t>- insuring trade receivables.</t>
  </si>
  <si>
    <t>Ryzyko płynności</t>
  </si>
  <si>
    <t>Liquiditätsrisiko</t>
  </si>
  <si>
    <t>Liquidity risk</t>
  </si>
  <si>
    <t xml:space="preserve">Zarządzanie płynnością polega na planowaniu oraz monitorowaniu przepływów pieniężnych, w celu zapewniania Spółce możliwości regulowania wymagalnych zobowiązań, zarówno w normalnej jak i kryzysowej sytuacji. </t>
  </si>
  <si>
    <t>Das Liquiditätsmanagement besteht in der Planung und Überwachung der Geldflüsse, um der Gesellschaft die Möglichkeit der Begleichung fälliger Verbindlichkeiten zu gewährleisten, und zwar sowohl im Normalfall als auch in Krisensituationen.</t>
  </si>
  <si>
    <t xml:space="preserve">Liquidity management consists in planning and monitoring of cash flows to ensure that the Company can pay the due liabilities, both in day-to-day and in emergency situations. </t>
  </si>
  <si>
    <t>Zarząd korzysta z następujących instrumentów zarządzania płynnością:</t>
  </si>
  <si>
    <t>Die Geschäftsführung nutzt folgende Instrumente für das Liquiditätsmanagement:</t>
  </si>
  <si>
    <t>The Management Board uses the following liquidity management instruments:</t>
  </si>
  <si>
    <t>Der Vorstand nutzt folgende Instrumente für das Liquiditätsmanagement:</t>
  </si>
  <si>
    <t>- utrzymywanie płynnych środków pieniężnych w wysokości umożliwiającej regulowanie oczekiwanych wydatków operacyjnych</t>
  </si>
  <si>
    <t>- Vorhaltung flüssiger Mittel in einer Höhe, die die Begleichung erwarteter Betriebsausgaben ermöglicht</t>
  </si>
  <si>
    <t>- maintaining liquid cash in the amount which allows the Company to incur expected operating expenses</t>
  </si>
  <si>
    <t>- utrzymywanie linii kredytowej w banku</t>
  </si>
  <si>
    <t>- Unterhaltung einer Kreditlinie bei der Bank</t>
  </si>
  <si>
    <t>- maintaining a credit facility at bank</t>
  </si>
  <si>
    <t>- planowanie przepływów finansowych, ustalanie i aktualizacja budżetów wydatków inwestycyjnych</t>
  </si>
  <si>
    <t>- Planung der Geldflüsse, Festlegung und Aktualisierung der Budgets für Investitionsaufwendungen</t>
  </si>
  <si>
    <t>- planning cash flows, setting and updating capex budgets</t>
  </si>
  <si>
    <t>- korzystanie z systemu „cash pool” w ramach Grupy Kapitałowej.</t>
  </si>
  <si>
    <t>- Verwendung des „Cash Pool”-Systems im Konzern</t>
  </si>
  <si>
    <t>- using cash pooling system within the group.</t>
  </si>
  <si>
    <t>Zarząd zidentyfikował następujące ryzyka i negatywne konsekwencje dla spółki  w związku z aktualną sytuacją gospodarczą wywołaną konfliktem na wschodzie Europy:</t>
  </si>
  <si>
    <t>Die Geschäftsführung hat folgende Risiken und negative Konsequenzen für die Gesellschaft i.Z.m. der aktuellen Wirtschaftslage infolge des Konflikts im Osten Europas identifiziert:</t>
  </si>
  <si>
    <t>The Management Board has identified the following risks and negative consequences for the company due to the current economic situation caused by the conflict in Eastern Europe:</t>
  </si>
  <si>
    <t>Der Vorstand hat folgende Risiken und negative Konsequenzen für die Gesellschaft i.Z.m. der aktuellen Wirtschaftslage infolge des Konflikts im Osten Europas identifiziert:</t>
  </si>
  <si>
    <t>spadek przychodów ze sprzedaży na poziomie:</t>
  </si>
  <si>
    <t>Rückgang der Verkaufserlöse i.H.v.:</t>
  </si>
  <si>
    <t>decrease in revenues from sales:</t>
  </si>
  <si>
    <t>ograniczenie rynku zbytu (wschodnia Europa) oraz zmiany nastroju i preferencji aktualnych kontrahentów i konsumentów</t>
  </si>
  <si>
    <t>Beschränkung des Absatzmarktes (Osteuropa) und Änderungen der Stimmung und Präferenzen der gegenwärtigen Geschäftspartner und Verbraucher</t>
  </si>
  <si>
    <t>reduction of the sales market (Eastern Europe) and changes in the mood and preferences of current contractors and consumers</t>
  </si>
  <si>
    <t>wzrost kosztów działalności operacyjnej wynikający bezpośrednio z istotnego wzrostu poziomu inflacji, w tym w szczególności cen energii</t>
  </si>
  <si>
    <t>Anstieg der Aufwendungen der betrieblichen Tätigkeit, der unmittelbar auf einen wesentlichen Anstieg der Inflationsrate, darunter insbesondere der Strompreise, zurückzuführen ist</t>
  </si>
  <si>
    <t>an increase in operating expenses resulting directly from a significant increase in inflation, including in particular energy prices</t>
  </si>
  <si>
    <t>osłabienie polskiej waluty oraz wahania kursów walut spowodowały wzrost innych kosztów finansowych (zrealizowanych ujemnych różnic kursowych oraz różnic kursowych z wyceny bilansowej)</t>
  </si>
  <si>
    <t>Die Schwächung der polnischen Währung und Währungskursschwankungen hatten den Anstieg anderer Finanzaufwendungen (realisierter Kursverluste und Kursdifferenzen aus der Bilanzbewertung) zur Folge</t>
  </si>
  <si>
    <t>the weakening of the Polish currency and exchange rate fluctuations caused an increase in other financial expenses (realised foreign exchange losses and exchange rate profit(loss) on balance sheet valuation)</t>
  </si>
  <si>
    <t>wzrost stóp procentowych miał bezpośredni wpływ na wzrost kosztów finansowania działalności spółki (naliczonych i zapłaconych odsetek od zaciągniętych kredytów)</t>
  </si>
  <si>
    <t>Der Anstieg der Zinssätze hatte unmittelbaren Einfluss auf den Anstieg der Kosten für die Finanzierung der Tätigkeit der Gesellschaft (berechnete und gezahlte Zinsen auf aufgenommene Kredite)</t>
  </si>
  <si>
    <t>the increase in interest rates had a direct impact on the increase in the company's financing expenses (accrued and paid loan interest)</t>
  </si>
  <si>
    <t>utrudnienia w dostawach surowców powodujące czasowe opóźnienia w realizacji zamówień</t>
  </si>
  <si>
    <t>Erschwernisse bei Lieferungen von Rohstoffen, die zu vorübergehenden Verzögerungen bei der Abwicklung von Bestellungen führen</t>
  </si>
  <si>
    <t>difficulties in the supply of raw materials causing temporary delays in order fulfilment</t>
  </si>
  <si>
    <t>Podjęte działania w celu ograniczenia skutków kryzysu we wschodniej Europie i ich wpływ na dane finansowe za bieżący rok obrotowy:</t>
  </si>
  <si>
    <t>Ergriffene Maßnahmen zur Einschränkung der Folgen der Krise in Osteuropa und deren Einfluss auf die Finanzangaben für das laufende Geschäftsjahr:</t>
  </si>
  <si>
    <t>Measures taken to mitigate the impact of the crisis in Eastern Europe and their impact on the financial figures for the current financial year:</t>
  </si>
  <si>
    <t>Rodzaj wsparcia</t>
  </si>
  <si>
    <t>Art der Förderung</t>
  </si>
  <si>
    <t>Type of aid</t>
  </si>
  <si>
    <t>Beschreibung</t>
  </si>
  <si>
    <t>Wpływ na wynik i prezentacja w sprawozdaniu finansowym</t>
  </si>
  <si>
    <t>Einfluss auf das Ergebnis und Darstellung im Jahresabschluss</t>
  </si>
  <si>
    <t>Impact on the profit(loss) and disclosure in the financial statements</t>
  </si>
  <si>
    <t>Subwencja z Polskiego Funduszu Rozwoju</t>
  </si>
  <si>
    <t>Bezuschussung von der Polski Fundusz Rozwoju</t>
  </si>
  <si>
    <t>Subsidy from the Polish Development Fund</t>
  </si>
  <si>
    <t>Dofinansowanie z FGŚP</t>
  </si>
  <si>
    <t xml:space="preserve">Finanzierung aus dem Garantieleistungsfonds </t>
  </si>
  <si>
    <t>Subsidies from the Guaranteed Employee Benefits Fund</t>
  </si>
  <si>
    <t>Zwolnienie z obowiązku opłacania składek ZUS</t>
  </si>
  <si>
    <t>Befreiung von der Pflicht zur Zahlung von Sozialversicherungsbeträgen</t>
  </si>
  <si>
    <t>Exemption from the obligation to pay social and health insurance (ZUS) contributions</t>
  </si>
  <si>
    <t>Zawieszenie wpłat na ZFŚS</t>
  </si>
  <si>
    <t xml:space="preserve">Aussetzung der Einzahlungen in den Betrieblichen Sozialfonds </t>
  </si>
  <si>
    <t>Suspension of payments to the Guaranteed Employee Benefits Fund</t>
  </si>
  <si>
    <t>spis treści</t>
  </si>
  <si>
    <t>SPIS TREŚCI</t>
  </si>
  <si>
    <t>Inhaltsverzeichnis</t>
  </si>
  <si>
    <t>CONTENTS</t>
  </si>
  <si>
    <t>GA – dane ogólne o Spółce</t>
  </si>
  <si>
    <t>GA – Allgemeine Angaben über die Gesellschaft</t>
  </si>
  <si>
    <t>GA – general information on the Company</t>
  </si>
  <si>
    <t>Wprowadzenie do sprawozdania finansowego</t>
  </si>
  <si>
    <t>Einleitung zum Jahresabschluss</t>
  </si>
  <si>
    <t>Introduction to the financial statements</t>
  </si>
  <si>
    <t>Bilans</t>
  </si>
  <si>
    <t>Bilanz</t>
  </si>
  <si>
    <t>Balance sheet</t>
  </si>
  <si>
    <t>RZiS Por. – rachunek zysków i strat w wersji porównawczej</t>
  </si>
  <si>
    <t>RZiS Por. – Gewinn- und Verlustrechnung nach dem Gesamtkostenverfahren</t>
  </si>
  <si>
    <t>RZiS Por. – Income statement – nature of expense method</t>
  </si>
  <si>
    <t>RZiS Kal. – rachunek zysków i strat w wersji kalkulacyjnej</t>
  </si>
  <si>
    <t>RZiS Kal. – Gewinn- und Verlustrechnung nach dem Umsatzkostenverfahren</t>
  </si>
  <si>
    <t>RZiS Kal. – Income statement – function of expense method</t>
  </si>
  <si>
    <t>CF mp – rachunek przepływów środków pieniężnych sporządzony metodą pośrednią</t>
  </si>
  <si>
    <t>CF mp. – Kapitalflussrechnung erstellt nach der indirekten Methode</t>
  </si>
  <si>
    <t>CF mp – Cash flow statement prepared using the indirect method</t>
  </si>
  <si>
    <t>CF mb – rachunek przepływów środków pieniężnych sporządzony metodą bezpośrednią</t>
  </si>
  <si>
    <t>CF mb – Kapitalflussrechnung erstellt nach der direkten Methode</t>
  </si>
  <si>
    <t>CF mb – Cash flow statement prepared using the direct method</t>
  </si>
  <si>
    <t>Z. Zm. w Kap. – zestawienie zmian w kapitale (funduszu) własnym</t>
  </si>
  <si>
    <t>Z Zm. w Kap. – Eigenkapitalspiegel</t>
  </si>
  <si>
    <t>Z. Zm. w Kap. – Statement of changes in equity</t>
  </si>
  <si>
    <t>nota 1.1.a – zestawienie wartości niematerialnych i prawnych</t>
  </si>
  <si>
    <t>nota 1.1.a – Zusammenstellung der immateriellen Vermögensgegenstände und Rechte</t>
  </si>
  <si>
    <r>
      <rPr>
        <sz val="10"/>
        <color rgb="FFFF0000"/>
        <rFont val="Arial"/>
        <family val="2"/>
        <charset val="238"/>
      </rPr>
      <t xml:space="preserve">note </t>
    </r>
    <r>
      <rPr>
        <sz val="10"/>
        <rFont val="Arial"/>
        <family val="2"/>
        <charset val="238"/>
      </rPr>
      <t>1.1.a – schedule of intangible assets</t>
    </r>
  </si>
  <si>
    <t>nota 1.1.b – zestawienie rzeczowych aktywów trwałych</t>
  </si>
  <si>
    <t>nota 1.1.b – Zusammenstellung des Sachanlagevermögens</t>
  </si>
  <si>
    <r>
      <rPr>
        <sz val="10"/>
        <color rgb="FFFF0000"/>
        <rFont val="Arial"/>
        <family val="2"/>
        <charset val="238"/>
      </rPr>
      <t>note</t>
    </r>
    <r>
      <rPr>
        <sz val="10"/>
        <rFont val="Arial"/>
        <family val="2"/>
      </rPr>
      <t xml:space="preserve"> 1.1.b – schedule of property, plant and equipment</t>
    </r>
  </si>
  <si>
    <t>nota 1.1.c – zestawienie inwestycji długoterminowych</t>
  </si>
  <si>
    <t>nota 1.1.c – Zusammenstellung der langfristigen Investitionen</t>
  </si>
  <si>
    <t>note 1.1.c – schedule of non-current investments</t>
  </si>
  <si>
    <t>nota 1.3–1.10 – grunty użytkowane wieczyście, środki trwałe w leasingu, najmie, dzierżawie, papiery wartościowe, odpisy aktualizujące należności,  struktura własności kapitału własnego,  zestawienie zmian kapitałów własnych, propozycje podziału zysku lub pokrycia straty</t>
  </si>
  <si>
    <t>nota 1.3–1 .10 – Grundstücke im Erbnießbrauch, geleaste, gemietete und gepachtete Sachanlagen, Wertpapiere,Wertberichtigungen auf Forderungen, Eigentumsstruktur des Eigenkapitals, Eigenkapitalspiegel, Vorschläge zur Gewinnverwendung oder Verlustdeckung</t>
  </si>
  <si>
    <r>
      <rPr>
        <sz val="10"/>
        <color rgb="FFFF0000"/>
        <rFont val="Arial"/>
        <family val="2"/>
        <charset val="238"/>
      </rPr>
      <t>note</t>
    </r>
    <r>
      <rPr>
        <sz val="10"/>
        <rFont val="Arial"/>
        <family val="2"/>
      </rPr>
      <t xml:space="preserve"> 1.3– 1.10 – land under usufruct right, tangible assets under lease,securities, Value adjustment write-downs,  share capital ownership structure, statement of changes in equity, proposals with respect to distribution of profit or cover of loss</t>
    </r>
  </si>
  <si>
    <t>nota 1.11 – zestawienie rezerw na zobowiązania</t>
  </si>
  <si>
    <t>nota 1.11 – Zusammenstellung der Rückstellungen für Verbindlichkeiten</t>
  </si>
  <si>
    <r>
      <rPr>
        <sz val="10"/>
        <color rgb="FFFF0000"/>
        <rFont val="Arial"/>
        <family val="2"/>
        <charset val="238"/>
      </rPr>
      <t>note</t>
    </r>
    <r>
      <rPr>
        <sz val="10"/>
        <rFont val="Arial"/>
        <family val="2"/>
      </rPr>
      <t xml:space="preserve"> 1.11 – schedule of provisions for liabilities</t>
    </r>
  </si>
  <si>
    <t>nota 1.12 – zobowiązania długoterminowe</t>
  </si>
  <si>
    <t>nota 1.12 – Langfristige Verbindlichkeiten</t>
  </si>
  <si>
    <r>
      <rPr>
        <sz val="10"/>
        <color rgb="FFFF0000"/>
        <rFont val="Arial"/>
        <family val="2"/>
        <charset val="238"/>
      </rPr>
      <t xml:space="preserve">note </t>
    </r>
    <r>
      <rPr>
        <sz val="10"/>
        <rFont val="Arial"/>
        <family val="2"/>
      </rPr>
      <t>1.12 – Non-current liabilities</t>
    </r>
  </si>
  <si>
    <t>nota 1.13 – wykaz grup zobowiązań zabezpieczonych na majątku jednostki (ze wskazaniem jego rodzaju)</t>
  </si>
  <si>
    <t>nota 1.13 – Aufstellung der Gruppen von Verbindlichkeiten, die mit dem Vermögen der Gesellschaft besichert sind (unter Angabe der Art)</t>
  </si>
  <si>
    <r>
      <rPr>
        <sz val="10"/>
        <color rgb="FFFF0000"/>
        <rFont val="Arial"/>
        <family val="2"/>
        <charset val="238"/>
      </rPr>
      <t>note</t>
    </r>
    <r>
      <rPr>
        <sz val="10"/>
        <rFont val="Arial"/>
        <family val="2"/>
      </rPr>
      <t xml:space="preserve"> 1.13 – Specification of groups of liabilities secured against the company assets (incl. indication of their nature)</t>
    </r>
  </si>
  <si>
    <t>nota 1.14 – zestawienie czynnych i biernych rozliczeń międzyokresowych</t>
  </si>
  <si>
    <t>nota 1.14 – Zusammenstellung der aktiven und passiven Rechnungsabgrenzungsposten</t>
  </si>
  <si>
    <r>
      <rPr>
        <sz val="10"/>
        <color rgb="FFFF0000"/>
        <rFont val="Arial"/>
        <family val="2"/>
        <charset val="238"/>
      </rPr>
      <t>note</t>
    </r>
    <r>
      <rPr>
        <sz val="10"/>
        <rFont val="Arial"/>
        <family val="2"/>
      </rPr>
      <t xml:space="preserve"> 1.14 – schedule of prepayments and accruals</t>
    </r>
  </si>
  <si>
    <t>nota 1.15. – należności i zobowiązania wykazywane w więcej niż jednej pozycji bilansu</t>
  </si>
  <si>
    <t>nota 1.15. – Forderungen und Verbindlichkeiten, die unter mehreren Bilanzpositionen ausgewiesen werden</t>
  </si>
  <si>
    <r>
      <rPr>
        <sz val="10"/>
        <color rgb="FFFF0000"/>
        <rFont val="Arial"/>
        <family val="2"/>
        <charset val="238"/>
      </rPr>
      <t>note</t>
    </r>
    <r>
      <rPr>
        <sz val="10"/>
        <rFont val="Arial"/>
        <family val="2"/>
      </rPr>
      <t xml:space="preserve"> 1.15. – Receivables and liabilities disclosed in more than one balance sheet item</t>
    </r>
  </si>
  <si>
    <t>nota 1.16. - zobowiązania warunkowe</t>
  </si>
  <si>
    <t>nota 1.16. - Eventualverbindlichkeiten</t>
  </si>
  <si>
    <r>
      <rPr>
        <sz val="10"/>
        <color rgb="FFFF0000"/>
        <rFont val="Arial"/>
        <family val="2"/>
        <charset val="238"/>
      </rPr>
      <t>note</t>
    </r>
    <r>
      <rPr>
        <sz val="10"/>
        <rFont val="Arial"/>
        <family val="2"/>
      </rPr>
      <t xml:space="preserve"> 1.16. - contingent liabilities</t>
    </r>
  </si>
  <si>
    <t>nota 1.17. - Aktywa niebędące instrumentami finansowymi, wyceniane wg wartości godziwej</t>
  </si>
  <si>
    <t>nota 1.17. - Vermögenswerte, die keine Finanzinstrumente sind, zum beizulegenden Zeitwert bewertet</t>
  </si>
  <si>
    <r>
      <rPr>
        <sz val="10"/>
        <color rgb="FFFF0000"/>
        <rFont val="Arial"/>
        <family val="2"/>
        <charset val="238"/>
      </rPr>
      <t>note</t>
    </r>
    <r>
      <rPr>
        <sz val="10"/>
        <rFont val="Arial"/>
        <family val="2"/>
      </rPr>
      <t xml:space="preserve"> 1.17. - Assets other than financial instruments, measured at fair value</t>
    </r>
  </si>
  <si>
    <t>nota 1.18. - Środki pieniężne zgromadzone na rachunku VAT, o którym mowaw art.. 62a ust.1 ustawy z dn. 29.08.1997 - Prawo bankowe</t>
  </si>
  <si>
    <t>Note 1.18. - Guthaben auf dem Umsatzsteuer-Konto, von dem in Art. 62a Abs.1 des Bankgesetzes vom 29. August 1997 die Rede ist</t>
  </si>
  <si>
    <r>
      <rPr>
        <sz val="10"/>
        <color rgb="FFFF0000"/>
        <rFont val="Arial"/>
        <family val="2"/>
        <charset val="238"/>
      </rPr>
      <t>note</t>
    </r>
    <r>
      <rPr>
        <sz val="10"/>
        <rFont val="Arial"/>
        <family val="2"/>
      </rPr>
      <t xml:space="preserve"> 1.18 - Cash in the VAT account referred to in Article 62a(1) of the Banking Act of 29.08.1997</t>
    </r>
  </si>
  <si>
    <t>nota 2 – informacje o przychodach, kosztach, odpisach aktualizujących środki trwałe i zapasy, zyskach i stratach działalności jednostki, kalkulacja podstawy opodatkowania, kosztów wytworzenia środków trwałych w budowie, środków trwałych na włąsne potrzeby, odsetki oraz różnice kursowe powiększające cenę nabycia towarów lub koszt wytworzenia produktów,  planowane nakłady na niefinansowe aktywa trwałe, zyski i straty nadzwyczajne</t>
  </si>
  <si>
    <t>nota 2 – Angaben zu Erträgen, Aufwendungen, Wertberichtigungen auf Sachanlagen und Vorräte, Gewinnen und Verlusten aus der Tätigkeit der Gesellschaft, Ermittlung der steuerlichen Bemessungsgrundlage, Herstellungskosten der Anlagen im Bau, Eigenleistungen, Zinsen und Kursdifferenzen, die die Anschaffungskosten der Waren oder die Herstellungskosten der Erzeugnisse erhöhten, geplante Aufwendungen für nicht finanzielle langfristige Vermögenswerte, außerordentliche Erträge und Aufwendungen</t>
  </si>
  <si>
    <r>
      <rPr>
        <sz val="10"/>
        <color rgb="FFFF0000"/>
        <rFont val="Arial"/>
        <family val="2"/>
        <charset val="238"/>
      </rPr>
      <t>note</t>
    </r>
    <r>
      <rPr>
        <sz val="10"/>
        <rFont val="Arial"/>
        <family val="2"/>
      </rPr>
      <t xml:space="preserve"> 2 – information on revenues, expenses, value adjustment write-downs of tangible assets and inventories, profits and losses on the entity's activities, calculation of taxable base, cost of manufacture of assets under construction, work performed by the entity and capitalised, interest and foreign exchange gains (losses) which increase the acquisition cost of merchandise or the manufacture cost of goods, budgeted outlays for non-financial non-current assets, extraordinary gains and losses</t>
    </r>
  </si>
  <si>
    <t>nota 3 - Kursy przyjęte do wyceny pozycji bilansu oraz rachunku zysków i strat wyrażonych w walutach obcych</t>
  </si>
  <si>
    <t>nota 3 - Umrechnungskurse für die Bewertung der in Fremdwährung ausgedrückten Positionen der Bilanz sowie der Gewinn- und Verlustrechnung</t>
  </si>
  <si>
    <r>
      <rPr>
        <sz val="10"/>
        <color rgb="FFFF0000"/>
        <rFont val="Arial"/>
        <family val="2"/>
        <charset val="238"/>
      </rPr>
      <t>note</t>
    </r>
    <r>
      <rPr>
        <sz val="10"/>
        <rFont val="Arial"/>
        <family val="2"/>
      </rPr>
      <t xml:space="preserve"> 3 - Foreign exchange rates assumed for valuation of balance sheet items and income statement items denominated in foreign currencies</t>
    </r>
  </si>
  <si>
    <t>nota 4 – struktura środków pieniężnych przyjętych do rachunku przepływu pieniężnych</t>
  </si>
  <si>
    <t>nota 4 – Struktur der Geldmittel, die der Kapitalflussrechnung zugrunde liegen</t>
  </si>
  <si>
    <r>
      <rPr>
        <sz val="10"/>
        <color rgb="FFFF0000"/>
        <rFont val="Arial"/>
        <family val="2"/>
        <charset val="238"/>
      </rPr>
      <t>note</t>
    </r>
    <r>
      <rPr>
        <sz val="10"/>
        <rFont val="Arial"/>
        <family val="2"/>
      </rPr>
      <t xml:space="preserve"> 4 – structure of cash and cash equivalents included in cash flow statement</t>
    </r>
  </si>
  <si>
    <t xml:space="preserve">nota 5 – informacje o zatrudnieniu i wynagrodzeniach członków Zarządu, Rady Nadzorczej oraz Biegłego Rewidenta </t>
  </si>
  <si>
    <t>nota 5 – Angaben über die Beschäftigung und Vergütungen für die Geschäftsführer, Aufsichtsratmitglieder und Wirtschaftsprüfer</t>
  </si>
  <si>
    <r>
      <rPr>
        <sz val="10"/>
        <color rgb="FFFF0000"/>
        <rFont val="Arial"/>
        <family val="2"/>
        <charset val="238"/>
      </rPr>
      <t>note</t>
    </r>
    <r>
      <rPr>
        <sz val="10"/>
        <rFont val="Arial"/>
        <family val="2"/>
      </rPr>
      <t xml:space="preserve"> 5 – information on employment and remuneration for members of the Management Board,Supervisory Board and auditor</t>
    </r>
  </si>
  <si>
    <t>nota 6 – informacje o istotnych zdarzeniach dotyczących lat ubiegłych lub powstałych po dniu bilansowym nie ujętych w sprawozdaniu finansowym oraz zmiany zasad (polityki) rachunkowości</t>
  </si>
  <si>
    <t>nota 6 – Angaben über wesentliche Ereignisse aus den Vorjahren oder nach dem Bilanzstichtag eingetretene Ereignisse, die im Jahresabschluss nicht ausgewiesen wurden, sowie Änderungen der Rechnungslegungsgrundsätze (-politik)</t>
  </si>
  <si>
    <r>
      <rPr>
        <sz val="10"/>
        <color rgb="FFFF0000"/>
        <rFont val="Arial"/>
        <family val="2"/>
        <charset val="238"/>
      </rPr>
      <t>note</t>
    </r>
    <r>
      <rPr>
        <sz val="10"/>
        <rFont val="Arial"/>
        <family val="2"/>
      </rPr>
      <t xml:space="preserve"> 6 – information on significant prior year or post-balance sheet events not included in the financial statements, as well as changes in the accounting (policy) rules</t>
    </r>
  </si>
  <si>
    <t>nota 7 – informacje o wspólnych przedsięwzięciach, które nie podlegają konsolidacji, transakcjach z jednostkami powiązanymi, wykaz spółek powiązanych, przyczynach odstąpienia od konsolidacji</t>
  </si>
  <si>
    <t xml:space="preserve">nota 7 – Informationen über gemeinsame Unternehmungen, die nicht in den Konzernabschluss einbezogen werden, Geschäfte mit verbundenen Unternehmen, Auflistung der verbundenen Unternehmen, Gründe für den Verzicht auf die Konsolidierung </t>
  </si>
  <si>
    <r>
      <rPr>
        <sz val="10"/>
        <color rgb="FFFF0000"/>
        <rFont val="Arial"/>
        <family val="2"/>
        <charset val="238"/>
      </rPr>
      <t xml:space="preserve">note </t>
    </r>
    <r>
      <rPr>
        <sz val="10"/>
        <rFont val="Arial"/>
        <family val="2"/>
      </rPr>
      <t>7 – information on joint ventures which are not subject to consolidation, transactions with related parties, specification of related parties, reasons for resignation from consolidation</t>
    </r>
  </si>
  <si>
    <t>nota 8 – informacje o połączeniu spółek (metoda nabycia lub łączenia udziałów)</t>
  </si>
  <si>
    <t>nota 8 – Angaben zur Verschmelzung der Gesellschaften (Erwerbsmethode oder Methode der Interessenzusammenführung)</t>
  </si>
  <si>
    <r>
      <rPr>
        <sz val="10"/>
        <color rgb="FFFF0000"/>
        <rFont val="Arial"/>
        <family val="2"/>
        <charset val="238"/>
      </rPr>
      <t>note</t>
    </r>
    <r>
      <rPr>
        <sz val="10"/>
        <rFont val="Arial"/>
        <family val="2"/>
      </rPr>
      <t xml:space="preserve"> 8 – information on merger of companies (acquisition method or pooling of interests method)</t>
    </r>
  </si>
  <si>
    <t>nota 9 – informacje o zagrożeniu kontynuowania działalności</t>
  </si>
  <si>
    <t>nota 9 – Angaben zur Gefährdung der Unternehmensfortführung</t>
  </si>
  <si>
    <r>
      <rPr>
        <sz val="10"/>
        <color rgb="FFFF0000"/>
        <rFont val="Arial"/>
        <family val="2"/>
        <charset val="238"/>
      </rPr>
      <t>note</t>
    </r>
    <r>
      <rPr>
        <sz val="10"/>
        <rFont val="Arial"/>
        <family val="2"/>
      </rPr>
      <t xml:space="preserve"> 9 – information on any threats to the Company's ability to continue as a going concern </t>
    </r>
  </si>
  <si>
    <t>nota 10 – inne istotne informacje</t>
  </si>
  <si>
    <t>nota 10 – Sonstige wesentliche Informationen</t>
  </si>
  <si>
    <r>
      <rPr>
        <sz val="10"/>
        <color rgb="FFFF0000"/>
        <rFont val="Arial"/>
        <family val="2"/>
        <charset val="238"/>
      </rPr>
      <t>note</t>
    </r>
    <r>
      <rPr>
        <sz val="10"/>
        <rFont val="Arial"/>
        <family val="2"/>
      </rPr>
      <t xml:space="preserve"> 10 – other material information</t>
    </r>
  </si>
  <si>
    <t xml:space="preserve">Informacje dodatkowe do zmian w kapitale (funduszu) własnym </t>
  </si>
  <si>
    <t>Zusätzliche Informationen über Änderungen im Eigenkapital</t>
  </si>
  <si>
    <t>Additional information concerning the statement of changes in equity</t>
  </si>
  <si>
    <t>nota do CF – informacje dodatkowe do sprawozdania z przepływów środków pieniężnych</t>
  </si>
  <si>
    <t>nota do CF – Zusätzliche Informationen über die Kapitalflussrechnung</t>
  </si>
  <si>
    <r>
      <rPr>
        <sz val="10"/>
        <color rgb="FFFF0000"/>
        <rFont val="Arial"/>
        <family val="2"/>
        <charset val="238"/>
      </rPr>
      <t>note</t>
    </r>
    <r>
      <rPr>
        <sz val="10"/>
        <rFont val="Arial"/>
        <family val="2"/>
      </rPr>
      <t xml:space="preserve"> to CF – additional information concerning the cash flow statement</t>
    </r>
  </si>
  <si>
    <t>SPRAWOZDANIE – sprawozdanie Zarządu z działalności jednostki</t>
  </si>
  <si>
    <t xml:space="preserve">SPRAWOZDANIE – Lagebericht </t>
  </si>
  <si>
    <t>SPRAWOZDANIE – Management Report</t>
  </si>
  <si>
    <t>nota do Z. Zm. w Kap.</t>
  </si>
  <si>
    <t>kwota</t>
  </si>
  <si>
    <t>amount</t>
  </si>
  <si>
    <t>Proponowany podział zysku – jeśli wypłacony wspólnikom</t>
  </si>
  <si>
    <t>Vorgeschlagene Gewinnverwendung – falls an die Gesellschafter ausgeschüttet</t>
  </si>
  <si>
    <t>Proposed distribution of profit – if paid to the shareholders</t>
  </si>
  <si>
    <t>nota do CF</t>
  </si>
  <si>
    <t>Nota do rachunku przepływów środków pieniężnych</t>
  </si>
  <si>
    <t xml:space="preserve">Note zur Kapitalflussrechnung </t>
  </si>
  <si>
    <t>Note the to cash flow statement</t>
  </si>
  <si>
    <t>Struktura środków pieniężnych do sprawozdania z przepływu środków pieniężnych</t>
  </si>
  <si>
    <t>Struktur der Geldmittel aus der Kapitalflussrechnung</t>
  </si>
  <si>
    <t>Structure of cash and cash equivalents against the cash flow statement</t>
  </si>
  <si>
    <t>A.II.3. Odsetki i udziały w zyskach (dywidendy)</t>
  </si>
  <si>
    <t>A.II.3. Zinsen und Gewinnbeteiligungen (Dividenden)</t>
  </si>
  <si>
    <t>A.II.3. Interest and dividends</t>
  </si>
  <si>
    <t>Odsetki od lokat powyżej 3 miesięcy</t>
  </si>
  <si>
    <t>Zinsen auf Einlagen über 3 Monate</t>
  </si>
  <si>
    <t>Interest on deposits (more than 3 months)</t>
  </si>
  <si>
    <t>zapłacone</t>
  </si>
  <si>
    <t>bezahlte</t>
  </si>
  <si>
    <t>paid</t>
  </si>
  <si>
    <t>otrzymane</t>
  </si>
  <si>
    <t xml:space="preserve">erhaltene </t>
  </si>
  <si>
    <t>received</t>
  </si>
  <si>
    <t>Odsetki od udzielonych pożyczek</t>
  </si>
  <si>
    <t>Darlehenszinsen</t>
  </si>
  <si>
    <t>Interest on loans advanced</t>
  </si>
  <si>
    <t xml:space="preserve">paid </t>
  </si>
  <si>
    <t>erhaltene</t>
  </si>
  <si>
    <t>Odsetki od kredytów</t>
  </si>
  <si>
    <t>Kreditzinsen</t>
  </si>
  <si>
    <t>Interest on bank loans</t>
  </si>
  <si>
    <t>Otrzymane i zarachowane dywidendy</t>
  </si>
  <si>
    <t>Erhaltene und erfasste Dividenden</t>
  </si>
  <si>
    <t>Received and calculated dividends</t>
  </si>
  <si>
    <t>Pozostałe odsetki</t>
  </si>
  <si>
    <t>Sonstige Zinsen</t>
  </si>
  <si>
    <t>Other interest</t>
  </si>
  <si>
    <t>Dividenden und andere Zahlungen an Eigentümer</t>
  </si>
  <si>
    <t>Dividends and other payments to owners</t>
  </si>
  <si>
    <t>Razem odsetki</t>
  </si>
  <si>
    <t>Zinsen insgesamt</t>
  </si>
  <si>
    <t>Total interest</t>
  </si>
  <si>
    <t>A.II.4. Zysk (strata) z działalności inwestycyjnej</t>
  </si>
  <si>
    <t>A.II.4. Ergebnis aus der Investitionstätigkeit</t>
  </si>
  <si>
    <t>A.II.4. Gain (loss) on investing activities</t>
  </si>
  <si>
    <t>Zysk (strata) na sprzedaży składników działalności inwestycyjnej</t>
  </si>
  <si>
    <t>Ergebnis aus dem Verkauf der für die Investitionstätigkeit eingesetzten Vermögensgegenstände</t>
  </si>
  <si>
    <t>Profit (loss) on the sale of investment assets</t>
  </si>
  <si>
    <t>Strata ze zbycia niefinansowych aktywów trwałych</t>
  </si>
  <si>
    <t>Verlust aus der Veräußerung nicht finanzieller langfristiger Vermögenswerte</t>
  </si>
  <si>
    <t>Zysk ze zbycia inwestycji</t>
  </si>
  <si>
    <t>Gewinn aus der Veräußerung der Investitionen</t>
  </si>
  <si>
    <t>Gain on disposal of investments</t>
  </si>
  <si>
    <t>Strata ze zbycia inwestycji</t>
  </si>
  <si>
    <t>Verlust aus der Veräußerung der Investitionen</t>
  </si>
  <si>
    <t>Loss on disposal of investments</t>
  </si>
  <si>
    <t>Strata na likwidacji działalności inwestycyjnej</t>
  </si>
  <si>
    <t>Verlust aufgrund der Einstellung der Investitionstätigkeit</t>
  </si>
  <si>
    <t>Loss on the liquidation of investing activities</t>
  </si>
  <si>
    <t>Przekazane darowizny niepieniężnych składników działalności inwestycyjnej</t>
  </si>
  <si>
    <t>Übergebene Schenkungen der nicht geldlichen Gegenstände der Investitionstätigkeit</t>
  </si>
  <si>
    <t xml:space="preserve">Granted donations of non-pecuniary investment assets  </t>
  </si>
  <si>
    <t>Ujawnione nadwyżki inwentaryzacyjne składników działalności inwestycyjnej</t>
  </si>
  <si>
    <t>Offengelegte Inventurmehrbestände bei Gegenständen der Investitionstätigkeit</t>
  </si>
  <si>
    <t>Disclosed inventory surpluses of investment assets</t>
  </si>
  <si>
    <t>Ujawnione niedobory inwentaryzacyjne składników działalności inwestycyjnej</t>
  </si>
  <si>
    <t>Offengelegte Inventurfehlbestände bei Gegenständen der Investitionstätigkeit</t>
  </si>
  <si>
    <t>Disclosed inventory shortages of investment assets</t>
  </si>
  <si>
    <t>Odpis aktualizujący wartość środków trwałych</t>
  </si>
  <si>
    <t>Wertberichtigung auf Sachanlagen</t>
  </si>
  <si>
    <r>
      <rPr>
        <sz val="10"/>
        <rFont val="Arial"/>
        <family val="2"/>
      </rPr>
      <t>Value adjustment write-down of tangible assets</t>
    </r>
  </si>
  <si>
    <t>Razem zysk (strata) z działalności inwestycyjnej</t>
  </si>
  <si>
    <t>Ergebnis aus der Investitionstätigkeit insgesamt</t>
  </si>
  <si>
    <t>Total gains (losses) on investing activities</t>
  </si>
  <si>
    <t>A.II.5. Zmiana stanu rezerw na zobowiązania</t>
  </si>
  <si>
    <t>A.II.5. Veränderung des Bestandes an Rückstellungen für Verbindlichkeiten</t>
  </si>
  <si>
    <t>A.II.5. Increase (decrease) in provisions for liabilities</t>
  </si>
  <si>
    <t>w tym</t>
  </si>
  <si>
    <t>darunter</t>
  </si>
  <si>
    <t>including</t>
  </si>
  <si>
    <t>Rezerwa na odroczony podatek dochodowy utworzona w ciężar kosztów</t>
  </si>
  <si>
    <t>Rückstellung für latente Steuern, erfasst als Aufwand</t>
  </si>
  <si>
    <t>Deferred tax liabilities recognised as expenses</t>
  </si>
  <si>
    <t>Razem rezerwy po korekcie</t>
  </si>
  <si>
    <t>Insgesamt Rückstellungen nach der Korrektur</t>
  </si>
  <si>
    <t>Total provisions after adjustment</t>
  </si>
  <si>
    <t>A.II.6. Zmiana stanu zapasów</t>
  </si>
  <si>
    <t>A.II.6. Veränderung des Bestandes an Vorräten</t>
  </si>
  <si>
    <t>A.II.6. Increase (decrease) in inventories</t>
  </si>
  <si>
    <t>Zapasy razem</t>
  </si>
  <si>
    <t>Insgesamt Vorräte</t>
  </si>
  <si>
    <t>Total inventories</t>
  </si>
  <si>
    <t>Razem zapasy po korekcie</t>
  </si>
  <si>
    <t>Insgesamt Vorräte nach der Korrektur</t>
  </si>
  <si>
    <t>Total inventories after adjustment</t>
  </si>
  <si>
    <t>A.II.7. Zmiana stanu należności</t>
  </si>
  <si>
    <t xml:space="preserve">A.II.7. Veränderung des Bestandes an Forderungen </t>
  </si>
  <si>
    <t>A.II.7. Increase (decrease) in receivables</t>
  </si>
  <si>
    <t>Non-current receivables</t>
  </si>
  <si>
    <t>Należności krótkoterminowe od jednostek powiązanych</t>
  </si>
  <si>
    <t>Kurzfristige Forderungen gegen verbundene Unternehmen</t>
  </si>
  <si>
    <t>Current receivables from related parties</t>
  </si>
  <si>
    <t>Należności krótkoterminowe  od pozostałych jednostek, w których jednostka posiada zaangażowanie w kapitale</t>
  </si>
  <si>
    <t xml:space="preserve">Kurzfristige Forderungen gegen dritte Unternehmen, mit denen ein Beteiligungsverhältnis besteht  </t>
  </si>
  <si>
    <t>Current receivables from third parties in which the entity has an equity interest</t>
  </si>
  <si>
    <t>Należności krótkoterminowe od pozostałych jednostek</t>
  </si>
  <si>
    <t>Kurzfristige Forderungen gegen dritte Unternehmen</t>
  </si>
  <si>
    <t>Current receivables from third parties</t>
  </si>
  <si>
    <t>Razem należności netto</t>
  </si>
  <si>
    <t>Insgesamt Forderungen netto</t>
  </si>
  <si>
    <t>Total net receivables</t>
  </si>
  <si>
    <t>Należności z tytułu sprzedaży środków trwałych lub z operacji i zdarzeń niepieniężnych</t>
  </si>
  <si>
    <t>Forderungen aufgrund des Verkaufs von Sachanlagen oder aus nicht geldlichen Geschäften und Vorgängen</t>
  </si>
  <si>
    <t xml:space="preserve">Receivables due to sale of tangible assets or from non-pecuniary operations and items </t>
  </si>
  <si>
    <t>Razem należności netto po korektach</t>
  </si>
  <si>
    <t>Forderungen netto nach Korrekturen insgesamt</t>
  </si>
  <si>
    <t>Total net receivables after adjustments</t>
  </si>
  <si>
    <t>A.II.8. Zmiana stanu zobowiązań krótkoterminowych bez kredytów i pożyczek</t>
  </si>
  <si>
    <t>A.II.8. Veränderung des Bestandes an kurzfristigen Verbindlichkeiten, ohne Kredite und Darlehen</t>
  </si>
  <si>
    <t>A.II.8. Increase (decrease) in current liabilities, exclusive of credits and loans</t>
  </si>
  <si>
    <t>Zobowiązania krótkoterminowe wobec jednostek powiązanych</t>
  </si>
  <si>
    <t>Kurzfristige Verbindlichkeiten gegenüber verbundenen Unternehmen</t>
  </si>
  <si>
    <t>Current liabilities against related parties</t>
  </si>
  <si>
    <t>Zobowiązania krótkoterminowe wobec pozostałych jednostek</t>
  </si>
  <si>
    <t>Kurzfristige Verbindlichkeiten gegenüber dritten Unternehmen</t>
  </si>
  <si>
    <t>Current liabilities against third parties</t>
  </si>
  <si>
    <t>Razem zobowiązania</t>
  </si>
  <si>
    <t>Insgesamt Verbindlichkeiten</t>
  </si>
  <si>
    <t>Total liabilities</t>
  </si>
  <si>
    <t>w tym, zobowiązania z działalności inwestycyjnej</t>
  </si>
  <si>
    <t>darunter Verbindlichkeiten aus der Investitionstätigkeit</t>
  </si>
  <si>
    <t>including liabilities due to investing activities</t>
  </si>
  <si>
    <t>Zobowiązania z tytułu zakupu wartości niematerialnych i prawnych i środków trwałych</t>
  </si>
  <si>
    <t>Verbindlichkeiten aufgrund des Erwerbs von immateriellen Vermögensgegenständen und Rechten sowie Sachanlagen</t>
  </si>
  <si>
    <t>Liabilities due to purchase of intangible and tangible assets</t>
  </si>
  <si>
    <t>Zobowiązania z tytułu zakupu inwestycji w nieruchomości i wartości niematerialne i prawne</t>
  </si>
  <si>
    <t>Verbindlichkeiten aufgrund des Erwerbs von Investitionen in Immobilien und immaterielle Vermögensgegenstände und Rechte</t>
  </si>
  <si>
    <t xml:space="preserve">Liabilities due to the purchase of property investments and intangible asset investment </t>
  </si>
  <si>
    <t>Inne zobowiązania z tytułu działalności inwestycyjnej</t>
  </si>
  <si>
    <t>Sonstige Verbindlichkeiten aus der Investitionstätigkeit</t>
  </si>
  <si>
    <t>Other liabilities due to investing activities</t>
  </si>
  <si>
    <t>w tym, zobowiązania z działalności finansowej</t>
  </si>
  <si>
    <t>darunter Verbindlichkeiten aus der Finanzierungstätigkeit</t>
  </si>
  <si>
    <t>including liabilities due to financing activities</t>
  </si>
  <si>
    <t>Zobowiązania z tytułu nabycia (akcji) własnych</t>
  </si>
  <si>
    <t>Verbindlichkeiten aufgrund des Erwerbs von eigenen Anteilen (Aktien)</t>
  </si>
  <si>
    <t>Liabilities due to purchase of treasury shares</t>
  </si>
  <si>
    <t>Zobowiązania z tytułu dywidend i innych wypłat na rzecz właścicieli</t>
  </si>
  <si>
    <t>Verbindlichkeiten aus Dividenden und sonstigen Zahlungen an Eigentümer</t>
  </si>
  <si>
    <t>Liabilities due to dividends and other payments to owners</t>
  </si>
  <si>
    <t>Zobowiązania inne, niż wypłaty na rzecz właścicieli, z tytułu podziału zysku</t>
  </si>
  <si>
    <t>Andere Verbindlichkeiten als Gewinnausschüttungen an Eigentümer</t>
  </si>
  <si>
    <t>Liabilities other than profit distribution related payments to owners</t>
  </si>
  <si>
    <t>Zobowiązania z tytułu dłużnych papierów wartościowych</t>
  </si>
  <si>
    <t>Verbindlichkeiten aus schuldrechtlichen Wertpapieren</t>
  </si>
  <si>
    <t>Liabilities due to debt securities</t>
  </si>
  <si>
    <t>Inne zobowiązania finansowe</t>
  </si>
  <si>
    <t>Zobowiązania z tytułu pożyczek od jednostek powiązanych</t>
  </si>
  <si>
    <t>Verbindlichkeiten aufgrund der Darlehen gegenüber verbundenen Unternehmen</t>
  </si>
  <si>
    <t>Loan liabilities against related parties</t>
  </si>
  <si>
    <t>Zobowiązania z tytułu pożyczek od pozostałych jednostek, w których jednostka posiada zaangażowanie w kapitale</t>
  </si>
  <si>
    <t>Verbindlichkeiten aufgrund der Darlehen gegenüber dritten Unternehmen, mit denen ein Beteiligungsverhältnis besteht</t>
  </si>
  <si>
    <t>Liabilities against third parties in which the entity has an equity interest</t>
  </si>
  <si>
    <t>Zobowiązania z tytułu umów leasingu finansowego</t>
  </si>
  <si>
    <t xml:space="preserve">Verbindlichkeiten aufgrund der Finanzierungsleasingverträge </t>
  </si>
  <si>
    <t xml:space="preserve">Financial lease liabilities </t>
  </si>
  <si>
    <t>Zobowiązania z tytułu kredytów i pożyczek</t>
  </si>
  <si>
    <t>Verbindlichkeiten aus Krediten und Darlehen</t>
  </si>
  <si>
    <t>Liabilities due to credits and loans</t>
  </si>
  <si>
    <t>Zobowiązania z działalności operacyjnej</t>
  </si>
  <si>
    <t>Verbindlichkeiten aus der laufenden Geschäftstätigkeit</t>
  </si>
  <si>
    <t>Liabilities due to operating activities</t>
  </si>
  <si>
    <t>Zmiana stanu zobowiązań</t>
  </si>
  <si>
    <t>Veränderung des Bestandes an Verbindlichkeiten</t>
  </si>
  <si>
    <t>Increase (decrease) in liabilities</t>
  </si>
  <si>
    <t>A.II.9. Zmiana stanu rozliczeń międzyokresowych</t>
  </si>
  <si>
    <t>A.II.9. Veränderung des Bestandes an Rechnungsabgrenzungsposten</t>
  </si>
  <si>
    <t>A.II.9. Increase (decrease) in prepayments and accruals</t>
  </si>
  <si>
    <t>Długoterminowe rozliczenia międzyokresowe czynne</t>
  </si>
  <si>
    <t>Langfristige aktive Rechnungsabgrenzungsposten</t>
  </si>
  <si>
    <t xml:space="preserve">Non-current prepayments </t>
  </si>
  <si>
    <t>Krótkoterminowe rozliczenia międzyokresowe czynne</t>
  </si>
  <si>
    <t>Kurzfristige aktive Rechnungsabgrenzungsposten</t>
  </si>
  <si>
    <t xml:space="preserve">Current prepayments </t>
  </si>
  <si>
    <t>Razem rozliczenia międzyokresowe czynne po korekcie</t>
  </si>
  <si>
    <t>Insgesamt aktive Rechnungsabgrenzungsposten nach der Korrektur</t>
  </si>
  <si>
    <t>Total prepayments after adjustment</t>
  </si>
  <si>
    <t>Razem rozliczenia międzyokresowe po korekcie</t>
  </si>
  <si>
    <t>Insgesamt passive Rechnungsabgrenzungsposten nach der Korrektur</t>
  </si>
  <si>
    <t>Total accruals after adjustment</t>
  </si>
  <si>
    <t>1. Zmiana stanu</t>
  </si>
  <si>
    <t>1. Bestandsveränderung</t>
  </si>
  <si>
    <t>1. Increase (decrease)</t>
  </si>
  <si>
    <t>Długoterminowe rozliczenia międzyokresowe (pasywa)</t>
  </si>
  <si>
    <t>Langfristige Rechnungsabgrenzungsposten (Passiva)</t>
  </si>
  <si>
    <t>Non-current accruals (equity and liabilities)</t>
  </si>
  <si>
    <t>Krótkoterminowe rozliczenia międzyokresowe (pasywa)</t>
  </si>
  <si>
    <t>Kurzfristige Rechnungsabgrenzungsposten (Passiva)</t>
  </si>
  <si>
    <t>Current accruals (equity and liabilities)</t>
  </si>
  <si>
    <t>2. Zmiana stanu</t>
  </si>
  <si>
    <t>2. Bestandsveränderung</t>
  </si>
  <si>
    <t>2. Increase (decrease)</t>
  </si>
  <si>
    <t>Ogółem zmiana stanu rozliczeń międzyokresowych (1+2)</t>
  </si>
  <si>
    <t>Insgesamt Veränderung des Bestandes an Rechnungsabgrenzungsposten (1+2)</t>
  </si>
  <si>
    <t>Total increase (decrease) in prepayments and accruals (1+2)</t>
  </si>
  <si>
    <t xml:space="preserve"> A. II. 10. Inne korekty</t>
  </si>
  <si>
    <t>A.II.10. Sonstige Korrekturen</t>
  </si>
  <si>
    <t>A.II.10. Other adjustments</t>
  </si>
  <si>
    <t>Niepieniężne straty spowodowane zdarzeniami losowymi w składnikach działalności inwestycyjnej (plus)</t>
  </si>
  <si>
    <t>Nicht geldliche Verluste aufgrund von nicht vorhersehbaren Ereignissen in den Gegenständen der Investitionstätigkeit (plus)</t>
  </si>
  <si>
    <t>Non-cash losses resulting from extraordinary items in investment assets (plus)</t>
  </si>
  <si>
    <t>Niepieniężne zyski spowodowane zdarzeniami losowymi w składnikach działalności inwestycyjnej (minus)</t>
  </si>
  <si>
    <t>Nicht geldliche Gewinne aufgrund von nicht vorhersehbaren Ereignissen in den Gegenständen der Investitionstätigkeit (minus)</t>
  </si>
  <si>
    <t>Non-cash profits resulting from extraordinary items in investment assets (minus)</t>
  </si>
  <si>
    <t>Odpisy netto z tytułu utraty wartości, korygujące wartość składników aktywów trwałych oraz krótkoterminowych aktywów finansowych (plus lub minus)</t>
  </si>
  <si>
    <t>Abschreibungen aufgrund der Wertminderung, die den Wert der Gegenstände der langfristigen Vermögenswerte und der kurzfristigen finanziellen Vermögenswerte korrigieren (plus oder minus)</t>
  </si>
  <si>
    <t>Net impairment losses, value adjustment write-downs of non-current assets and current financial assets (plus or minus)</t>
  </si>
  <si>
    <t>Umorzenie zaciągniętych kredytów i pożyczek i innych zobowiązań finansowych (minus)</t>
  </si>
  <si>
    <t>Erlass aufgenommener Kredite und Darlehen und sonstiger finanzieller Schulden (minus)</t>
  </si>
  <si>
    <t>Redemption of borrowings and loans contracted and other financial liabilities (minus)</t>
  </si>
  <si>
    <t>Umorzenie udzielonych pożyczek długoterminowych (plus)</t>
  </si>
  <si>
    <t>Erlass erteilter langfristiger Darlehen (plus)</t>
  </si>
  <si>
    <t>Redemption of long-term loans advanced (plus)</t>
  </si>
  <si>
    <t>Odpisanie wartości środków trwałych w budowie, które nie dały efektu gospodarczego</t>
  </si>
  <si>
    <t>Abschreibung der Anlagen im Bau, die kein wirtschaftliches Ergebnis brachten</t>
  </si>
  <si>
    <t>Value adjustment write-down of assets under construction which failed to bring effects</t>
  </si>
  <si>
    <t>Dotacje w roku ich otrzymania, jeżeli wpłynęły w całości, odniesione na wyn. fin. bieżącego okresu</t>
  </si>
  <si>
    <t>Zuschüsse im Jahre deren Erhalts, wenn sie im Vollwert eingingen, bezogen auf das Ergebnis der laufenden Periode</t>
  </si>
  <si>
    <t>Subsidies in the year of their reception, if they were received in total, included in the proft (loss) for the relevant period</t>
  </si>
  <si>
    <t>Zmiana stanu</t>
  </si>
  <si>
    <t>Bestandsänderung</t>
  </si>
  <si>
    <t>Increase (decrease)</t>
  </si>
  <si>
    <t xml:space="preserve">E. Bilansowa zmiana środków pieniężnych </t>
  </si>
  <si>
    <t>E. Bilanzielle Veränderung der Geldmittel</t>
  </si>
  <si>
    <t>E. Balance sheet change in cash and cash equivalents</t>
  </si>
  <si>
    <t xml:space="preserve">Środki pieniężne w kasie </t>
  </si>
  <si>
    <t>Geldmittel in der Kasse</t>
  </si>
  <si>
    <t>Cash in hand</t>
  </si>
  <si>
    <t>Środki pieniężne na rachunkach bankowych</t>
  </si>
  <si>
    <t>Bankguthaben</t>
  </si>
  <si>
    <t>Cash at bank</t>
  </si>
  <si>
    <t>Lokaty bankowe do 3 miesięcy</t>
  </si>
  <si>
    <t>Bankeinlagen bis zu 3 Monaten</t>
  </si>
  <si>
    <t xml:space="preserve">Bank deposits (up to 3 months) </t>
  </si>
  <si>
    <t>Ekwiwalenty środków pieniężnych, w tym:</t>
  </si>
  <si>
    <t>Äquivalente der Geldmittel, darunter</t>
  </si>
  <si>
    <t>Cash equivalents, incl.:</t>
  </si>
  <si>
    <t>–  czeki,</t>
  </si>
  <si>
    <t>– Schecks,</t>
  </si>
  <si>
    <t>- cheques,</t>
  </si>
  <si>
    <t>–  weksle,</t>
  </si>
  <si>
    <t>– Wechsel,</t>
  </si>
  <si>
    <t>- bills of exchange,</t>
  </si>
  <si>
    <t>–  inne</t>
  </si>
  <si>
    <t>– sonstige</t>
  </si>
  <si>
    <t>- other</t>
  </si>
  <si>
    <t>Razem środki pieniężne oraz ekwiwalenty środków pieniężnych</t>
  </si>
  <si>
    <t>Geldmittel und Äquivalente der Geldmittel insgesamt</t>
  </si>
  <si>
    <t>Total cash and cash equivalents</t>
  </si>
  <si>
    <t>Zmiana środków pieniężnych oraz ekwiwalentów środków pieniężnych</t>
  </si>
  <si>
    <t>Veränderung der Geldmittel und Äquivalente der Geldmittel</t>
  </si>
  <si>
    <t>Change in cash and cash equivalents</t>
  </si>
  <si>
    <t>Wycena bilansowa środków pieniężnych</t>
  </si>
  <si>
    <t>Bilanzbewertung der Geldmittel</t>
  </si>
  <si>
    <t>Balance sheet valuation of cash and cash equivalents</t>
  </si>
  <si>
    <t>Zmiana stanu środków pieniężnych z tytułu różnic kursowych</t>
  </si>
  <si>
    <t>Veränderung des Bestandes an Geldmitteln aufgrund von Kursdifferenzen</t>
  </si>
  <si>
    <t>Change in cash and cash equivalents due to foreign exchange gains(losses)</t>
  </si>
  <si>
    <t>Środki pieniężne o ograniczonej możliwości dysponowania</t>
  </si>
  <si>
    <t>Geldmittel mit Verfügbarkeitsbeschränkung</t>
  </si>
  <si>
    <t>Restricted cash and cash equivalents</t>
  </si>
  <si>
    <t>SPRAWOZDANIE</t>
  </si>
  <si>
    <t>SPRAWOZDANIE ZARZĄDU Z DZIAŁALNOŚCI JEDNOSTKI</t>
  </si>
  <si>
    <t xml:space="preserve">LAGEBERICHT DER </t>
  </si>
  <si>
    <t>MANAGEMENT REPORT OF</t>
  </si>
  <si>
    <t>Spis treści</t>
  </si>
  <si>
    <t xml:space="preserve">Contents </t>
  </si>
  <si>
    <t>Strona</t>
  </si>
  <si>
    <t>Seite</t>
  </si>
  <si>
    <t>Page</t>
  </si>
  <si>
    <t>CZĘŚĆ OGÓLNA</t>
  </si>
  <si>
    <t>HAUPTTEIL</t>
  </si>
  <si>
    <t>GENERAL INFORMATION</t>
  </si>
  <si>
    <t>WIZYTÓWKA SPÓŁKI</t>
  </si>
  <si>
    <t>VISITENKARTE DER GESELLSCHAFT</t>
  </si>
  <si>
    <t>COMPANY BUSINESS CARD</t>
  </si>
  <si>
    <t>SPRZEDAŻ</t>
  </si>
  <si>
    <t>VERKAUF</t>
  </si>
  <si>
    <t>SALES</t>
  </si>
  <si>
    <t>PERSONEL</t>
  </si>
  <si>
    <t>ANGESTELLTE</t>
  </si>
  <si>
    <t>PERSONNEL</t>
  </si>
  <si>
    <t>ANALIZA FINANSOWA</t>
  </si>
  <si>
    <t>WIRTSCHAFTSLAGE</t>
  </si>
  <si>
    <t>FINANCIAL ANALYSIS</t>
  </si>
  <si>
    <t>PRZEWIDYWANY ROZWÓJ SPÓŁKI</t>
  </si>
  <si>
    <t>VORAUSSICHTLICHE ENTWICKLUNG DER GESELLSCHAFT</t>
  </si>
  <si>
    <t>EXPECTED DEVELOPMENT OF THE COMPANY</t>
  </si>
  <si>
    <t>CZYNNIKI RYZYKA ZWIĄZANE Z PROWADZONĄ DZIAŁALNOŚCIĄ,  W TYM W ZAKRESIE INSTRUMENTÓW FINANSOWYCH</t>
  </si>
  <si>
    <t>RISIKOFAKTOREN IM RAHMEN DER GEWERBETÄTIGKEIT, DARUNTER DER FINANZINSTRUMENTE</t>
  </si>
  <si>
    <t>RISK FACTORS RELATED TO BUSINESS ACTIVITY, INCL. FINANCIAL INSTRUMENTS</t>
  </si>
  <si>
    <t>Czynniki ryzyka związane z instrumentami finansowymi</t>
  </si>
  <si>
    <t>Risikofaktoren bei Finanzinstrumenten</t>
  </si>
  <si>
    <t>Risk factors related to financial instruments</t>
  </si>
  <si>
    <t>WAŻNIEJSZE OSIĄGNIĘCIA W DZIEDZINIE BADAŃ I ROZWOJU</t>
  </si>
  <si>
    <t xml:space="preserve">WICHTIGSTE ERRUNGENSCHAFTEN IM BEREICH FORSCHUNG UND ENTWICKLUNG </t>
  </si>
  <si>
    <r>
      <rPr>
        <sz val="10"/>
        <rFont val="Arial"/>
        <family val="2"/>
      </rPr>
      <t>MAJOR R&amp;D ACHIEVEMENTS</t>
    </r>
  </si>
  <si>
    <t>INFORMACJE O NABYCIU UDZIAŁÓW (AKCJI) WŁASNYCH</t>
  </si>
  <si>
    <t>INFORMATIONEN ÜBER DEN ERWERB EIGENER ANTEILE (AKTIEN)</t>
  </si>
  <si>
    <r>
      <rPr>
        <sz val="10"/>
        <rFont val="Arial"/>
        <family val="2"/>
      </rPr>
      <t>INFORMATION ON PURCHASE OF TREASURY SHARES</t>
    </r>
  </si>
  <si>
    <t>ŁAD KORPORACYJNY</t>
  </si>
  <si>
    <t>KONZERNORDNUNG</t>
  </si>
  <si>
    <t>CORPORATE GOVERNANCE</t>
  </si>
  <si>
    <t>PODSUMOWANIE</t>
  </si>
  <si>
    <t>ZUSAMMENFASSUNG</t>
  </si>
  <si>
    <t>SUMMARY</t>
  </si>
  <si>
    <t>Spółka jest zarejestrowana pod firmą:</t>
  </si>
  <si>
    <t>Die Gesellschaft ist unter der Firma eingetragen:</t>
  </si>
  <si>
    <t>The Company is registered under the business name:</t>
  </si>
  <si>
    <t>Kapitał zakładowy</t>
  </si>
  <si>
    <t>Share capital</t>
  </si>
  <si>
    <t>Zarząd i przedstawicielstwo</t>
  </si>
  <si>
    <t>Geschäftsführung und Vertretung</t>
  </si>
  <si>
    <t>Management Board and representation</t>
  </si>
  <si>
    <t>W okresie sprawozdawczym Zarząd sprawowali:</t>
  </si>
  <si>
    <t xml:space="preserve">Im Berichtszeitraum oblag die Geschäftsführung: </t>
  </si>
  <si>
    <t>In the reporting period the Company was managed by:</t>
  </si>
  <si>
    <t>Rada Nadzorcza</t>
  </si>
  <si>
    <t>Aufsichtsrat</t>
  </si>
  <si>
    <t>Supervisory Board</t>
  </si>
  <si>
    <t>W Radzie Nadzorczej zasiadają:</t>
  </si>
  <si>
    <t>Zum Aufsichtsrat gehören:</t>
  </si>
  <si>
    <t>The members of the Supervisory Board are:</t>
  </si>
  <si>
    <t>Przedmiot działalności jednostki</t>
  </si>
  <si>
    <t>Unternehmensgegenstand der Gesellschaft</t>
  </si>
  <si>
    <t>Business activity of the Company</t>
  </si>
  <si>
    <t>Przedmiotem działalności jednostki jest:</t>
  </si>
  <si>
    <t>Unternehmensgegenstand der Gesellschaft umfasst:</t>
  </si>
  <si>
    <t>The Company's business activity comprises:</t>
  </si>
  <si>
    <t>Oddziały Spółki</t>
  </si>
  <si>
    <t>Niederlassungen der Gesellschaft</t>
  </si>
  <si>
    <t>Branch offices</t>
  </si>
  <si>
    <t>Struktura bilansu</t>
  </si>
  <si>
    <t>Bilanzstruktur</t>
  </si>
  <si>
    <t>Balance sheet structure</t>
  </si>
  <si>
    <t>Struktura rachunku zysków i strat</t>
  </si>
  <si>
    <t>Struktur der Gewinn- und Verlustrechnung</t>
  </si>
  <si>
    <t>Income statement structure</t>
  </si>
  <si>
    <t>Przychody netto ze sprzedaży i zrównane z nimi</t>
  </si>
  <si>
    <t>Umsatzerlöse und ihnen gleichgestellte Erträge</t>
  </si>
  <si>
    <t>Sales revenue and sales equivalents</t>
  </si>
  <si>
    <t>Przychody netto ze sprzedaży produktów, towarów i materiałów</t>
  </si>
  <si>
    <t>Erlöse aus dem Verkauf von Erzeugnissen, Waren und Roh-, Hilfs- und Betriebsstoffen</t>
  </si>
  <si>
    <t>Revenue from sale of finished goods, merchandise and raw materials</t>
  </si>
  <si>
    <t>Koszty sprzedanych produktów, towarów i materiałów</t>
  </si>
  <si>
    <t>Aufwendungen der verkauften Erzeugnisse, Waren und Roh-, Hilfs- und Betriebsstoffe</t>
  </si>
  <si>
    <t>Costs of finished goods, merchandise and raw materials sold</t>
  </si>
  <si>
    <t>Dynamika bilansu w cenach bieżących</t>
  </si>
  <si>
    <t>Dynamik der Bilanz in laufenden Preisen</t>
  </si>
  <si>
    <t xml:space="preserve">Relative changes in the balance sheet in current prices </t>
  </si>
  <si>
    <t>Dynamika rachunku zysków i strat w cenach bieżących</t>
  </si>
  <si>
    <t>Dynamik der Gewinn- und Verlustrechnung in laufenden Preisen</t>
  </si>
  <si>
    <t>Relative changes in the income statement in current prices</t>
  </si>
  <si>
    <t>Wskaźniki</t>
  </si>
  <si>
    <t>Kennzahlen</t>
  </si>
  <si>
    <t>Ratios</t>
  </si>
  <si>
    <t>Suma bilansowa</t>
  </si>
  <si>
    <t>Bilanzsumme</t>
  </si>
  <si>
    <t>Balance sheet total</t>
  </si>
  <si>
    <t>Wynik finansowy netto</t>
  </si>
  <si>
    <t>Jahresergebnis nach Steuern</t>
  </si>
  <si>
    <t>Net profit (loss)</t>
  </si>
  <si>
    <t>Rentowność</t>
  </si>
  <si>
    <t>Rentabilität</t>
  </si>
  <si>
    <t>Profitability</t>
  </si>
  <si>
    <t>Rentowność majątku</t>
  </si>
  <si>
    <t>Vermögensrentabilität</t>
  </si>
  <si>
    <t>Return on assets</t>
  </si>
  <si>
    <t>Wynik netto do aktywów</t>
  </si>
  <si>
    <t>Jahresergebnis nach Steuern zu Aktiva</t>
  </si>
  <si>
    <t>Net profit against total assets</t>
  </si>
  <si>
    <t>Rentowność sprzedaży netto</t>
  </si>
  <si>
    <t>Umsatzrentabilität netto</t>
  </si>
  <si>
    <t>Return on sales</t>
  </si>
  <si>
    <t>Wynik netto do sprzedaży produktów i towarów</t>
  </si>
  <si>
    <t>Jahresergebnis nach Steuern zu Umsatzerlösen</t>
  </si>
  <si>
    <t>Net profit against sale of finished goods and merchandise</t>
  </si>
  <si>
    <t>Rentowność sprzedaży brutto</t>
  </si>
  <si>
    <t>Umsatzrentabilität brutto</t>
  </si>
  <si>
    <t>Gross return on sales</t>
  </si>
  <si>
    <t>Wynik na sprzedaży do sprzedaży produktów i towarów</t>
  </si>
  <si>
    <t>Ergebnis aus dem Verkauf zu Umsatzerlösen</t>
  </si>
  <si>
    <t>Profit on sales against sale of finished goods and merchandise</t>
  </si>
  <si>
    <t>Rentowność kapitału własnego</t>
  </si>
  <si>
    <t>Eigenkapitalrentabilität</t>
  </si>
  <si>
    <t>Return on equity</t>
  </si>
  <si>
    <t>Wynik netto do kapitału własnego</t>
  </si>
  <si>
    <t>Jahresergebnis nach Steuern zum Eigenkapital</t>
  </si>
  <si>
    <t>Net profit against owners’ equity</t>
  </si>
  <si>
    <t>Zadłużenie</t>
  </si>
  <si>
    <t>Verschuldung</t>
  </si>
  <si>
    <t>Indebtedness</t>
  </si>
  <si>
    <t>Pokrycie majątku zobowiązaniami</t>
  </si>
  <si>
    <t>Deckung des Vermögens durch Verbindlichkeiten</t>
  </si>
  <si>
    <t>Cover of assets with liabilities</t>
  </si>
  <si>
    <t>Zobowiązania do majątku</t>
  </si>
  <si>
    <t>Verbindlichkeiten zum Vermögen</t>
  </si>
  <si>
    <t>Liabilities against total assets</t>
  </si>
  <si>
    <t>Płynność</t>
  </si>
  <si>
    <t>Liquidität</t>
  </si>
  <si>
    <t>Liquidity</t>
  </si>
  <si>
    <t>I stopnia</t>
  </si>
  <si>
    <t>1. Grades</t>
  </si>
  <si>
    <t xml:space="preserve">Current ratio </t>
  </si>
  <si>
    <t>Aktywa obrotowe ogółem do zobowiązań krótkoterminowych</t>
  </si>
  <si>
    <t>Kurzfristige Vermögenswerte zu kurzfristigen Verbindlichkeiten</t>
  </si>
  <si>
    <t>Current assets against current liabilities</t>
  </si>
  <si>
    <t>II stopnia</t>
  </si>
  <si>
    <t>2. Grades</t>
  </si>
  <si>
    <t>Quick ratio</t>
  </si>
  <si>
    <t>Aktywa obrotowe ogółem bez zapasów do zobowiązań krótkoterminowych</t>
  </si>
  <si>
    <t>Kurzfristige Vermögenswerte ohne Vorräte zu kurzfristigen Verbindlichkeiten</t>
  </si>
  <si>
    <t xml:space="preserve">Current assets less inventories against current liabilities </t>
  </si>
  <si>
    <t>III stopnia</t>
  </si>
  <si>
    <t>3. Grades</t>
  </si>
  <si>
    <t>Cash ratio</t>
  </si>
  <si>
    <t>Inwestycje krótkoterminowe do zobowiązań krótkoterminowych</t>
  </si>
  <si>
    <t xml:space="preserve">Kurzfristige Investitionen zu kurzfristigen Verbindlichkeiten </t>
  </si>
  <si>
    <t xml:space="preserve">Current investments against current liabilities </t>
  </si>
  <si>
    <t>Trwałość struktury finansowania</t>
  </si>
  <si>
    <t>Stabilität der Finanzierungsstruktur</t>
  </si>
  <si>
    <t>Stability of the capital structure</t>
  </si>
  <si>
    <t>Kapitał własny, rezerwy i zobowiązania długoterminowe do sumy pasywów</t>
  </si>
  <si>
    <t>Eigenkapital, Rückstellungen und langfristige Verbindlichkeiten zu Passiva</t>
  </si>
  <si>
    <t>Owners’ equity plus provisions plus non-current liabilities against total equity &amp; liabilities</t>
  </si>
  <si>
    <t>Efektywność gospodarowania</t>
  </si>
  <si>
    <t>Wirtschaftlichkeitskennzahlen</t>
  </si>
  <si>
    <t>Economic efficiency</t>
  </si>
  <si>
    <t>Szybkość obrotu należnościami</t>
  </si>
  <si>
    <t>Umschlagshäufigkeit der Forderungen</t>
  </si>
  <si>
    <t xml:space="preserve">Collection of receivables </t>
  </si>
  <si>
    <t>Należności z dostaw i usług do sprzedaży produktów i towarów</t>
  </si>
  <si>
    <t>Forderungen aus Lieferungen und Leistungen zu Umsatzerlösen</t>
  </si>
  <si>
    <t>Trade receivables against sale of finished goods and merchandise</t>
  </si>
  <si>
    <t>Szybkość obrotu zobowiązaniami</t>
  </si>
  <si>
    <t>Umschlagshäufigkeit der Verbindlichkeiten</t>
  </si>
  <si>
    <t xml:space="preserve">Payment of liabilities </t>
  </si>
  <si>
    <t>Zobowiązania z dostaw i usług do wartości sprzedanych towarów i kosztu wytworzenia sprzedanych produktów</t>
  </si>
  <si>
    <t>Verbindlichkeiten aus Lieferungen und Leistungen zum Wert der verkauften Waren und zu Herstellungskosten der verkauften Erzeugnisse</t>
  </si>
  <si>
    <t>Trade payables against cost of merchandise sold plus production cost of finished goods sold</t>
  </si>
  <si>
    <t xml:space="preserve">Zobowiązania z dostaw 
i usług do kosztów działalności operacyjnej
</t>
  </si>
  <si>
    <t>Verbindlichkeiten aus Lieferungen und Leistungen zu Aufwendungen der betrieblichen Tätigkeit</t>
  </si>
  <si>
    <t>Trade payables against costs of operating activities</t>
  </si>
  <si>
    <t>Szybkość obrotu zapasami</t>
  </si>
  <si>
    <t>Umschlagshäufigkeit der Vorräte</t>
  </si>
  <si>
    <t>Inventories turnover</t>
  </si>
  <si>
    <t>Zapasy do wartości sprzedanych towarów i kosztu wytworzenia sprzedanych produktów</t>
  </si>
  <si>
    <t>Vorräte zum Wert der verkauften Waren und zu Herstellungskosten der verkauften Erzeugnisse</t>
  </si>
  <si>
    <t>Inventories against cost of merchandise sold plus production cost of finished goods sold</t>
  </si>
  <si>
    <t>Zapasy do kosztów działalności operacyjnej</t>
  </si>
  <si>
    <t>Vorräte zu Aufwendungen der betrieblichen Tätigkeit</t>
  </si>
  <si>
    <t>Inventories against costs of operating activities</t>
  </si>
  <si>
    <t>dni</t>
  </si>
  <si>
    <t>Tage</t>
  </si>
  <si>
    <t>days</t>
  </si>
  <si>
    <t>Uzyskane wyniki z poszczególnych rodzajów działalności wykazane w rachunku zysków i strat za badany okres:</t>
  </si>
  <si>
    <t>Die erwirtschafteten Ergebnisse aus den einzelnen Geschäftsbereichen in der Gewinn- und Verlustrechnung für den Prüfungszeitraum:</t>
  </si>
  <si>
    <t>Profit (loss) on particular types of activities, shown in the income statement for the audited period:</t>
  </si>
  <si>
    <t xml:space="preserve"> - wynik na sprzedaży</t>
  </si>
  <si>
    <t xml:space="preserve"> - Ergebnis aus dem Verkauf</t>
  </si>
  <si>
    <t>- profit (loss) on sales</t>
  </si>
  <si>
    <t xml:space="preserve"> - wynik na pozostałej działalności operacyjnej</t>
  </si>
  <si>
    <t xml:space="preserve"> - Ergebnis aus der sonstigen betrieblichen Tätigkeit</t>
  </si>
  <si>
    <t>- profit (loss) on other operating activities</t>
  </si>
  <si>
    <t xml:space="preserve"> - wynik na działalności finansowej</t>
  </si>
  <si>
    <t xml:space="preserve"> - Ergebnis aus der Finanzierungstätigkeit</t>
  </si>
  <si>
    <t>- profit (loss) on financing activities</t>
  </si>
  <si>
    <t xml:space="preserve"> - wynik zdarzeń nadzwyczajnych</t>
  </si>
  <si>
    <t xml:space="preserve"> - Ergebnis aus den außerordentlichen Ereignissen</t>
  </si>
  <si>
    <t>- result of extraordinary items</t>
  </si>
  <si>
    <t xml:space="preserve"> - podatek dochodowy</t>
  </si>
  <si>
    <t xml:space="preserve"> - Körperschaftsteuer</t>
  </si>
  <si>
    <t>- income tax</t>
  </si>
  <si>
    <t>Informacje o nabyciu udziałów (akcji) własnych</t>
  </si>
  <si>
    <t>Informationen über den Erbwerb eigener Anteile (Aktien)</t>
  </si>
  <si>
    <t>Information on purchase of treasury shares</t>
  </si>
  <si>
    <t>Spółka nie nabyła w roku obrotowym udziałów własnych.</t>
  </si>
  <si>
    <t>Die Gesellschaft hat im Geschäftsjahr keine eigenen Anteile erworben.</t>
  </si>
  <si>
    <t>The Company did not purchase treasury shares in the financial year.</t>
  </si>
  <si>
    <t>Spółka nie nabyła w roku obrotowym akcji własnych.</t>
  </si>
  <si>
    <t>Die Gesellschaft hat im Geschäftsjahr keine eigenen Aktien erworben.</t>
  </si>
  <si>
    <t>Sąd Rejonowy</t>
  </si>
  <si>
    <t>Amtsgericht</t>
  </si>
  <si>
    <r>
      <rPr>
        <sz val="10"/>
        <rFont val="Arial"/>
        <family val="2"/>
      </rPr>
      <t>District Court</t>
    </r>
  </si>
  <si>
    <t>Wydział Gospodarczy Krajowego Rejestru Sądowego</t>
  </si>
  <si>
    <t xml:space="preserve">Wirtschaftsabteilung des Landesgerichtsregisters </t>
  </si>
  <si>
    <r>
      <rPr>
        <sz val="10"/>
        <rFont val="Arial"/>
        <family val="2"/>
      </rPr>
      <t>Commercial Division of the National Court Register</t>
    </r>
  </si>
  <si>
    <t xml:space="preserve">XX-XX Miasto, ul. XXX </t>
  </si>
  <si>
    <t>XX-XX Stadt, ul. XXX</t>
  </si>
  <si>
    <r>
      <rPr>
        <sz val="10"/>
        <rFont val="Arial"/>
        <family val="2"/>
      </rPr>
      <t xml:space="preserve">XX-XX town, ul. XXX </t>
    </r>
  </si>
  <si>
    <t>Nieograniczony</t>
  </si>
  <si>
    <t>unbeschränkt</t>
  </si>
  <si>
    <r>
      <rPr>
        <sz val="10"/>
        <rFont val="Arial"/>
        <family val="2"/>
      </rPr>
      <t>Unlimited</t>
    </r>
  </si>
  <si>
    <t>36 miesięcy</t>
  </si>
  <si>
    <t>36 Monate</t>
  </si>
  <si>
    <r>
      <rPr>
        <sz val="10"/>
        <rFont val="Arial"/>
        <family val="2"/>
      </rPr>
      <t>36 months</t>
    </r>
  </si>
  <si>
    <t>60 miesięcy</t>
  </si>
  <si>
    <t>60 Monate</t>
  </si>
  <si>
    <r>
      <rPr>
        <sz val="10"/>
        <rFont val="Arial"/>
        <family val="2"/>
      </rPr>
      <t>60 months</t>
    </r>
  </si>
  <si>
    <t>24-60 miesięcy</t>
  </si>
  <si>
    <t>24-60 Monate</t>
  </si>
  <si>
    <r>
      <rPr>
        <sz val="10"/>
        <rFont val="Arial"/>
        <family val="2"/>
      </rPr>
      <t>24–60 months</t>
    </r>
  </si>
  <si>
    <t>Sprawozdanie finansowe zawiera dane łączne z wewnętrznymi jednostkami organizacyjnymi sporządzającymi samodzielnie sprawozdania finansowe.</t>
  </si>
  <si>
    <t>Der Jahresabschluss enthält auch Angaben der internen Organisationseinheiten, die ihre Jahresabschlüsse selbstständig erstellen.</t>
  </si>
  <si>
    <r>
      <rPr>
        <sz val="10"/>
        <rFont val="Arial"/>
        <family val="2"/>
      </rPr>
      <t>These financial statements contain aggregate data combined with the data of internal organisational units which prepare independent financial statements.</t>
    </r>
  </si>
  <si>
    <t xml:space="preserve">Sprawozdanie finansowe zostało sporządzone za okres, w ciągu którego nastąpiło połączenie Spółek. Połączenie Spółek zostało rozliczone metodą łączenia udziałów. </t>
  </si>
  <si>
    <t xml:space="preserve">Der Jahresabschluss wurde für den Zeitraum erstellt, während dessen es zu einer Verschmelzung kam. Die Verschmelzung erfolgte durch Interessenzusammenführung. </t>
  </si>
  <si>
    <t xml:space="preserve">The financial statements were prepared for the period in which the Companies merged. The merger of the Companies was accounted for using the pooling of interests method. </t>
  </si>
  <si>
    <t xml:space="preserve">Sprawozdanie finansowe zostało sporządzone za okres, w ciągu którego nastąpiło połączenie Spółek. Połączenie Spółek zostało rozliczone metodą nabycia. </t>
  </si>
  <si>
    <t>Der Jahresabschluss wurde für den Zeitraum erstellt, während dessen es zu einer Verschmelzung kam. Die Verschmelzung erfolgte nach der Erwerbsmethode.</t>
  </si>
  <si>
    <t xml:space="preserve">The financial statements were prepared for the period in which the Companies merged. The merger of the Companies was accounted for using the acquisition method. </t>
  </si>
  <si>
    <t xml:space="preserve">Odpisów amortyzacyjnych dokonuje się od pierwszego dnia miesiąca następującego po miesiącu, w którym dany tytuł przyjęto do używania. </t>
  </si>
  <si>
    <t xml:space="preserve">Die Abschreibungen erfolgen ab dem ersten Tag des Monats, der dem Monat folgt, in dem der betreffende Vermögensgegenstand zur Nutzung freigegeben wurde. </t>
  </si>
  <si>
    <r>
      <rPr>
        <sz val="10"/>
        <rFont val="Arial"/>
        <family val="2"/>
      </rPr>
      <t xml:space="preserve">Intangible assets are amortised as from the first day of the month following the month in which the asset was brought into service. </t>
    </r>
  </si>
  <si>
    <t xml:space="preserve">Tytuły wartości niematerialnych i prawnych o cenie niższej niż 3.500,00 są w momencie zakupu odpisane w koszty. </t>
  </si>
  <si>
    <t>Die immateriellen Vermögensgegenstände und Rechte mit einem Wert bis 3.500,00 PLN werden zum Zeitpunkt ihrer Anschaffung als Aufwand verbucht.</t>
  </si>
  <si>
    <r>
      <rPr>
        <sz val="10"/>
        <rFont val="Arial"/>
        <family val="2"/>
      </rPr>
      <t xml:space="preserve">Intangible assets, the cost of which is less than PLN 3.500,00 are amortised as a one-off charge at the moment of their acquisition. </t>
    </r>
  </si>
  <si>
    <t xml:space="preserve">Wartość początkową środków trwałych ujmuje się w księgach po cenie ich nabycia i umarza metodą liniową według następujących stawek procentowych:  </t>
  </si>
  <si>
    <t xml:space="preserve">Die Sachanlagen werden zu Anschaffungskosten in den Büchern erfasst und nach der linearen Methode zu folgenden Prozentsätzen abgeschrieben: </t>
  </si>
  <si>
    <r>
      <rPr>
        <sz val="10"/>
        <rFont val="Arial"/>
        <family val="2"/>
      </rPr>
      <t xml:space="preserve">The initial value of tangible assets is recognised in the books of account at the acquisition cost and depreciated on the basis of the straight-line method at the following percentage rates:  </t>
    </r>
  </si>
  <si>
    <t xml:space="preserve">Środki trwałe umarzane są według metody liniowej/degresywnej w okresie przewidywanego użytkowania, począwszy od pierwszego dnia miesiąca następującego po miesiącu, w którym przyjęto je do użytkowania.  </t>
  </si>
  <si>
    <t xml:space="preserve">Die Sachanlagen werden nach der linearen/degressiven Methode im voraussichtlichen Nutzungszeitraum, beginnend ab dem ersten Tag des Monats, der dem Monat folgt, in dem die Sachanlagen zur Nutzung freigegeben wurden, abgeschrieben.  </t>
  </si>
  <si>
    <r>
      <rPr>
        <sz val="10"/>
        <rFont val="Arial"/>
        <family val="2"/>
      </rPr>
      <t xml:space="preserve">Tangible assets are depreciated on the basis of the straight-line/declining method over the expected useful life, starting from the first day of the month following the month in which they were brought into service.  </t>
    </r>
  </si>
  <si>
    <t>Środki trwałe o cenie niższej niż 3.500,00 są ujmowane w ewidencji środków trwałych. W miesiącu przyjęcia do użytkowania następuje  jednorazowe odpisanie ich w koszty amortyzacji.</t>
  </si>
  <si>
    <t xml:space="preserve">Die Sachanlagen mit einem Wert bis 3.500,00 PLN werden im Verzeichnis der Sachanlagen erfasst. Im Monat der Freigabe zur Nutzung werden sie einmalig abgeschrieben. </t>
  </si>
  <si>
    <r>
      <rPr>
        <sz val="10"/>
        <rFont val="Arial"/>
        <family val="2"/>
      </rPr>
      <t>Tangible assets the cost of which is less than PLN 3.500,00 are recognised under the tangible assets records. They are depreciated as a one-off charge in the month in which they were brought into service.</t>
    </r>
  </si>
  <si>
    <t>Wartość środków trwałych w budowie wycenia się w wysokości kosztów poniesionych na nabycie lub wytworzenie środków trwałych, które powstaną  w wyniku zakończenia inwestycji.</t>
  </si>
  <si>
    <t xml:space="preserve">Die Anlagen im Bau werden zu Anschaffungs- oder Herstellungskosten der Sachanlagen, die infolge des Abschlusses der Investition entstehen, bewertet. </t>
  </si>
  <si>
    <r>
      <rPr>
        <sz val="10"/>
        <rFont val="Arial"/>
        <family val="2"/>
      </rPr>
      <t>Assets under construction are valued at the costs incurred to acquire or manufacture the tangible assets to be created once the investment is completed.</t>
    </r>
  </si>
  <si>
    <t>nieruchomości w cenie nabycia,</t>
  </si>
  <si>
    <t>Immobilien – zu Anschaffungskosten;</t>
  </si>
  <si>
    <r>
      <rPr>
        <sz val="10"/>
        <rFont val="Arial"/>
        <family val="2"/>
      </rPr>
      <t>real properties – at the acquisition cost;</t>
    </r>
  </si>
  <si>
    <t>wartości niematerialne i prawne w cenie nabycia,</t>
  </si>
  <si>
    <t>Immaterielle Vermögensgegenstände und Rechte – zu Anschaffungskosten;</t>
  </si>
  <si>
    <r>
      <rPr>
        <sz val="10"/>
        <rFont val="Arial"/>
        <family val="2"/>
      </rPr>
      <t>intangible assets – at the acquisition cost;</t>
    </r>
  </si>
  <si>
    <t>udziały lub akcje w cenie nabycia,</t>
  </si>
  <si>
    <t>Anteile oder Aktien – zu Anschaffungskosten;</t>
  </si>
  <si>
    <r>
      <rPr>
        <sz val="10"/>
        <rFont val="Arial"/>
        <family val="2"/>
      </rPr>
      <t>shares – at the acquisition cost;</t>
    </r>
  </si>
  <si>
    <t>inne papiery wartościowe w cenie nabycia,</t>
  </si>
  <si>
    <t>sonstige Wertpapiere – zu Anschaffungskosten;</t>
  </si>
  <si>
    <r>
      <rPr>
        <sz val="10"/>
        <rFont val="Arial"/>
        <family val="2"/>
      </rPr>
      <t>other securities – at the acquisition cost;</t>
    </r>
  </si>
  <si>
    <t>udzielone pożyczki w kwocie wymagającej zapłaty,</t>
  </si>
  <si>
    <t>Ausleihungen – zu Rückzahlungsbeträgen;</t>
  </si>
  <si>
    <r>
      <rPr>
        <sz val="10"/>
        <rFont val="Arial"/>
        <family val="2"/>
      </rPr>
      <t>loans advanced – at the amount due;</t>
    </r>
  </si>
  <si>
    <t>inne długoterminowe aktywa finansowe w kwocie nominalnej,</t>
  </si>
  <si>
    <t>sonstige langfristige finanzielle Vermögenswerte – zu Nennbeträgen;</t>
  </si>
  <si>
    <r>
      <rPr>
        <sz val="10"/>
        <rFont val="Arial"/>
        <family val="2"/>
      </rPr>
      <t>other non-current financial assets – at the nominal value;</t>
    </r>
  </si>
  <si>
    <t>inne inwestycje długoterminowe w cenie nabycia.</t>
  </si>
  <si>
    <t>sonstige langfristige Investitionen – zu Anschaffungskosten.</t>
  </si>
  <si>
    <r>
      <rPr>
        <sz val="10"/>
        <rFont val="Arial"/>
        <family val="2"/>
      </rPr>
      <t>other non-current investments – at the acquisition cost;</t>
    </r>
  </si>
  <si>
    <t>Inwestycje długoterminowe ujmuje się w księgach rachunkowych z uwzględnieniem odpisów z tytułu trwałej utraty ich wartości.</t>
  </si>
  <si>
    <t>Die langfristigen Investitionen werden unter Berücksichtigung der Abschreibungen aufgrund dauerhafter Wertminderung in den Büchern erfasst.</t>
  </si>
  <si>
    <r>
      <rPr>
        <sz val="10"/>
        <rFont val="Arial"/>
        <family val="2"/>
      </rPr>
      <t>Non-current investments are disclosed in the books taking into account the impairment loss.</t>
    </r>
  </si>
  <si>
    <t>inne krótkotetrminowe aktywa finansowe w kwocie nominalnej,</t>
  </si>
  <si>
    <t>sonstige kurzfristige finanzielle Vermögenswerte – zu Nennbeträgen;</t>
  </si>
  <si>
    <r>
      <rPr>
        <sz val="10"/>
        <rFont val="Arial"/>
        <family val="2"/>
      </rPr>
      <t>other current financial assets – at the nominal value;</t>
    </r>
  </si>
  <si>
    <t>inne inwestycje krótkoterminowe w cenie rynkowej.</t>
  </si>
  <si>
    <t>sonstige kurzfristige Investitionen – zu Marktpreisen.</t>
  </si>
  <si>
    <r>
      <rPr>
        <sz val="10"/>
        <rFont val="Arial"/>
        <family val="2"/>
      </rPr>
      <t>other current investments – at the market price;</t>
    </r>
  </si>
  <si>
    <t>materiały i towary w cenie nabycia nie wyższej od ceny sprzedaży netto</t>
  </si>
  <si>
    <t>Roh-, Hilfs- und Betriebsstoffe und Waren – zu Anschaffungskosten, die nicht höher als Nettoverkaufspreise sind;</t>
  </si>
  <si>
    <r>
      <rPr>
        <sz val="10"/>
        <rFont val="Arial"/>
        <family val="2"/>
      </rPr>
      <t>raw materials and merchandise – at the acquisition cost not higher than the net sales price;</t>
    </r>
  </si>
  <si>
    <t>produkty gotowe w koszcie ich wytworzenia nie wyższym od cen sprzedaży netto</t>
  </si>
  <si>
    <t>Fertige Erzeugnisse – zu Herstellungskosten, die nicht höher als Nettoverkaufspreise sind;</t>
  </si>
  <si>
    <r>
      <rPr>
        <sz val="10"/>
        <rFont val="Arial"/>
        <family val="2"/>
      </rPr>
      <t>finished goods – at their production cost not higher than the net sales price;</t>
    </r>
  </si>
  <si>
    <t>półprodukty i produkty w toku w wysokości bezpośrednich kosztów ich wytworzenia nie wyższych od cen sprzedaży netto</t>
  </si>
  <si>
    <t>Halbfertige und unfertige Erzeugnisse – zu direkten Herstellungskosten, die nicht höher als Nettoverkaufspreise sind.</t>
  </si>
  <si>
    <r>
      <rPr>
        <sz val="10"/>
        <rFont val="Arial"/>
        <family val="2"/>
      </rPr>
      <t>semi-finished goods and work-in-progress – at their direct production cost not higher than the net sales price.</t>
    </r>
  </si>
  <si>
    <t>Jako zasadę wyceny wartości rozchodu rzeczowych składników aktywów obrotowych przyjęto metodę "pierwsze przyszło – pierwsze wyszło".</t>
  </si>
  <si>
    <t>Die Abgänge an Vorräten werden nach dem FIFO-Verfahren bewertet.</t>
  </si>
  <si>
    <r>
      <rPr>
        <sz val="10"/>
        <rFont val="Arial"/>
        <family val="2"/>
      </rPr>
      <t>In order to value the disposal of tangible current assets, the first-in first-out method (FIFO) has been adopted.</t>
    </r>
  </si>
  <si>
    <t>Odpisy aktualizujące wartość zapasów są dokonywane raz do roku. Zapasy uznaje się za przeterminowane po trzech latach od momentu przyjęcia ich do ewidencji księgowej.</t>
  </si>
  <si>
    <t xml:space="preserve">Die Wertberichtigungen auf Vorräte werden einmal im Jahr vorgenommen. Die Vorräte gelten nach drei Jahren ab deren Erfassung in den Büchern als veraltet. </t>
  </si>
  <si>
    <r>
      <rPr>
        <sz val="10"/>
        <rFont val="Arial"/>
        <family val="2"/>
      </rPr>
      <t>Value adjustment write-downs of inventories are made annually. Inventories are regarded as overdue after three years from being entered in the accounting records.</t>
    </r>
  </si>
  <si>
    <t>Należności wykazywane są w wartości netto (pomniejszonej o odpis aktualizacyjny).</t>
  </si>
  <si>
    <t xml:space="preserve">Die Forderungen werden zu Nettobeträgen (gemindert um Wertberichtigung) ausgewiesen. </t>
  </si>
  <si>
    <r>
      <rPr>
        <sz val="10"/>
        <rFont val="Arial"/>
        <family val="2"/>
      </rPr>
      <t>Receivables are disclosed at the net value (less the value adjustment write-down).</t>
    </r>
  </si>
  <si>
    <t>Należności wykazywane są w kwocie wymaganej zapłaty.</t>
  </si>
  <si>
    <t>Die Forderungen werden zu Rückzahlungsbeträgen ausgewiesen.</t>
  </si>
  <si>
    <r>
      <rPr>
        <sz val="10"/>
        <rFont val="Arial"/>
        <family val="2"/>
      </rPr>
      <t>Receivables are disclosed at the amount due.</t>
    </r>
  </si>
  <si>
    <t>Odpisy aktualizujące tworzone są z uwzględnieniem stopnia ryzyka, jakie wiąże się z daną należnością według następujących zasad:</t>
  </si>
  <si>
    <t>Die Wertberichtigungen werden unter Berücksichtigung des Risikos vorgenommen, das mit der betreffenden Forderung verbunden ist, und zwar nach folgenden Grundsätzen:</t>
  </si>
  <si>
    <r>
      <rPr>
        <sz val="10"/>
        <rFont val="Arial"/>
        <family val="2"/>
      </rPr>
      <t>Value adjustment write-downs are made while taking into account the degree of the risk related to a given receivable, in accordance with the following principles:</t>
    </r>
  </si>
  <si>
    <t>Odpis należności przedawnionych następuje po okresie przewidzianym prawem.</t>
  </si>
  <si>
    <t>Die verjährten Forderungen werden nach dem hierfür gesetzlich vorgeschriebenen Zeitraum abgeschrieben.</t>
  </si>
  <si>
    <r>
      <rPr>
        <sz val="10"/>
        <rFont val="Arial"/>
        <family val="2"/>
      </rPr>
      <t>Time-barred debts are subject to a write-off after the period provided for by the law lapses.</t>
    </r>
  </si>
  <si>
    <t>Zobowiązania wyceniane są w kwocie wymagającej zapłaty.</t>
  </si>
  <si>
    <t>Die Verbindlichkeiten werden zu Rückzahlungsbeträgen bewertet.</t>
  </si>
  <si>
    <r>
      <rPr>
        <sz val="10"/>
        <rFont val="Arial"/>
        <family val="2"/>
      </rPr>
      <t>Liabilities are recognised at the amount due.</t>
    </r>
  </si>
  <si>
    <t>Zarząd proponuje …</t>
  </si>
  <si>
    <t>Die Geschäftsführung schlägt …. vor.</t>
  </si>
  <si>
    <t>Management Board suggests …</t>
  </si>
  <si>
    <t>Zobowiązania warunkowe wobec jednostek powiązanych:</t>
  </si>
  <si>
    <t>Eventualverbindlichkeiten gegenüber verbundenen Unternehmen:</t>
  </si>
  <si>
    <r>
      <rPr>
        <sz val="10"/>
        <rFont val="Arial"/>
        <family val="2"/>
      </rPr>
      <t>Contingent liabilities against related parties:</t>
    </r>
  </si>
  <si>
    <t>– z tytułu gwarancji i poręczeń</t>
  </si>
  <si>
    <t>– aus Garantien und Bürgschaften</t>
  </si>
  <si>
    <r>
      <rPr>
        <sz val="10"/>
        <rFont val="Arial"/>
        <family val="2"/>
      </rPr>
      <t>– guaranties and warranties</t>
    </r>
  </si>
  <si>
    <t>– z tytułu kaucji i wadiów</t>
  </si>
  <si>
    <t>– aus Kautionen und Vadien</t>
  </si>
  <si>
    <r>
      <rPr>
        <sz val="10"/>
        <rFont val="Arial"/>
        <family val="2"/>
      </rPr>
      <t>– deposits and bid securities</t>
    </r>
  </si>
  <si>
    <t>– z tytułu indosu weksli</t>
  </si>
  <si>
    <t>– aus Wechselindossament</t>
  </si>
  <si>
    <r>
      <rPr>
        <sz val="10"/>
        <rFont val="Arial"/>
        <family val="2"/>
      </rPr>
      <t>– bills of exchange endorsed</t>
    </r>
  </si>
  <si>
    <t>– z tytułu zawartych, lecz jeszcze nie wykonanych umów</t>
  </si>
  <si>
    <t>– aus den abgeschlossenen, aber noch nicht ausgeführten Verträgen</t>
  </si>
  <si>
    <r>
      <rPr>
        <sz val="10"/>
        <rFont val="Arial"/>
        <family val="2"/>
      </rPr>
      <t>– due from contracts concluded but not yet performed</t>
    </r>
  </si>
  <si>
    <t>– inne</t>
  </si>
  <si>
    <r>
      <rPr>
        <sz val="10"/>
        <rFont val="Arial"/>
        <family val="2"/>
      </rPr>
      <t>– other</t>
    </r>
  </si>
  <si>
    <t>Zobowiązania warunkowe wobec pozostałych jednostek, w których jednostka posiada zaangażowanie w kapitale:</t>
  </si>
  <si>
    <t>Eventualverbindlichkeiten gegenüber dritten Unternehmen, mit denen ein Beteiligungsverhältnis besteht:</t>
  </si>
  <si>
    <r>
      <rPr>
        <sz val="10"/>
        <rFont val="Arial"/>
        <family val="2"/>
      </rPr>
      <t>Contingent liabilities against third parties in which the entity has an equity interest:</t>
    </r>
  </si>
  <si>
    <t>w tym: dotyczące zobowiązań warunkowych w zakresie emerytur i podobnych świadczeń:</t>
  </si>
  <si>
    <t xml:space="preserve">darunter: Eventualverbindlichkeiten aus Pensionen und ähnlichen Leistungen: </t>
  </si>
  <si>
    <r>
      <rPr>
        <sz val="10"/>
        <rFont val="Arial"/>
        <family val="2"/>
      </rPr>
      <t>incl. contingent liabilities under retirement severance pays and similar benefits:</t>
    </r>
  </si>
  <si>
    <t>Zobowiązania warunkowe wobec jednostek pozostałych:</t>
  </si>
  <si>
    <t>Eventualverbindlichkeiten gegenüber dritten Unternehmen:</t>
  </si>
  <si>
    <r>
      <rPr>
        <sz val="10"/>
        <rFont val="Arial"/>
        <family val="2"/>
      </rPr>
      <t>Contingent liabilities against third parties:</t>
    </r>
  </si>
  <si>
    <r>
      <rPr>
        <sz val="10"/>
        <rFont val="Arial"/>
        <family val="2"/>
      </rPr>
      <t>Total</t>
    </r>
  </si>
  <si>
    <t>przychody nie podatkowe</t>
  </si>
  <si>
    <t>nicht steuerbare Einnahmen</t>
  </si>
  <si>
    <r>
      <rPr>
        <sz val="10"/>
        <rFont val="Arial"/>
        <family val="2"/>
      </rPr>
      <t>non-taxable revenues</t>
    </r>
  </si>
  <si>
    <t>rozwiązanie rezerw</t>
  </si>
  <si>
    <t>Auflösung der Rückstellungen</t>
  </si>
  <si>
    <r>
      <rPr>
        <sz val="10"/>
        <rFont val="Arial"/>
        <family val="2"/>
      </rPr>
      <t>reversal of provisions</t>
    </r>
  </si>
  <si>
    <t>odsetki naliczone</t>
  </si>
  <si>
    <t>berechnete Zinsen</t>
  </si>
  <si>
    <r>
      <rPr>
        <sz val="10"/>
        <rFont val="Arial"/>
        <family val="2"/>
      </rPr>
      <t>interest accrued</t>
    </r>
  </si>
  <si>
    <t>dywidendy otrzymane</t>
  </si>
  <si>
    <t>erhaltene Dividenden</t>
  </si>
  <si>
    <r>
      <rPr>
        <sz val="10"/>
        <rFont val="Arial"/>
        <family val="2"/>
      </rPr>
      <t>dividends received</t>
    </r>
  </si>
  <si>
    <t xml:space="preserve">różnice kursowe z wyceny rozrachunków </t>
  </si>
  <si>
    <t xml:space="preserve">Kursdifferenzen aus der Bewertung der Forderungen/Verbindlichkeiten </t>
  </si>
  <si>
    <r>
      <rPr>
        <sz val="10"/>
        <rFont val="Arial"/>
        <family val="2"/>
      </rPr>
      <t xml:space="preserve">gains (losses) from valuation of transactions </t>
    </r>
  </si>
  <si>
    <t xml:space="preserve">odpisy aktualizujące należności </t>
  </si>
  <si>
    <r>
      <rPr>
        <sz val="10"/>
        <rFont val="Arial"/>
        <family val="2"/>
      </rPr>
      <t xml:space="preserve">value adjustment write-downs of receivables </t>
    </r>
  </si>
  <si>
    <t xml:space="preserve">rezerwa na badanie bilansu </t>
  </si>
  <si>
    <t xml:space="preserve">Rückstellung für die Jahresabschlussprüfung </t>
  </si>
  <si>
    <r>
      <rPr>
        <sz val="10"/>
        <rFont val="Arial"/>
        <family val="2"/>
      </rPr>
      <t xml:space="preserve">provision for financial statements audit </t>
    </r>
  </si>
  <si>
    <t xml:space="preserve">rezerwa na urlopy </t>
  </si>
  <si>
    <t>Urlaubsrückstellung</t>
  </si>
  <si>
    <r>
      <rPr>
        <sz val="10"/>
        <rFont val="Arial"/>
        <family val="2"/>
      </rPr>
      <t xml:space="preserve">Provision for unused holiday leave </t>
    </r>
  </si>
  <si>
    <t xml:space="preserve">darowizna </t>
  </si>
  <si>
    <t>Schenkung</t>
  </si>
  <si>
    <r>
      <rPr>
        <sz val="10"/>
        <rFont val="Arial"/>
        <family val="2"/>
      </rPr>
      <t xml:space="preserve">donation </t>
    </r>
  </si>
  <si>
    <t>darowizny</t>
  </si>
  <si>
    <t>Schenkungen</t>
  </si>
  <si>
    <r>
      <rPr>
        <sz val="10"/>
        <rFont val="Arial"/>
        <family val="2"/>
      </rPr>
      <t>donations</t>
    </r>
  </si>
  <si>
    <t>przecena zapasów</t>
  </si>
  <si>
    <t>Neubewertung der Vorräte</t>
  </si>
  <si>
    <r>
      <rPr>
        <sz val="10"/>
        <rFont val="Arial"/>
        <family val="2"/>
      </rPr>
      <t>revaluation of inventories</t>
    </r>
  </si>
  <si>
    <t>odsetki budżetowe</t>
  </si>
  <si>
    <t>Zinsen gegenüber der öffentlichen Hand</t>
  </si>
  <si>
    <r>
      <rPr>
        <sz val="10"/>
        <rFont val="Arial"/>
        <family val="2"/>
      </rPr>
      <t>interest payable to state budget</t>
    </r>
  </si>
  <si>
    <t>odsetki od  kredytu</t>
  </si>
  <si>
    <r>
      <rPr>
        <sz val="10"/>
        <rFont val="Arial"/>
        <family val="2"/>
      </rPr>
      <t>bank loan interest</t>
    </r>
  </si>
  <si>
    <t xml:space="preserve">przekroczenie limitu reprezentacji i reklamy </t>
  </si>
  <si>
    <t>Überschreitung des Limits für Repräsentation und Werbung</t>
  </si>
  <si>
    <r>
      <rPr>
        <sz val="10"/>
        <rFont val="Arial"/>
        <family val="2"/>
      </rPr>
      <t xml:space="preserve">expenses for official entertainment and advertising, above limit </t>
    </r>
  </si>
  <si>
    <t>VAT nkup</t>
  </si>
  <si>
    <t>Umsatzsteuer – nicht abzugsfähig</t>
  </si>
  <si>
    <r>
      <rPr>
        <sz val="10"/>
        <rFont val="Arial"/>
        <family val="2"/>
      </rPr>
      <t>VAT non-tax-deductible</t>
    </r>
  </si>
  <si>
    <t>niewypłacone umowy zlecenia (+ ZUS)</t>
  </si>
  <si>
    <t>nicht ausbezahlte Auftragsverträge (+ Sozialabgaben)</t>
  </si>
  <si>
    <r>
      <rPr>
        <sz val="10"/>
        <rFont val="Arial"/>
        <family val="2"/>
      </rPr>
      <t>remuneration under contracts of mandate, unpaid (+ ZUS)</t>
    </r>
  </si>
  <si>
    <t>amortyzacja</t>
  </si>
  <si>
    <t>Abschreibung</t>
  </si>
  <si>
    <r>
      <rPr>
        <sz val="10"/>
        <rFont val="Arial"/>
        <family val="2"/>
      </rPr>
      <t>depreciation and amortisation</t>
    </r>
  </si>
  <si>
    <t>PFRON</t>
  </si>
  <si>
    <t>Behindertenfonds</t>
  </si>
  <si>
    <r>
      <rPr>
        <sz val="10"/>
        <rFont val="Arial"/>
        <family val="2"/>
      </rPr>
      <t>State Fund for Rehabilitation of the Disabled (PFRON)</t>
    </r>
  </si>
  <si>
    <t>rezerwy na roszczenia sporne</t>
  </si>
  <si>
    <t>Rückstellungen für strittige Ansprüche</t>
  </si>
  <si>
    <r>
      <rPr>
        <sz val="10"/>
        <rFont val="Arial"/>
        <family val="2"/>
      </rPr>
      <t>provisions for disputable claims</t>
    </r>
  </si>
  <si>
    <t>pozostałe</t>
  </si>
  <si>
    <r>
      <rPr>
        <sz val="10"/>
        <rFont val="Arial"/>
        <family val="2"/>
      </rPr>
      <t>other</t>
    </r>
  </si>
  <si>
    <t>zapłacone odsetki od kredytów</t>
  </si>
  <si>
    <t>bezahlte Kreditzinsen</t>
  </si>
  <si>
    <r>
      <rPr>
        <sz val="10"/>
        <rFont val="Arial"/>
        <family val="2"/>
      </rPr>
      <t>bank loan interest, paid</t>
    </r>
  </si>
  <si>
    <t>wypłacone umowy zlecenia</t>
  </si>
  <si>
    <t>ausbezahlte Auftragsverträge</t>
  </si>
  <si>
    <r>
      <rPr>
        <sz val="10"/>
        <rFont val="Arial"/>
        <family val="2"/>
      </rPr>
      <t>dues under contracts of mandate, paid</t>
    </r>
  </si>
  <si>
    <t>utworzenie rezerwy podatkowej</t>
  </si>
  <si>
    <t>Zuführung zu Steuerrückstellung</t>
  </si>
  <si>
    <r>
      <rPr>
        <sz val="10"/>
        <rFont val="Arial"/>
        <family val="2"/>
      </rPr>
      <t>tax provision, made</t>
    </r>
  </si>
  <si>
    <t>straty z lat ubiegłych</t>
  </si>
  <si>
    <t>Verlustvorträge</t>
  </si>
  <si>
    <r>
      <rPr>
        <sz val="10"/>
        <rFont val="Arial"/>
        <family val="2"/>
      </rPr>
      <t>accumulated loss carried forward</t>
    </r>
  </si>
  <si>
    <t>Kursy przyjęte do wyceny pozycji bilansu oraz rachunku zysków i strat wyrażonych w walutach obcych</t>
  </si>
  <si>
    <t>Umrechnungskurse für die Bewertung der in Fremdwährung ausgedrückten Positionen der Bilanz sowie der Gewinn- und Verlustrechnung</t>
  </si>
  <si>
    <r>
      <rPr>
        <sz val="10"/>
        <rFont val="Arial"/>
        <family val="2"/>
      </rPr>
      <t>Foreign exchange rates assumed for valuation of balance sheet items and income statement items denominated in foreign currencies</t>
    </r>
  </si>
  <si>
    <r>
      <rPr>
        <sz val="10"/>
        <rFont val="Arial"/>
        <family val="2"/>
      </rPr>
      <t>(indirect method)</t>
    </r>
  </si>
  <si>
    <t>Grupa 1</t>
  </si>
  <si>
    <t>Gruppe 1</t>
  </si>
  <si>
    <r>
      <rPr>
        <sz val="10"/>
        <rFont val="Arial"/>
        <family val="2"/>
      </rPr>
      <t>Group 1</t>
    </r>
  </si>
  <si>
    <t>Grupa 2</t>
  </si>
  <si>
    <t>Gruppe 2</t>
  </si>
  <si>
    <r>
      <rPr>
        <sz val="10"/>
        <rFont val="Arial"/>
        <family val="2"/>
      </rPr>
      <t>Group 2</t>
    </r>
  </si>
  <si>
    <t>Grupa 3</t>
  </si>
  <si>
    <t>Gruppe 3</t>
  </si>
  <si>
    <r>
      <rPr>
        <sz val="10"/>
        <rFont val="Arial"/>
        <family val="2"/>
      </rPr>
      <t>Group 3</t>
    </r>
  </si>
  <si>
    <t>Grupa 4</t>
  </si>
  <si>
    <t>Gruppe 4</t>
  </si>
  <si>
    <r>
      <rPr>
        <sz val="10"/>
        <rFont val="Arial"/>
        <family val="2"/>
      </rPr>
      <t>Group 4</t>
    </r>
  </si>
  <si>
    <t>Grupa 5</t>
  </si>
  <si>
    <t>Gruppe 5</t>
  </si>
  <si>
    <r>
      <rPr>
        <sz val="10"/>
        <rFont val="Arial"/>
        <family val="2"/>
      </rPr>
      <t>Group 5</t>
    </r>
  </si>
  <si>
    <t>Grupa 6</t>
  </si>
  <si>
    <t>Gruppe 6</t>
  </si>
  <si>
    <r>
      <rPr>
        <sz val="10"/>
        <rFont val="Arial"/>
        <family val="2"/>
      </rPr>
      <t>Group 6</t>
    </r>
  </si>
  <si>
    <t>Grupa 7</t>
  </si>
  <si>
    <t>Gruppe 7</t>
  </si>
  <si>
    <r>
      <rPr>
        <sz val="10"/>
        <rFont val="Arial"/>
        <family val="2"/>
      </rPr>
      <t>Group 7</t>
    </r>
  </si>
  <si>
    <t>Pożyczka 1</t>
  </si>
  <si>
    <t>Darlehen 1</t>
  </si>
  <si>
    <r>
      <rPr>
        <sz val="10"/>
        <rFont val="Arial"/>
        <family val="2"/>
      </rPr>
      <t>Loan 1</t>
    </r>
  </si>
  <si>
    <t>Pożyczka 2</t>
  </si>
  <si>
    <t>Darlehen 2</t>
  </si>
  <si>
    <r>
      <rPr>
        <sz val="10"/>
        <rFont val="Arial"/>
        <family val="2"/>
      </rPr>
      <t>Loan 2</t>
    </r>
  </si>
  <si>
    <t xml:space="preserve">Nazwa, adres siedziby zarządu lub siedziby statutowej jednostki oraz forma prawna każdej z jednostek, których dana jednostka jest wspólnikiem ponoszącym nieograniczoną odpowiedzialność majątkową </t>
  </si>
  <si>
    <t>Name, Adresse der Geschäftsleitung oder satzungsmäßiger Sitz der Gesellschaft sowie Rechtsform der jeweiligen Gesellschaft, in der die betreffende Gesellschaft persönlich haftender Gesellschafter ist</t>
  </si>
  <si>
    <t>Name, address of the management or registered office of the entity and the legal form of each entity in which the Company is a shareholder or partner liable with all its assets</t>
  </si>
  <si>
    <t>Informacje o cenie przejęcia i wartości firmy</t>
  </si>
  <si>
    <t>Informationen über den Übernahmepreis und den Geschäfts- oder Firmenwert</t>
  </si>
  <si>
    <r>
      <rPr>
        <sz val="10"/>
        <rFont val="Arial"/>
        <family val="2"/>
        <charset val="238"/>
      </rPr>
      <t>Information on acquisition cost and goodwill</t>
    </r>
  </si>
  <si>
    <r>
      <rPr>
        <sz val="10"/>
        <rFont val="Arial"/>
        <family val="2"/>
      </rPr>
      <t>Item</t>
    </r>
  </si>
  <si>
    <t>Cena przejęcia</t>
  </si>
  <si>
    <t>Übernahmepreis</t>
  </si>
  <si>
    <r>
      <rPr>
        <sz val="10"/>
        <rFont val="Arial"/>
        <family val="2"/>
      </rPr>
      <t>Acquisition cost</t>
    </r>
  </si>
  <si>
    <t>Wartość aktywów netto</t>
  </si>
  <si>
    <t>Wert des Nettovermögens</t>
  </si>
  <si>
    <r>
      <rPr>
        <sz val="10"/>
        <rFont val="Arial"/>
        <family val="2"/>
      </rPr>
      <t>Net assets by value</t>
    </r>
  </si>
  <si>
    <t>Wartość firmy/Ujemna wartość firmy</t>
  </si>
  <si>
    <t>Geschäfts- oder Firmenwert/Negativer Geschäfts- oder Firmenwert</t>
  </si>
  <si>
    <r>
      <rPr>
        <sz val="10"/>
        <rFont val="Arial"/>
        <family val="2"/>
      </rPr>
      <t>Goodwill / Negative goodwill</t>
    </r>
  </si>
  <si>
    <t>Spółka X</t>
  </si>
  <si>
    <t>Gesellschaft X</t>
  </si>
  <si>
    <r>
      <rPr>
        <sz val="10"/>
        <rFont val="Arial"/>
        <family val="2"/>
      </rPr>
      <t>Company X</t>
    </r>
  </si>
  <si>
    <t>Spółka Y</t>
  </si>
  <si>
    <t>Gesellschaft Y</t>
  </si>
  <si>
    <r>
      <rPr>
        <sz val="10"/>
        <rFont val="Arial"/>
        <family val="2"/>
      </rPr>
      <t>Company Y</t>
    </r>
  </si>
  <si>
    <t>Opis metody amortyzacji wartości firmy.</t>
  </si>
  <si>
    <t>Beschreibung der Grundsätze der Abschreibung des Geschäfts- oder Firmenwertes</t>
  </si>
  <si>
    <r>
      <rPr>
        <sz val="10"/>
        <rFont val="Arial"/>
        <family val="2"/>
      </rPr>
      <t>Description of goodwill amortisation method.</t>
    </r>
  </si>
  <si>
    <t xml:space="preserve">w Sądzie Rejonowym dla ……………., ………... Wydział Gospodarczy Krajowego Rejestru Sądowego, numer rejestru ………….. </t>
  </si>
  <si>
    <t xml:space="preserve">beim Amtsgericht ……………., ………... Wirtschaftsabteilung des Landesgerichtsregisters, unter der Nummer ………….. </t>
  </si>
  <si>
    <r>
      <rPr>
        <sz val="10"/>
        <rFont val="Arial"/>
        <family val="2"/>
      </rPr>
      <t xml:space="preserve">in the District Court for ……………., ………... Commercial Division of the National Court Register, under number ………….. </t>
    </r>
  </si>
  <si>
    <t>Podstawą działalności Spółki jest umowa Spółki z dnia ……………..,  sporządzona w (nawa kancelarii) w (miasto) pod sygnaturą akt Repertorium ……………. wraz z późniejszymi zmianami.</t>
  </si>
  <si>
    <t>Die gesellschaftsrechtlichen Verhältnisse sind im Gesellschaftsvertrag in der Fassung vom  …………….., mit späteren Änderungen, geregelt. Der Gesellschaftsvertrag wurde in (Notarkanzlei) in (Stadt) unter der Urkundenrolle ……………. geschlossen.</t>
  </si>
  <si>
    <r>
      <rPr>
        <sz val="10"/>
        <rFont val="Arial"/>
        <family val="2"/>
      </rPr>
      <t>The Company conducts its business activity on the basis of the Articles of Association dated …………….., drawn up in the notary office in (location), and recorded in Register no. ……………., as amended.</t>
    </r>
  </si>
  <si>
    <t>Kapitał zakładowy Spółki  wynosi PLN ………….... Składa się z ………. udziałów o wartości nominalnej PLN ………. każdy.</t>
  </si>
  <si>
    <t>Das gezeichnete Kapital beträgt  …………… PLN. Es ist aufgeteilt in ………. Anteile mit einem Nennwert von je ………… PLN.</t>
  </si>
  <si>
    <r>
      <rPr>
        <sz val="10"/>
        <rFont val="Arial"/>
        <family val="2"/>
      </rPr>
      <t>The Company’s share capital amounts to PLN ………….... It consists of ………. shares in the nominal value of PLN ………. each.</t>
    </r>
  </si>
  <si>
    <t>Kapitał zakładowy Spółki  wynosi PLN ………….... Składa się z ………. akcji o wartości nominalnej PLN ………. każdy.</t>
  </si>
  <si>
    <t>Das gezeichnete Kapital beträgt …………..... PLN. Es ist aufgeteilt in ………. Aktien mit einem Nennwert von je ………… PLN.</t>
  </si>
  <si>
    <t>Das gezeichnete Kapital beträgt …………..... PLN. Es ist aufgeteilt in ………. Anteile mit einem Nennwert von je ………… PLN.</t>
  </si>
  <si>
    <t>Pan/Pani</t>
  </si>
  <si>
    <t>Herrn/Frau</t>
  </si>
  <si>
    <r>
      <rPr>
        <sz val="10"/>
        <rFont val="Arial"/>
        <family val="2"/>
      </rPr>
      <t>Mr/Ms</t>
    </r>
  </si>
  <si>
    <t>Nazwa oddziału</t>
  </si>
  <si>
    <t>Name der Niederlassung</t>
  </si>
  <si>
    <r>
      <rPr>
        <sz val="10"/>
        <rFont val="Arial"/>
        <family val="2"/>
      </rPr>
      <t>Branch name</t>
    </r>
  </si>
  <si>
    <t>Adres oddziału</t>
  </si>
  <si>
    <t>Adresse der Niederlassung</t>
  </si>
  <si>
    <r>
      <rPr>
        <sz val="10"/>
        <rFont val="Arial"/>
        <family val="2"/>
      </rPr>
      <t>Branch address</t>
    </r>
  </si>
  <si>
    <t>Spółka uzyskuje przychody ze sprzedaży usług na terenie kraju i/lub za granicą.</t>
  </si>
  <si>
    <t>Die Gesellschaft erzielt die Erträge aus dem Verkauf der Dienstleistungen im Inland und/oder Ausland</t>
  </si>
  <si>
    <r>
      <rPr>
        <sz val="10"/>
        <rFont val="Arial"/>
        <family val="2"/>
      </rPr>
      <t>The Company earns revenue from sale of services in Poland and/or abroad.</t>
    </r>
  </si>
  <si>
    <t>Spółka uzyskała w analizowanym okresie wynik netto w wysokości PLN …………..., na który składa się w szczególności ………………….</t>
  </si>
  <si>
    <t>Im Prüfungszeitraum erzielte die Gesellschaft ein Jahresergebnis i.H.v. … PLN, das sich insbesondere wie folgt zusammensetzt: … .</t>
  </si>
  <si>
    <r>
      <rPr>
        <sz val="10"/>
        <rFont val="Arial"/>
        <family val="2"/>
      </rPr>
      <t>In the period under consideration, the Company earned the net profit of PLN …………... made up in particular of ………………….</t>
    </r>
  </si>
  <si>
    <t>The employment in the Company as of " &amp; dzb &amp; " amounted to …………… persons/person</t>
  </si>
  <si>
    <t xml:space="preserve">Znane naszej spółce fakty, z których najistotniejsze zostały przedstawione w niniejszym sprawozdaniu, wskazują, że sytuacja spółki nie budzi obaw, co do funkcjonowania w dającej się przewidzieć przyszłości. </t>
  </si>
  <si>
    <t>Die unserer Gesellschaft bekannten Sachverhalte, deren wichtigste Aspekte im vorliegenden Lagebericht dargestellt wurden, deuten darauf hin, dass die Lage der Gesellschaft keine Bedenken hinsichtlich der Unternehmensfortführung in absehbarer Zukunft aufkommen lässt.</t>
  </si>
  <si>
    <r>
      <rPr>
        <sz val="10"/>
        <rFont val="Arial"/>
        <family val="2"/>
      </rPr>
      <t xml:space="preserve">The facts and circumstances we are aware of, the most important of which are outlined in this report, indicate that there are no threats to the Company's operations in the foreseeable future. </t>
    </r>
  </si>
  <si>
    <t>Pomimo trwającej na rynku dekoniunktury nie występują zjawiska, które mogłyby świadczyć o zagrożeniu kontynuacji działalności spółki ani o ograniczeniu jej skali, a zachodzące zmiany wskazują na kontynuowanie rozwoju.</t>
  </si>
  <si>
    <t>Trotz des Konjunkturrückgangs treten keine Symptome auf, die von einer Bedrohung der Unternehmensfortführung oder der Einschränkung ihres Umfangs zeugen würden, und die erfolgten Änderungen weisen auf die Fortsetzung der Entwicklung hin.</t>
  </si>
  <si>
    <t>Despite the economic recession there are no signs indicating any threats to the Company's ability to continue as a going concern or to limitation of the size of its operations, and all changes suggest that it would continue its development.</t>
  </si>
  <si>
    <t>Imię i nazwisko</t>
  </si>
  <si>
    <t>Vor- und Nachname</t>
  </si>
  <si>
    <r>
      <rPr>
        <sz val="10"/>
        <rFont val="Arial"/>
        <family val="2"/>
      </rPr>
      <t>Full name</t>
    </r>
  </si>
  <si>
    <t>członek zarządu</t>
  </si>
  <si>
    <t>Vorstand und Vertretung</t>
  </si>
  <si>
    <r>
      <rPr>
        <sz val="10"/>
        <rFont val="Arial"/>
        <family val="2"/>
      </rPr>
      <t>Management Board and representation</t>
    </r>
  </si>
  <si>
    <r>
      <rPr>
        <sz val="10"/>
        <rFont val="Arial"/>
        <family val="2"/>
      </rPr>
      <t>including interest and capitalised foreign exchange gains (losses) on liabilities incurred to finance them</t>
    </r>
  </si>
  <si>
    <r>
      <rPr>
        <sz val="10"/>
        <rFont val="Arial"/>
        <family val="2"/>
      </rPr>
      <t>revenue from sale of finished goods, merchandise and raw materials, and financial income</t>
    </r>
  </si>
  <si>
    <r>
      <rPr>
        <sz val="10"/>
        <rFont val="Arial"/>
        <family val="2"/>
      </rPr>
      <t>annual average employment</t>
    </r>
  </si>
  <si>
    <t>CZYNNIKI RYZYKA ZWIĄZANE Z PROWADZONĄ DZIAŁALNOŚCIĄ</t>
  </si>
  <si>
    <t xml:space="preserve">RISIKOFAKTOREN IM RAHMEN DER GEWERBETÄTIGKEIT </t>
  </si>
  <si>
    <r>
      <rPr>
        <sz val="10"/>
        <rFont val="Arial"/>
        <family val="2"/>
      </rPr>
      <t>RISK FACTORS RELATED TO BUSINESS ACTIVITY</t>
    </r>
  </si>
  <si>
    <t>Opis ryzyk na jakie narażona jest jednostka (zmiany cen, kredytowego, istotnych zakłóceń przepływów środków pieniężnych oraz utraty płynności finansowej).</t>
  </si>
  <si>
    <t>Beschreibung der Risiken, denen die Gesellschaft ausgesetzt ist (Preisänderungs- oder Kreditrisiko sowie Risiko wesentlicher Kapitalflussstörungen oder einer Liquiditätseinbuße).</t>
  </si>
  <si>
    <r>
      <rPr>
        <sz val="10"/>
        <rFont val="Arial"/>
        <family val="2"/>
      </rPr>
      <t>Description of the risks (price fluctuation risk, credit risk, substantial cash flow disruptions and loss of liquidity) to which the Company is exposed.</t>
    </r>
  </si>
  <si>
    <t>Opis przyjętych przez jednostkę celów i metod zarządzania ryzykiem finansowym, łącznie z metodami zabezpieczenia istotnych rodzajów planowanych transakcji, dla których stosowana jest rachunkowość zabezpieczeń.</t>
  </si>
  <si>
    <t xml:space="preserve">Beschreibung der von der Gesellschaft angewandten Zwecke und Methoden des Finanzrisikomanagements, einschließlich der Methoden zur Sicherung wesentlicher Arten geplanter Geschäfte, auf die die Bilanzierung von Sicherungsgeschäften Anwendung findet. </t>
  </si>
  <si>
    <r>
      <rPr>
        <sz val="10"/>
        <rFont val="Arial"/>
        <family val="2"/>
      </rPr>
      <t>Description of the goals and methods adopted by the Company to manage the financial risk, including the methods to secure important types of the planned transactions to which the hedging accounting is applied.</t>
    </r>
  </si>
  <si>
    <t>Informacje o celu nabycia udziałów (akcji) własnych, liczbie i wartości nominalnej, ze wskazaniem, jaką część kapitału zakładowego reprezentują oraz cenie nabycia i cenie sprzedaży w przypadku ich zbycia.</t>
  </si>
  <si>
    <t>Informationen über den Zweck des Erwerbs eigener Anteile (Aktien), die Zahl und den Nennwert, unter Angabe des Teils des gezeichneten Kapitals, den sie darstellen, sowie über den Kauf- und Verkaufspreis bei ihrer Veräußerung.</t>
  </si>
  <si>
    <r>
      <rPr>
        <sz val="10"/>
        <rFont val="Arial"/>
        <family val="2"/>
      </rPr>
      <t>Information on the purpose of purchase of treasury shares, their number and nominal value, including the amount of the share capital they represent, and their acquisition cost and sales price if they are disposed of.</t>
    </r>
  </si>
  <si>
    <t>Należy ująć informację o stosowaniu ładu korporacyjnego w przypadku jednostek, których papiery wartościowe zostały dopuszczone do obrotu na jednym z rynków regulowanych Europejskiego Obszaru Gospodarczego.</t>
  </si>
  <si>
    <t>Informationen über die Anwendung der Grundsätze der Konzernordnung bei Gesellschaften, deren Wertpapiere auf einem der regulierten Märkte des Europäischen Wirtschaftsraums zum Handel zugelassen sind.</t>
  </si>
  <si>
    <r>
      <rPr>
        <sz val="10"/>
        <rFont val="Arial"/>
        <family val="2"/>
      </rPr>
      <t>The information on applying the corporate governance principles should be provided with respect to the entities whose securities have been admitted for trading in one of the regulated markets of the European Economic Area.</t>
    </r>
  </si>
  <si>
    <t>nota do CIT</t>
  </si>
  <si>
    <t>B. Przychody zwolnione z opodatkowania (trwałe różnice pomiędzy zyskiem/stratą dla celów rachunkowych a dochodem/stratą dla celów podatkowych), w tym:</t>
  </si>
  <si>
    <t>B. Steuerbefreit Einnahmen (dauerhafte Differenzen zwischen dem Gewinn/Verlust für handelsrechtliche Zwecke und dem Einkommen/Verlust für steuerliche Zwecke), darunter:</t>
  </si>
  <si>
    <t>B. Tax-exempt revenues (permanent differences between the profit/loss for accounting purposes and the income/loss for tax purposes, of which:</t>
  </si>
  <si>
    <t>Dotacje, subwencje na zakup ŚT, WNiP</t>
  </si>
  <si>
    <t>Zuschüsse, Zuwendungen für den Einkauf von Sachanlagen, immateriellen Vermögensgegenständen und Rechten</t>
  </si>
  <si>
    <t>Grants and subsidies for the purchase of tangible and intangible assets</t>
  </si>
  <si>
    <t>Dywidenda</t>
  </si>
  <si>
    <t>Dividende</t>
  </si>
  <si>
    <t>Dividend</t>
  </si>
  <si>
    <t>Rożnice kursowe od podatku VAT</t>
  </si>
  <si>
    <t>Kursdifferenzen bei der Umsatzsteuer</t>
  </si>
  <si>
    <t>Foreign exchange gains(losses) on VAT</t>
  </si>
  <si>
    <t>Otrzymane odsetki budżetowe oraz od nadpłaconych zobowiązań podatkowych</t>
  </si>
  <si>
    <t>Von der Staatskasse erhaltene Zinsen auf überzahlte  Steuerverbindlichkeiten</t>
  </si>
  <si>
    <t>Interest received from state budget and interest on tax overpayments</t>
  </si>
  <si>
    <t>C. Przychody niepodlegające opodatkowania w roku bieżącym, w tym:</t>
  </si>
  <si>
    <t>Różnice kursowe dodatnie niezrealizowane</t>
  </si>
  <si>
    <t>Nicht realisierte Kursgewinne</t>
  </si>
  <si>
    <t xml:space="preserve">Unrealised foreign exchange gains </t>
  </si>
  <si>
    <t>Rozwiązane rezerwy na koszty utworzone w latach ubiegłych</t>
  </si>
  <si>
    <t>Aufgelöste Rückstellungen für Aufwendungen, die in den Vorjahren gebildet wurden</t>
  </si>
  <si>
    <t>Reversal of provisions made for costs in previous years</t>
  </si>
  <si>
    <t>Faktury korygujące wystawione w następnym roku podatkowym</t>
  </si>
  <si>
    <t>Im nächsten Steuerjahr ausgestellte Korrekturrechnungen</t>
  </si>
  <si>
    <t xml:space="preserve">Correcting invoices issued in the following tax year </t>
  </si>
  <si>
    <t>Utworzone rezerwy na przychody</t>
  </si>
  <si>
    <t>Beträge, welche die Erträge für Buchhaltungszwecke erhöhen</t>
  </si>
  <si>
    <r>
      <rPr>
        <sz val="10"/>
        <rFont val="Arial"/>
        <family val="2"/>
        <charset val="238"/>
      </rPr>
      <t>Amounts increasing the revenue for accounting purposes</t>
    </r>
    <r>
      <rPr>
        <sz val="10"/>
        <color rgb="FFFF0000"/>
        <rFont val="Arial"/>
        <family val="2"/>
        <charset val="238"/>
      </rPr>
      <t xml:space="preserve"> </t>
    </r>
  </si>
  <si>
    <t>Bilansowa aktualizacja wartośći aktywów trwałych</t>
  </si>
  <si>
    <t>Bilanzielle Neubewertung der langfristigen Vermögenswerte</t>
  </si>
  <si>
    <t>Balance sheet value adjustment of non-current assets</t>
  </si>
  <si>
    <t>Bilansowa aktualizacja wartośći aktywów finansowych</t>
  </si>
  <si>
    <t>Bilanzielle Neubewertung der finanziellen Vermögenswerte</t>
  </si>
  <si>
    <t>Balance sheet value adjustment of financial assets</t>
  </si>
  <si>
    <t>Pobrane wpłaty lub zarachowane należności na poczet dostaw towarów i usług, które zostaną wykonane w następnych okresach sprawozdawczych, a także otrzymane lub zwrócone pożyczki (kredyty)</t>
  </si>
  <si>
    <t>Erhaltene Zahlungen oder angerechnete Forderungen auf Lieferungen von Waren und Dienstleistungen, die in nachfolgenden Berichtszeiträumen ausgeführt werden, sowie erhaltene bzw. zurückgezahlte Darlehen (Kredite)</t>
  </si>
  <si>
    <t>Payments received or receivables recognised on account of goods and services to be supplied in future periods, and loans and credit facilities received or repaid</t>
  </si>
  <si>
    <t>Naliczone odsetki</t>
  </si>
  <si>
    <t>Berechnete Zinsen</t>
  </si>
  <si>
    <t>Accrued interest</t>
  </si>
  <si>
    <t>Rozwiązanie odpisu na należności</t>
  </si>
  <si>
    <t>Auflösung der Wertberichtigung auf Forderungen</t>
  </si>
  <si>
    <t>Value-adjustment write-down of receivables, reversed</t>
  </si>
  <si>
    <t>D. Przychody podlegające opodatkowania w roku bieżącym, ujęte w księgach rachunkowych lat ubiegłych w tym:</t>
  </si>
  <si>
    <t>D. Taxable revenues in the current year, entered in the books of account for previous years, of which:</t>
  </si>
  <si>
    <t>Faktury korygujące przychody wystawione w bieżącym roku obrotowym, a dotyczące roku poprzedniego</t>
  </si>
  <si>
    <t>Im laufenden Geschäftsjahr ausgestellte, aber das Vorjahr betreffende Rechnungen, welche die Erträge korrigieren</t>
  </si>
  <si>
    <t xml:space="preserve">Revenue amending invoices issued in the current financial year but referring to the previous financial year  </t>
  </si>
  <si>
    <t>Odsetki naliczone w roku poprzednim otrzymane w roku bieżącym</t>
  </si>
  <si>
    <t>Im Vorjahr berechnete und im laufenden Jahr erhaltene Zinsen</t>
  </si>
  <si>
    <t xml:space="preserve">Interest accrued in the previous year, received in the current year </t>
  </si>
  <si>
    <t>Zafakturowane szacunki przychodów</t>
  </si>
  <si>
    <t>In Rechnung gestellte geschätzte Einnahmen</t>
  </si>
  <si>
    <t>Estimated invoiced revenue</t>
  </si>
  <si>
    <t>Otrzymane nieodpłatne świadczenia</t>
  </si>
  <si>
    <t>Erhaltene unentgeltliche Leistungen</t>
  </si>
  <si>
    <t>Goods and services received free of charge</t>
  </si>
  <si>
    <t>E. Koszty niestanowiące kosztów uzyskania przychodów (trwałe różnice pomiędzy zyskiem/stratą dla celów rachunkowych a dochodem/stratą dla celów podatkowych), w tym:</t>
  </si>
  <si>
    <t>E. Nicht steuerlich abzugsfähige Betriebsausgaben (dauerhafte Differenzen zwischen dem Gewinn/Verlust für handelsrechtliche Zwecke und dem Einkommen/Verlust für steuerliche Zwecke), darunter:</t>
  </si>
  <si>
    <t>E. Non-tax-deductible costs (permanent differences between the profit/loss for accounting purposes and the income/loss for tax purposes, of which:</t>
  </si>
  <si>
    <t xml:space="preserve">Koszty dotyczące samochodów wynajmowanych powyżej limitu </t>
  </si>
  <si>
    <t>Aufwendungen für gemietete Fahrzeuge, die die gesetzlichen Limits überschreiten</t>
  </si>
  <si>
    <t xml:space="preserve">Car rental costs above the applicable mileage limit </t>
  </si>
  <si>
    <t>Koszty używania samochodów osobowych do celów mieszanych (25%)</t>
  </si>
  <si>
    <t>Kosten der Nutzung von PKW für Mischzwecke (25%)</t>
  </si>
  <si>
    <t>Costs of using passenger cars for mixed purposes (25%)</t>
  </si>
  <si>
    <t>State Fund for Rehabilitation of the Disabled (PFRON)</t>
  </si>
  <si>
    <t>Przekazane darowizny</t>
  </si>
  <si>
    <t>Übergebene Schenkungen</t>
  </si>
  <si>
    <t>Donations granted</t>
  </si>
  <si>
    <t>Składki członkowskie</t>
  </si>
  <si>
    <t>Mitgliedsbeiträge</t>
  </si>
  <si>
    <t>Membership fees</t>
  </si>
  <si>
    <t>Diety powyżej limitów</t>
  </si>
  <si>
    <t>Über die Obergrenzen hinausgehenden Spesen</t>
  </si>
  <si>
    <t>Travel allowances above the applicable limits</t>
  </si>
  <si>
    <t>Ubezpieczenie samochodu o wartości powyżej 150 TPLN</t>
  </si>
  <si>
    <t>Versicherung des Fahrzeugs im Wert von über 150 TPLN</t>
  </si>
  <si>
    <t>Insurance of a car worth over PLN 150 000;</t>
  </si>
  <si>
    <t>Amortyzacja samochodów osobowych o wartości powyżej 150 TPLN</t>
  </si>
  <si>
    <t>Abschreibungen auf PKW im Wert von über 150 TPLN</t>
  </si>
  <si>
    <t>Depreciation of passenger cars worth over PLN 150 000;</t>
  </si>
  <si>
    <t>Amortyzacja bilansowa odmiennie rozliczana od amortyzacji podatkowej</t>
  </si>
  <si>
    <t>bilanzielle Abschreibung, die anders als steuerliche Abschreibung abgerechnet wird</t>
  </si>
  <si>
    <t>Accounting depreciation accounted for differently from tax depreciation</t>
  </si>
  <si>
    <t>Koszty reprezentacji</t>
  </si>
  <si>
    <t>Costs of official entertainment</t>
  </si>
  <si>
    <t>Kary umowne oraz odszkodowania za nieterminowe dostawy</t>
  </si>
  <si>
    <t>Vertragsstrafen und Entschädigungen für nicht termingemäße Lieferungen</t>
  </si>
  <si>
    <t>Contractual penalties and late delivery damages</t>
  </si>
  <si>
    <t>Odsetki budżetowe</t>
  </si>
  <si>
    <t>Zinsen an die Staatskasse</t>
  </si>
  <si>
    <t>Interest payable to state budget</t>
  </si>
  <si>
    <t>Koszty finansowania dłużnego</t>
  </si>
  <si>
    <t>Kosten der Fremdfinanzierung</t>
  </si>
  <si>
    <t>Debt financing costs</t>
  </si>
  <si>
    <t>Odpisy aktualizujące aktywa trwałe</t>
  </si>
  <si>
    <t>Wertberichtigungen auf langfristige Vermögenswerte</t>
  </si>
  <si>
    <t>Value adjustment write-downs of non-current assets</t>
  </si>
  <si>
    <t>Wertberichtigungen auf Vorräte</t>
  </si>
  <si>
    <t>Value-adjustment write-downs of receivables</t>
  </si>
  <si>
    <t>Odpisy aktualizujące aktywa finansowe</t>
  </si>
  <si>
    <t>Wertberichtigungen auf finanzielle Vermögenswerte</t>
  </si>
  <si>
    <t>Value adjustment write-downs of financial assets</t>
  </si>
  <si>
    <t>Różnice kursowe ujemne niezrealizowane</t>
  </si>
  <si>
    <t>Nicht realisierte Kursverluste</t>
  </si>
  <si>
    <t xml:space="preserve">Unrealised foreign exchange losses </t>
  </si>
  <si>
    <t>Nieopłacone do ZUS składki - narzuty na wynagrodzenia</t>
  </si>
  <si>
    <t>Nicht beglichene Sozialabgaben - Aufschläge auf Löhne und Gehälter</t>
  </si>
  <si>
    <t xml:space="preserve">Social security (ZUS) contributions unpaid - payroll-related charges </t>
  </si>
  <si>
    <t>Niewypłacone w terminie wynagrodzenia</t>
  </si>
  <si>
    <t>Nicht termingemäß ausbezahlte Löhne und Gehälter</t>
  </si>
  <si>
    <t xml:space="preserve">Wages and salaries not paid on time </t>
  </si>
  <si>
    <t>Utworzone rezerwy</t>
  </si>
  <si>
    <t>Gebildete Rückstellungen</t>
  </si>
  <si>
    <t>Provisions made</t>
  </si>
  <si>
    <t>Niewypłacone diety</t>
  </si>
  <si>
    <t>Nicht ausbezahlte Spesen</t>
  </si>
  <si>
    <t>Travel allowances, unpaid</t>
  </si>
  <si>
    <t>Odsetki naliczone</t>
  </si>
  <si>
    <t>G. Costs classified as tax-deductible costs in the current year but entered in the books of account for previous years, of which:</t>
  </si>
  <si>
    <t>Niewypłacone składki ZUS w roku poprzednim zapłacone w roku bieżącym</t>
  </si>
  <si>
    <t>Im Vorjahr nicht beglichene Sozialabgaben, bezahlt im laufenden Jahr</t>
  </si>
  <si>
    <t xml:space="preserve">Social security (ZUS) contributions unpaid in the previous year, paid in the current year </t>
  </si>
  <si>
    <t>Wypłacone po terminie wynagrodzenia</t>
  </si>
  <si>
    <t>Verspätet ausbezahlte Löhne und Gehälter</t>
  </si>
  <si>
    <t>Wages and salaries paid after the due date</t>
  </si>
  <si>
    <t>Wykorzystane rezerwy z roku poprzedniego</t>
  </si>
  <si>
    <t>In Anspruch genommene Rückstellungen aus dem Vorjahr</t>
  </si>
  <si>
    <t>Provisions for the previous year, used</t>
  </si>
  <si>
    <t>Niewypłacone diety w roku poprzednim, zapłacone w roku bieżącym</t>
  </si>
  <si>
    <t>Im Vorjahr nicht ausbezahlte Spesen, gezahlt im laufenden Jahr</t>
  </si>
  <si>
    <t xml:space="preserve">Travel allowances unpaid in the previous year, paid in the current year </t>
  </si>
  <si>
    <t>Odsetki naliczone w roku poprzednim zapłacone w roku bieżącym</t>
  </si>
  <si>
    <t>Im Vorjahr berechnete und im laufenden Jahr bezahlte Zinsen</t>
  </si>
  <si>
    <t>Interest accrued in the previous year, paid in the current year</t>
  </si>
  <si>
    <t>korekta podatku dochodowego za lata ubiegłe</t>
  </si>
  <si>
    <t>Korrektur der Körperschaftsteuer für die Vorjahre</t>
  </si>
  <si>
    <t>Adjustment of income tax carried forward</t>
  </si>
  <si>
    <t xml:space="preserve">J. Taxable base for coprorate income tax purposes </t>
  </si>
  <si>
    <t>nota do podziału zysku</t>
  </si>
  <si>
    <t>Zysk netto za rok obrotowy</t>
  </si>
  <si>
    <t>Jahresüberschuss des Geschäftsjahres</t>
  </si>
  <si>
    <t>Net profit of the financial year</t>
  </si>
  <si>
    <t>Nierozliczony zysk/strata z lat ubiegłych</t>
  </si>
  <si>
    <t>Non-deducted profit (loss) carried forward</t>
  </si>
  <si>
    <t>Zysk netto z zysku lat ubiegłych, w tym objęty kapitałem rezerwowym, przeznaczony do podziału</t>
  </si>
  <si>
    <t>Zu verteilender, unter den sonstigen Rücklagen erfasster Gewinnvortrag</t>
  </si>
  <si>
    <t>Net profit of previous years, including profit recognised under capital reserves, earmarked for distribution</t>
  </si>
  <si>
    <t>Razem do podziału</t>
  </si>
  <si>
    <t>Insgesamt zur Verteilung</t>
  </si>
  <si>
    <t>Total for distribution</t>
  </si>
  <si>
    <t>Proponowany podział:</t>
  </si>
  <si>
    <t>Vorschläge zur Gewinnverwendung:</t>
  </si>
  <si>
    <t>Proposed distribution:</t>
  </si>
  <si>
    <t>- pokrycie straty z lat ubiegłych</t>
  </si>
  <si>
    <t>- Deckung des Verlustvortrags</t>
  </si>
  <si>
    <t>- coverage of loss brought forward</t>
  </si>
  <si>
    <t>- wypłata dywidendy</t>
  </si>
  <si>
    <t>- Dividendenausschüttung</t>
  </si>
  <si>
    <t>- dividend payment</t>
  </si>
  <si>
    <t>- zwiększenia kapitału zapasowego</t>
  </si>
  <si>
    <t>- Einstellung in die Kapitalrücklage</t>
  </si>
  <si>
    <t>- increase in capital reserves</t>
  </si>
  <si>
    <t>- zwiększenia kapitału rezerwowego</t>
  </si>
  <si>
    <t>- Einstellung in sonstige Rücklagen</t>
  </si>
  <si>
    <t>- increase in other capital reserves</t>
  </si>
  <si>
    <t>- zwiększenia kapitału zakładowego</t>
  </si>
  <si>
    <t>- Erhöhung des Stammkapitals</t>
  </si>
  <si>
    <t>- increase in share capital</t>
  </si>
  <si>
    <t>- nagrody, premie, tantiemy</t>
  </si>
  <si>
    <t>- Belohnungen, Prämien, Tantiemen</t>
  </si>
  <si>
    <t>- rewards, bonuses, royalties</t>
  </si>
  <si>
    <t>- zasilenie funduszy specjalnych</t>
  </si>
  <si>
    <t>- Zuführung zu Sonderfonds</t>
  </si>
  <si>
    <t>- additions to special-purpose funds</t>
  </si>
  <si>
    <t>- zwrot dopłat wspólnikom spółki z ograniczoną
 odpowiedzialnością</t>
  </si>
  <si>
    <t>- Erstattung von Nachschüssen an Gesellschafter der Gesellschaft mit beschränkter Haftung</t>
  </si>
  <si>
    <t>- refund of additional contributions to shareholders of the limited liability company</t>
  </si>
  <si>
    <t>- inne</t>
  </si>
  <si>
    <t>- sonstige</t>
  </si>
  <si>
    <t>Zysk niepodzielony</t>
  </si>
  <si>
    <t>Thesaurierter Gewinn</t>
  </si>
  <si>
    <t>Retained profit</t>
  </si>
  <si>
    <t>Strata netto za rok obrotowy</t>
  </si>
  <si>
    <t>Jahresfehlbetrag des Geschäftsjahres</t>
  </si>
  <si>
    <t>Net loss of the financial year</t>
  </si>
  <si>
    <t>Nierozliczony zysk / strata z lat ubiegłych</t>
  </si>
  <si>
    <t>Razem do pokrycia</t>
  </si>
  <si>
    <t>Insgesamt zur Deckung</t>
  </si>
  <si>
    <t>Total to be covered</t>
  </si>
  <si>
    <t>Proponowane źródła pokrycia:</t>
  </si>
  <si>
    <t>Vorschläge zur Verlustdeckung:</t>
  </si>
  <si>
    <t>Proposed source of loss coverage:</t>
  </si>
  <si>
    <t>- kapitał (fundusz) zapasowy</t>
  </si>
  <si>
    <t>- Kapitalrücklage</t>
  </si>
  <si>
    <t>- capital reserves</t>
  </si>
  <si>
    <t>- kapitał (fundusz) rezerwowy</t>
  </si>
  <si>
    <t>- Sonstige Rücklagen</t>
  </si>
  <si>
    <t>- other capital reserves</t>
  </si>
  <si>
    <t>- obniżenie kapitału (funduszu) podstawowego</t>
  </si>
  <si>
    <t>- Herabsetzung des gezeichneten Kapitals</t>
  </si>
  <si>
    <t>- reduction of share capital</t>
  </si>
  <si>
    <t>- dopłaty wspólników w spółce z ograniczoną
 odpowiedzialością</t>
  </si>
  <si>
    <t>- Nachschüsse der Gesellschafter in der Gesellschaft mit beschränkter Haftung</t>
  </si>
  <si>
    <t>- additional capital contributions by shareholders of the limited liability company</t>
  </si>
  <si>
    <t>- dodatkowa emisja akcji lub udziałów po cenach wyższych od nominalnych</t>
  </si>
  <si>
    <t xml:space="preserve">- zusätzliche Emission von Aktien oder Anteilen zu höheren Preisen als Nennwert </t>
  </si>
  <si>
    <t>- additional share issue at prices higher than nominal value</t>
  </si>
  <si>
    <t>- z zysków lat przyszłych</t>
  </si>
  <si>
    <t>- aus Gewinnen der Folgejahre</t>
  </si>
  <si>
    <t xml:space="preserve">- from next year's profits </t>
  </si>
  <si>
    <t>Niepokryta strata</t>
  </si>
  <si>
    <t>Nicht gedeckter Verlust</t>
  </si>
  <si>
    <t>Unabsorbed loss</t>
  </si>
  <si>
    <t>nota 8-11 pkt. 11.3</t>
  </si>
  <si>
    <t>Zarząd zidentyfikował następujące możliwe zdarzenia:</t>
  </si>
  <si>
    <t>Die Geschäftsführung hat folgende mögliche Ereignisse identifiziert:</t>
  </si>
  <si>
    <t>The Management Board has identified the following potential threats:</t>
  </si>
  <si>
    <t>brak ściągalności należności;</t>
  </si>
  <si>
    <t>Uneinbringlichkeit von Forderungen;</t>
  </si>
  <si>
    <t>receivables may be irrecoverable;</t>
  </si>
  <si>
    <t>ryzyko braku odzyskania udzielonych pożyczek;</t>
  </si>
  <si>
    <t>Risiko der Nichtwiedereinziehung gewährter Darlehen;</t>
  </si>
  <si>
    <t>advanced loans may not be repaid;</t>
  </si>
  <si>
    <t>spadek wartości udziałów;</t>
  </si>
  <si>
    <t>Rückgang des Anteilswertes;</t>
  </si>
  <si>
    <t>shares may drop in value;</t>
  </si>
  <si>
    <t>ryzyko w zakresie kontynuacji działalności na rynkach wschodnich;</t>
  </si>
  <si>
    <t>Risiko bei der Unternehmensfortführung auf östlichen Märkten;</t>
  </si>
  <si>
    <t>risk to continuity as a going concern on Eastern markets;</t>
  </si>
  <si>
    <t>możliwe przerwanie łańcuchów dostaw w zakresie surowców.</t>
  </si>
  <si>
    <t>mögliche Unterbrechung der Rohstoff-Lieferketten.</t>
  </si>
  <si>
    <t>supply chains of raw materials may be disrupted.</t>
  </si>
  <si>
    <t>Sprawozdanie finansowe Spółki sporządzono na dzień zakończenia działalności.</t>
  </si>
  <si>
    <t>Der Jahresabschluss des Unternehmens wurde zum Zeitpunkt der Einstellung der Geschäftstätigkeit erstellt.</t>
  </si>
  <si>
    <t>The company's financial statements were prepared as of the business termination date.</t>
  </si>
  <si>
    <t>wersja pliku</t>
  </si>
  <si>
    <t>Komórki - wymagają korekty formatu po tłumaczeniu na DE</t>
  </si>
  <si>
    <t>Język / Sprache / Language</t>
  </si>
  <si>
    <t>Rok obrotowy</t>
  </si>
  <si>
    <t>Rhenus Digital Workforce Sp. z o.o.</t>
  </si>
  <si>
    <t>forma prawna:</t>
  </si>
  <si>
    <t>ul. Puławska 99</t>
  </si>
  <si>
    <t>NIP</t>
  </si>
  <si>
    <t>02-595</t>
  </si>
  <si>
    <t>KRS</t>
  </si>
  <si>
    <t>Warszawa</t>
  </si>
  <si>
    <t>jest</t>
  </si>
  <si>
    <t>Nagłówek arkuszy</t>
  </si>
  <si>
    <t>Jakich walut przeliczeniowych używamy w SF</t>
  </si>
  <si>
    <t>dwie</t>
  </si>
  <si>
    <t xml:space="preserve"> </t>
  </si>
  <si>
    <t>USTAWA O RACHUNKOWOŚCI - wersja</t>
  </si>
  <si>
    <t>PL</t>
  </si>
  <si>
    <t>DE</t>
  </si>
  <si>
    <t>EN</t>
  </si>
  <si>
    <t>ROK</t>
  </si>
  <si>
    <t>POZYCJA</t>
  </si>
  <si>
    <t>TAK</t>
  </si>
  <si>
    <t>z późn. zm.</t>
  </si>
  <si>
    <t>Spółka sporządza ZZwK</t>
  </si>
  <si>
    <t>Czy wypełniasz 3 kolumnę - "Przekształcone dane porównawcze"?</t>
  </si>
  <si>
    <t>nie</t>
  </si>
  <si>
    <t>KURSY BILANSOWE</t>
  </si>
  <si>
    <t>kolumny techniczne dotyczące noty 3 - nie usuwać!!</t>
  </si>
  <si>
    <t>euro (EUR)</t>
  </si>
  <si>
    <t>Euro (EUR)</t>
  </si>
  <si>
    <t>dolar amerykański (USD)</t>
  </si>
  <si>
    <t>amerikanischer Dollar (USD)</t>
  </si>
  <si>
    <t>US dollar (USD)</t>
  </si>
  <si>
    <t>funt szterling (GBP)</t>
  </si>
  <si>
    <t>Pfund Sterling (GBP)</t>
  </si>
  <si>
    <t>British pound (GBP)</t>
  </si>
  <si>
    <t>miejsce zapisu JPK sprawozdanie</t>
  </si>
  <si>
    <t>C:\Users\G.Kurczakowski\Desktop\nowy SF 2020\aktualny\poprawny</t>
  </si>
  <si>
    <t>pole należy uzupełnić tylko w przypadku, gdy korzysta się ze "starego" sposobu generowania xml</t>
  </si>
  <si>
    <t>Warunek dla konieczności sporządzania sprawozdania z działalności - uchwała dot. uproszczeń</t>
  </si>
  <si>
    <t>1. Czy spółka jest jednostką małą / mikro?</t>
  </si>
  <si>
    <t>NIE</t>
  </si>
  <si>
    <t>2. Czy klient chce, by sporządzać sprawozdanie z działalności?</t>
  </si>
  <si>
    <t>3. Czy jest uchwała NZW o korzystaniu z uproszczeń w zakresie SzD?</t>
  </si>
  <si>
    <t>symbol</t>
  </si>
  <si>
    <t>nazwa</t>
  </si>
  <si>
    <t>0111Z</t>
  </si>
  <si>
    <t>Uprawa zbóż, roślin strączkowych i roślin oleistych na nasiona, z wyłączeniem ryżu</t>
  </si>
  <si>
    <t>Getreide (ohne Reis), Hülsenfrüchte und Ölsaaten</t>
  </si>
  <si>
    <t>0112Z</t>
  </si>
  <si>
    <t>Uprawa ryżu</t>
  </si>
  <si>
    <t>Rohreis</t>
  </si>
  <si>
    <t>Growing of rice</t>
  </si>
  <si>
    <t>0113Z</t>
  </si>
  <si>
    <t>Uprawa warzyw, włączając melony oraz uprawa roślin korzeniowych i roślin bulwiastych</t>
  </si>
  <si>
    <t>Gemüse und Melonen sowie Wurzeln und Knollen</t>
  </si>
  <si>
    <t>Growing of vegetables, including melons, and of roots and tubers</t>
  </si>
  <si>
    <t>0114Z</t>
  </si>
  <si>
    <t>Uprawa trzciny cukrowej</t>
  </si>
  <si>
    <t>Zuckerrohr</t>
  </si>
  <si>
    <t>Growing of sugar cane</t>
  </si>
  <si>
    <t>0115Z</t>
  </si>
  <si>
    <t>Uprawa tytoniu</t>
  </si>
  <si>
    <t>Tabak</t>
  </si>
  <si>
    <t>Growing of tobacco</t>
  </si>
  <si>
    <t>0116Z</t>
  </si>
  <si>
    <t>Uprawa roślin włóknistych</t>
  </si>
  <si>
    <t>Faserpflanzen</t>
  </si>
  <si>
    <t>0119Z</t>
  </si>
  <si>
    <t>Pozostałe uprawy rolne inne niż wieloletnie</t>
  </si>
  <si>
    <t>Sonstige einjährige Pflanzen</t>
  </si>
  <si>
    <t>0121Z</t>
  </si>
  <si>
    <t>Uprawa winogron</t>
  </si>
  <si>
    <t xml:space="preserve">Wein- und Tafeltrauben </t>
  </si>
  <si>
    <t>Growing of grapes</t>
  </si>
  <si>
    <t>0122Z</t>
  </si>
  <si>
    <t>Uprawa drzew i krzewów owocowych tropikalnych i podzwrotnikowych</t>
  </si>
  <si>
    <t xml:space="preserve">Tropische und subtropische Früchte </t>
  </si>
  <si>
    <t>0123Z</t>
  </si>
  <si>
    <t>Uprawa drzew i krzewów owocowych cytrusowych</t>
  </si>
  <si>
    <t>Zitrusfrüchte</t>
  </si>
  <si>
    <t>0124Z</t>
  </si>
  <si>
    <t>Uprawa drzew i krzewów owocowych ziarnkowych i pestkowych</t>
  </si>
  <si>
    <t>Kern- und Steinobst</t>
  </si>
  <si>
    <t>0125Z</t>
  </si>
  <si>
    <t>Uprawa pozostałych drzew i krzewów owocowych oraz orzechów</t>
  </si>
  <si>
    <t>Sonstiges Baum- und Strauchobst und Nüsse</t>
  </si>
  <si>
    <t>0126Z</t>
  </si>
  <si>
    <t>Uprawa drzew oleistych</t>
  </si>
  <si>
    <t>Ölhaltige Früchte</t>
  </si>
  <si>
    <t>0127Z</t>
  </si>
  <si>
    <t>Uprawa roślin wykorzystywanych do produkcji napojów</t>
  </si>
  <si>
    <t>Pflanzen zur Herstellung von Getränken</t>
  </si>
  <si>
    <t>0128Z</t>
  </si>
  <si>
    <t>Uprawa roślin przyprawowych i aromatycznych oraz roślin wykorzystywanych do produkcji leków i wyrobów farmaceutycznych</t>
  </si>
  <si>
    <t>Gewürzpflanzen, Pflanzen für aromatische, narkotische und pharmazeutische Zwecke</t>
  </si>
  <si>
    <t>0129Z</t>
  </si>
  <si>
    <t>Uprawa pozostałych roślin wieloletnich</t>
  </si>
  <si>
    <t xml:space="preserve">Sonstige mehrjährige Pflanzen </t>
  </si>
  <si>
    <t>0130Z</t>
  </si>
  <si>
    <t>Rozmnażanie roślin</t>
  </si>
  <si>
    <t>Baumschulerzeugnisse, Pflanzen zu Vermehrungszwecken; Pilzmycel</t>
  </si>
  <si>
    <t>0141Z</t>
  </si>
  <si>
    <t>Chów i hodowla bydła mlecznego</t>
  </si>
  <si>
    <t>Milchkühe, lebend, sowie Rohmilch von Milchkühen</t>
  </si>
  <si>
    <t>0142Z</t>
  </si>
  <si>
    <t>Chów i hodowla pozostałego bydła i bawołów</t>
  </si>
  <si>
    <t xml:space="preserve">Sonstige Rinder und Büffel, lebend, sowie deren Sperma </t>
  </si>
  <si>
    <t>0143Z</t>
  </si>
  <si>
    <t>Chów i hodowla koni i pozostałych zwierząt koniowatych</t>
  </si>
  <si>
    <t xml:space="preserve">Pferde und Esel, lebend </t>
  </si>
  <si>
    <t>0144Z</t>
  </si>
  <si>
    <t>Chów i hodowla wielbłądów i zwierząt wielbłądowatych</t>
  </si>
  <si>
    <t>Kamele und Kamelartige, lebend</t>
  </si>
  <si>
    <t>0145Z</t>
  </si>
  <si>
    <t>Chów i hodowla owiec i kóz</t>
  </si>
  <si>
    <t>Schafe und Ziegen, lebend; Rohmilch und Schurwolle von Schafen und Ziegen</t>
  </si>
  <si>
    <t>0146Z</t>
  </si>
  <si>
    <t>Chów i hodowla świń</t>
  </si>
  <si>
    <t>Schweine, lebend</t>
  </si>
  <si>
    <t>0147Z</t>
  </si>
  <si>
    <t>Chów i hodowla drobiu</t>
  </si>
  <si>
    <t xml:space="preserve">Geflügel, lebend, sowie Eier </t>
  </si>
  <si>
    <t>0149Z</t>
  </si>
  <si>
    <t>Chów i hodowla pozostałych zwierząt</t>
  </si>
  <si>
    <t>Sonstige Nutztiere und tierische Erzeugnisse</t>
  </si>
  <si>
    <t>0150Z</t>
  </si>
  <si>
    <t>Uprawy rolne połączone z chowem i hodowlą zwierząt (działalność mieszana)</t>
  </si>
  <si>
    <t>Landwirtschaftlicher Anbau mit Tierhaltung und -zucht (gemischte Tätigkeit)</t>
  </si>
  <si>
    <t>0161Z</t>
  </si>
  <si>
    <t>Działalność usługowa wspomagająca produkcję roślinną</t>
  </si>
  <si>
    <t>Landwirtschaftliche Dienstleistungen für den Pflanzenbau</t>
  </si>
  <si>
    <t>0162Z</t>
  </si>
  <si>
    <t>Działalność usługowa wspomagająca chów i hodowlę zwierząt gospodarskich</t>
  </si>
  <si>
    <t xml:space="preserve">Landwirtschaftliche Dienstleistungen für die Tierhaltung </t>
  </si>
  <si>
    <t>0163Z</t>
  </si>
  <si>
    <t>Działalność usługowa następująca po zbiorach</t>
  </si>
  <si>
    <t xml:space="preserve">Nach der Ernte anfallende Dienstleistungen in der pflanzlichen Erzeugung </t>
  </si>
  <si>
    <t>0164Z</t>
  </si>
  <si>
    <t>Obróbka nasion dla celów rozmnażania roślin</t>
  </si>
  <si>
    <t xml:space="preserve">Dienstleistungen der Saatgutaufbereitung </t>
  </si>
  <si>
    <t>0170Z</t>
  </si>
  <si>
    <t>Łowiectwo i pozyskiwanie zwierząt łownych, włączając działalność usługową</t>
  </si>
  <si>
    <t xml:space="preserve">Jagd, Fallenstellerei und damit verbundene Dienstleistungen </t>
  </si>
  <si>
    <t>0210Z</t>
  </si>
  <si>
    <t>Gospodarka leśna i pozostała działalność leśna, z wyłączeniem pozyskiwania produktów leśnych</t>
  </si>
  <si>
    <t xml:space="preserve">Waldbestand sowie Erzeugnisse und Dienstleistungen von Forstbaumschulen </t>
  </si>
  <si>
    <t>0220Z</t>
  </si>
  <si>
    <t>Pozyskiwanie drewna</t>
  </si>
  <si>
    <t>Rohholz</t>
  </si>
  <si>
    <t>0230Z</t>
  </si>
  <si>
    <t>Pozyskiwanie dziko rosnących produktów leśnych, z wyłączeniem drewna</t>
  </si>
  <si>
    <t xml:space="preserve">Wildwachsende Produkte (ohne Holz) </t>
  </si>
  <si>
    <t>0240Z</t>
  </si>
  <si>
    <t>Działalność usługowa związana z leśnictwem</t>
  </si>
  <si>
    <t xml:space="preserve">Dienstleistungen für Forstwirtschaft und Holzgewinnung </t>
  </si>
  <si>
    <t>Service activity related to forestry</t>
  </si>
  <si>
    <t>0311Z</t>
  </si>
  <si>
    <t>Rybołówstwo w wodach morskich</t>
  </si>
  <si>
    <t>0312Z</t>
  </si>
  <si>
    <t>Rybołówstwo w wodach śródlądowych</t>
  </si>
  <si>
    <t>0321Z</t>
  </si>
  <si>
    <t>Chów i hodowla ryb oraz pozostałych organizmów wodnych w wodach morskich</t>
  </si>
  <si>
    <t>0322Z</t>
  </si>
  <si>
    <t>Chów i hodowla ryb oraz pozostałych organizmów wodnych w wodach śródlądowych</t>
  </si>
  <si>
    <t>0510Z</t>
  </si>
  <si>
    <t>Wydobywanie węgla kamiennego</t>
  </si>
  <si>
    <t>Steinkohle</t>
  </si>
  <si>
    <t>0520Z</t>
  </si>
  <si>
    <t>Wydobywanie węgla brunatnego (lignitu)</t>
  </si>
  <si>
    <t>Braunkohle</t>
  </si>
  <si>
    <t>0610Z</t>
  </si>
  <si>
    <t>Górnictwo ropy naftowej</t>
  </si>
  <si>
    <t xml:space="preserve">Erdöl </t>
  </si>
  <si>
    <t>0620Z</t>
  </si>
  <si>
    <t>Górnictwo gazu ziemnego</t>
  </si>
  <si>
    <t xml:space="preserve">Erdgas, verflüssigt oder gasförmig </t>
  </si>
  <si>
    <t>0710Z</t>
  </si>
  <si>
    <t>Górnictwo rud żelaza</t>
  </si>
  <si>
    <t xml:space="preserve">Eisenerze </t>
  </si>
  <si>
    <t>0721Z</t>
  </si>
  <si>
    <t>Górnictwo rud uranu i toru</t>
  </si>
  <si>
    <t xml:space="preserve">Uran- und Thoriumerze </t>
  </si>
  <si>
    <t>0729Z</t>
  </si>
  <si>
    <t>Górnictwo pozostałych rud metali nieżelaznych</t>
  </si>
  <si>
    <t>Sonstige NE-Metallerze und ihre Konzentrate</t>
  </si>
  <si>
    <t>0811Z</t>
  </si>
  <si>
    <t>Wydobywanie kamieni ozdobnych oraz kamienia dla potrzeb budownictwa, skał wapiennych, gipsu, kredy i łupków</t>
  </si>
  <si>
    <t xml:space="preserve">Naturwerksteine und Natursteine, Kalk- und Gipsstein, Kreide und Schiefer </t>
  </si>
  <si>
    <t>0812Z</t>
  </si>
  <si>
    <t>Wydobywanie żwiru i piasku; wydobywanie gliny i kaolinu</t>
  </si>
  <si>
    <t xml:space="preserve">Kies, Sand, Ton und Kaolin </t>
  </si>
  <si>
    <t>0891Z</t>
  </si>
  <si>
    <t>Wydobywanie minerałów dla przemysłu chemicznego oraz do produkcji nawozów</t>
  </si>
  <si>
    <t xml:space="preserve">Chemische und Düngemittelminerale </t>
  </si>
  <si>
    <t>0892Z</t>
  </si>
  <si>
    <t>Wydobywanie torfu</t>
  </si>
  <si>
    <t>Torf</t>
  </si>
  <si>
    <t>0893Z</t>
  </si>
  <si>
    <t>Wydobywanie soli</t>
  </si>
  <si>
    <t xml:space="preserve">Salz und reines Natriumchlorid; Meerwasser </t>
  </si>
  <si>
    <t>0899Z</t>
  </si>
  <si>
    <t>Pozostałe górnictwo i wydobywanie, gdzie indziej niesklasyfikowane</t>
  </si>
  <si>
    <t xml:space="preserve">Sonstige Steine, Erden und Bergbauerzeugnisse, a.n.g </t>
  </si>
  <si>
    <t>0910Z</t>
  </si>
  <si>
    <t>Działalność usługowa wspomagająca eksploatację złóż ropy naftowej i gazu ziemnego</t>
  </si>
  <si>
    <t>Dienstleistungen für die Gewinnung von Erdöl und Erdgas</t>
  </si>
  <si>
    <t>0990Z</t>
  </si>
  <si>
    <t>Działalność usługowa wspomagająca pozostałe górnictwo i wydobywanie</t>
  </si>
  <si>
    <t xml:space="preserve">Dienstleistungen für den sonstigen Bergbau und die Gewinnung von Steinen und Erden </t>
  </si>
  <si>
    <t>1011Z</t>
  </si>
  <si>
    <t>Przetwarzanie i konserwowanie mięsa, z wyłączeniem mięsa z drobiu</t>
  </si>
  <si>
    <t>Schlachten (ohne Schlachten von Geflügel)</t>
  </si>
  <si>
    <t>1012Z</t>
  </si>
  <si>
    <t>Przetwarzanie i konserwowanie mięsa z drobiu</t>
  </si>
  <si>
    <t>Schlachten von Geflügel</t>
  </si>
  <si>
    <t>1013Z</t>
  </si>
  <si>
    <t>Produkcja wyrobów z mięsa, włączając wyroby z mięsa drobiowego</t>
  </si>
  <si>
    <t>Fleischverarbeitung</t>
  </si>
  <si>
    <t>1020Z</t>
  </si>
  <si>
    <t>Przetwarzanie i konserwowanie ryb, skorupiaków i mięczaków</t>
  </si>
  <si>
    <t>Fischverarbeitung;</t>
  </si>
  <si>
    <t>Processing and preserving of fish, crustaceans and molluscs</t>
  </si>
  <si>
    <t>1031Z</t>
  </si>
  <si>
    <t>Przetwarzanie i konserwowanie ziemniaków</t>
  </si>
  <si>
    <t xml:space="preserve">Verarbeitete Kartoffeln und Kartoffelerzeugnisse </t>
  </si>
  <si>
    <t>Processing and preserving of potatoes</t>
  </si>
  <si>
    <t>1032Z</t>
  </si>
  <si>
    <t>Produkcja soków z owoców i warzyw</t>
  </si>
  <si>
    <t>Frucht- und Gemüsesäfte</t>
  </si>
  <si>
    <t>1039Z</t>
  </si>
  <si>
    <t>Pozostałe przetwarzanie i konserwowanie owoców i warzyw</t>
  </si>
  <si>
    <t>Sonstige Verarbeitung von Obst und Gemüse</t>
  </si>
  <si>
    <t>Other processing and preserving of fruit and vegetables</t>
  </si>
  <si>
    <t>1041Z</t>
  </si>
  <si>
    <t>Produkcja olejów i pozostałych tłuszczów płynnych</t>
  </si>
  <si>
    <t>Öle und Fette</t>
  </si>
  <si>
    <t>Manufacture of oils and other liquid fats</t>
  </si>
  <si>
    <t>1042Z</t>
  </si>
  <si>
    <t>Produkcja margaryny i podobnych tłuszczów jadalnych</t>
  </si>
  <si>
    <t xml:space="preserve">Margarine und ähnliche Nahrungsfette </t>
  </si>
  <si>
    <t>1051Z</t>
  </si>
  <si>
    <t>Przetwórstwo mleka i wyrób serów</t>
  </si>
  <si>
    <t>Milchverarbeitung und Käseherstellung (ohne Speiseeis)</t>
  </si>
  <si>
    <t>1052Z</t>
  </si>
  <si>
    <t>Produkcja lodów</t>
  </si>
  <si>
    <t xml:space="preserve">Speiseeis </t>
  </si>
  <si>
    <t>1061Z</t>
  </si>
  <si>
    <t>Wytwarzanie produktów przemiału zbóż</t>
  </si>
  <si>
    <t xml:space="preserve">Mahl- und Schälmühlenerzeugnisse </t>
  </si>
  <si>
    <t>Manufacture of grain mill products</t>
  </si>
  <si>
    <t>1062Z</t>
  </si>
  <si>
    <t>Wytwarzanie skrobi i wyrobów skrobiowych</t>
  </si>
  <si>
    <t>Stärke und Stärkeerzeugnisse</t>
  </si>
  <si>
    <t>1071Z</t>
  </si>
  <si>
    <t>Produkcja pieczywa; produkcja świeżych wyrobów ciastkarskich i ciastek</t>
  </si>
  <si>
    <t>Backwaren (ohne Dauerbackwaren)</t>
  </si>
  <si>
    <t>1072Z</t>
  </si>
  <si>
    <t>Produkcja sucharów i herbatników; produkcja konserwowanych wyrobów ciastkarskich i ciastek</t>
  </si>
  <si>
    <t>Dauerbackwaren</t>
  </si>
  <si>
    <t>1073Z</t>
  </si>
  <si>
    <t>Produkcja makaronów, klusek, kuskusu i podobnych wyrobów mącznych</t>
  </si>
  <si>
    <t>Teigwaren</t>
  </si>
  <si>
    <t>1081Z</t>
  </si>
  <si>
    <t>Produkcja cukru</t>
  </si>
  <si>
    <t>Production of sugar</t>
  </si>
  <si>
    <t>1082Z</t>
  </si>
  <si>
    <t>Produkcja kakao, czekolady i wyrobów cukierniczych</t>
  </si>
  <si>
    <t>Süßwaren (ohne Dauerbackwaren)</t>
  </si>
  <si>
    <t>1083Z</t>
  </si>
  <si>
    <t>Przetwórstwo herbaty i kawy</t>
  </si>
  <si>
    <t>1084Z</t>
  </si>
  <si>
    <t>Produkcja przypraw</t>
  </si>
  <si>
    <t>Würzen und Soßen</t>
  </si>
  <si>
    <t>1085Z</t>
  </si>
  <si>
    <t>Wytwarzanie gotowych posiłków i dań</t>
  </si>
  <si>
    <t>Fertiggerichte</t>
  </si>
  <si>
    <t>1086Z</t>
  </si>
  <si>
    <t>Produkcja artykułów spożywczych homogenizowanych i żywności dietetycznej</t>
  </si>
  <si>
    <t>Homogenisierte und diätetische Nahrungsmittel</t>
  </si>
  <si>
    <t>1089Z</t>
  </si>
  <si>
    <t>Produkcja pozostałych artykułów spożywczych, gdzie indziej niesklasyfikowana</t>
  </si>
  <si>
    <t>Sonstige Nahrungsmittel, a.n.g.</t>
  </si>
  <si>
    <t>1091Z</t>
  </si>
  <si>
    <t>Produkcja gotowej paszy dla zwierząt gospodarskich</t>
  </si>
  <si>
    <t>Futtermittel für Nutztiere</t>
  </si>
  <si>
    <t>Manufacture of prepared feeds for farm animals</t>
  </si>
  <si>
    <t>1092Z</t>
  </si>
  <si>
    <t>Produkcja gotowej karmy dla zwierząt domowych</t>
  </si>
  <si>
    <t>Futtermittel für sonstige Tiere</t>
  </si>
  <si>
    <t>Manufacture of prepared pet food</t>
  </si>
  <si>
    <t>1101Z</t>
  </si>
  <si>
    <t>Destylowanie, rektyfikowanie i mieszanie alkoholi</t>
  </si>
  <si>
    <t>1102Z</t>
  </si>
  <si>
    <t>Produkcja win gronowych</t>
  </si>
  <si>
    <t>1103Z</t>
  </si>
  <si>
    <t>Produkcja cydru i pozostałych win owocowych</t>
  </si>
  <si>
    <t>1104Z</t>
  </si>
  <si>
    <t>Produkcja pozostałych niedestylowanych napojów fermentowanych</t>
  </si>
  <si>
    <t>1105Z</t>
  </si>
  <si>
    <t>Produkcja piwa</t>
  </si>
  <si>
    <t>1106Z</t>
  </si>
  <si>
    <t>Produkcja słodu</t>
  </si>
  <si>
    <t>1107Z</t>
  </si>
  <si>
    <t>Produkcja napojów bezalkoholowych; produkcja wód mineralnych i pozostałych wód butelkowanych</t>
  </si>
  <si>
    <t>1200Z</t>
  </si>
  <si>
    <t>PRODUKCJA WYROBÓW TYTONIOWYCH</t>
  </si>
  <si>
    <t>1310A</t>
  </si>
  <si>
    <t>Produkcja przędzy bawełnianej</t>
  </si>
  <si>
    <t>1310B</t>
  </si>
  <si>
    <t>Produkcja przędzy wełnianej</t>
  </si>
  <si>
    <t>1310C</t>
  </si>
  <si>
    <t>Produkcja przędzy z włókien chemicznych</t>
  </si>
  <si>
    <t>Kunstfasern, bearbeitet zum Spinnen</t>
  </si>
  <si>
    <t>1310D</t>
  </si>
  <si>
    <t>Produkcja przędzy z pozostałych włókien tekstylnych, włączając produkcję nici</t>
  </si>
  <si>
    <t>1320A</t>
  </si>
  <si>
    <t>Produkcja tkanin bawełnianych</t>
  </si>
  <si>
    <t>Baumwollweberei</t>
  </si>
  <si>
    <t>1320B</t>
  </si>
  <si>
    <t>Produkcja tkanin wełnianych</t>
  </si>
  <si>
    <t>Wollweberei</t>
  </si>
  <si>
    <t>1320C</t>
  </si>
  <si>
    <t>Produkcja tkanin z włókien chemicznych</t>
  </si>
  <si>
    <t>Gewebe aus Kunstfasern</t>
  </si>
  <si>
    <t>1320D</t>
  </si>
  <si>
    <t>Produkcja pozostałych tkanin</t>
  </si>
  <si>
    <t>Sonstige Weberei</t>
  </si>
  <si>
    <t>1330Z</t>
  </si>
  <si>
    <t>Wykończanie wyrobów włókienniczych</t>
  </si>
  <si>
    <t xml:space="preserve">Textilveredlungsleistungen </t>
  </si>
  <si>
    <t>1391Z</t>
  </si>
  <si>
    <t>Produkcja dzianin metrażowych</t>
  </si>
  <si>
    <t>1392Z</t>
  </si>
  <si>
    <t>Produkcja gotowych wyrobów tekstylnych</t>
  </si>
  <si>
    <t>1393Z</t>
  </si>
  <si>
    <t>Produkcja dywanów i chodników</t>
  </si>
  <si>
    <t>1394Z</t>
  </si>
  <si>
    <t>Produkcja wyrobów powroźniczych, lin, szpagatów i wyrobów sieciowych</t>
  </si>
  <si>
    <t>1395Z</t>
  </si>
  <si>
    <t>Produkcja włóknin i wyrobów wykonanych z włóknin, z wyłączeniem odzieży</t>
  </si>
  <si>
    <t>1396Z</t>
  </si>
  <si>
    <t>Produkcja pozostałych technicznych i przemysłowych wyrobów tekstylnych</t>
  </si>
  <si>
    <t>1399Z</t>
  </si>
  <si>
    <t>Produkcja pozostałych wyrobów tekstylnych, gdzie indziej niesklasyfikowana</t>
  </si>
  <si>
    <t>1411Z</t>
  </si>
  <si>
    <t>Produkcja odzieży skórzanej</t>
  </si>
  <si>
    <t>1412Z</t>
  </si>
  <si>
    <t>Produkcja odzieży roboczej</t>
  </si>
  <si>
    <t>Manufacture of workwear</t>
  </si>
  <si>
    <t>1413Z</t>
  </si>
  <si>
    <t>Produkcja pozostałej odzieży wierzchniej</t>
  </si>
  <si>
    <t>1414Z</t>
  </si>
  <si>
    <t>Produkcja bielizny</t>
  </si>
  <si>
    <t>1419Z</t>
  </si>
  <si>
    <t>Produkcja pozostałej odzieży i dodatków do odzieży</t>
  </si>
  <si>
    <t>1420Z</t>
  </si>
  <si>
    <t>Produkcja wyrobów futrzarskich</t>
  </si>
  <si>
    <t>1431Z</t>
  </si>
  <si>
    <t>Produkcja wyrobów pończoszniczych</t>
  </si>
  <si>
    <t>Strumpfwaren</t>
  </si>
  <si>
    <t>1439Z</t>
  </si>
  <si>
    <t>Produkcja pozostałej odzieży dzianej</t>
  </si>
  <si>
    <t xml:space="preserve">Sonstige Bekleidung aus gewirktem und gestricktem Stoff </t>
  </si>
  <si>
    <t>1511Z</t>
  </si>
  <si>
    <t>Wyprawa skór, garbowanie; wyprawa i barwienie skór futerkowych</t>
  </si>
  <si>
    <t>1512Z</t>
  </si>
  <si>
    <t>Produkcja toreb bagażowych, toreb ręcznych i podobnych wyrobów kaletniczych; produkcja wyrobów rymarskich</t>
  </si>
  <si>
    <t>1520Z</t>
  </si>
  <si>
    <t>Produkcja obuwia</t>
  </si>
  <si>
    <t>Schuhe</t>
  </si>
  <si>
    <t>1610Z</t>
  </si>
  <si>
    <t>Produkcja wyrobów tartacznych</t>
  </si>
  <si>
    <t xml:space="preserve">Holz, gesägt und gehobelt </t>
  </si>
  <si>
    <t>Sawmilling and planing of wood</t>
  </si>
  <si>
    <t>1621Z</t>
  </si>
  <si>
    <t>Produkcja arkuszy fornirowych i płyt wykonanych na bazie drewna</t>
  </si>
  <si>
    <t xml:space="preserve">Furnier-, Sperrholz-, Holzfaser- und Holzspanplatten </t>
  </si>
  <si>
    <t>Manufacture of veneer sheets and wood-based panels</t>
  </si>
  <si>
    <t>1622Z</t>
  </si>
  <si>
    <t>Produkcja gotowych parkietów podłogowych</t>
  </si>
  <si>
    <t>Parkettböden</t>
  </si>
  <si>
    <t>Manufacture of assembled parquet floors</t>
  </si>
  <si>
    <t>1623Z</t>
  </si>
  <si>
    <t>Produkcja pozostałych wyrobów stolarskich i ciesielskich dla budownictwa</t>
  </si>
  <si>
    <t>Manufacture of other builders’ carpentry and joinery</t>
  </si>
  <si>
    <t>1624Z</t>
  </si>
  <si>
    <t>Produkcja opakowań drewnianych</t>
  </si>
  <si>
    <t xml:space="preserve">Verpackungsmittel, Lagerbehälter und Ladungsträger, aus Holz </t>
  </si>
  <si>
    <t>Manufacture of wooden containers</t>
  </si>
  <si>
    <t>1629Z</t>
  </si>
  <si>
    <t>Produkcja pozostałych wyrobów z drewna; produkcja wyrobów z korka, słomy i materiałów używanych do wyplatania</t>
  </si>
  <si>
    <t xml:space="preserve">Andere Holzwaren; Kork-, Flecht- und Korbwaren </t>
  </si>
  <si>
    <t>Manufacture of other products of wood; manufacture of articles of cork, straw and plaiting materials</t>
  </si>
  <si>
    <t>1711Z</t>
  </si>
  <si>
    <t>Produkcja masy włóknistej</t>
  </si>
  <si>
    <t xml:space="preserve">Holz- und Zellstoff </t>
  </si>
  <si>
    <t>1712Z</t>
  </si>
  <si>
    <t>Produkcja papieru i tektury</t>
  </si>
  <si>
    <t xml:space="preserve">Papier, Karton und Pappe </t>
  </si>
  <si>
    <t>Manufacture of paper and paperboard</t>
  </si>
  <si>
    <t>1721Z</t>
  </si>
  <si>
    <t>Produkcja papieru falistego i tektury falistej oraz opakowań z papieru i tektury</t>
  </si>
  <si>
    <t xml:space="preserve">Wellpapier und -pappe; Verpackungsmittel aus Papier, Karton und Pappe </t>
  </si>
  <si>
    <t>Manufacture of corrugated paper and paperboard and of containers of paper and paperboard</t>
  </si>
  <si>
    <t>1722Z</t>
  </si>
  <si>
    <t>Produkcja artykułów gospodarstwa domowego, toaletowych i sanitarnych</t>
  </si>
  <si>
    <t>Haushalts-, Hygiene- und Toilettenartikeln aus Zellstoff, Papier und Pappe</t>
  </si>
  <si>
    <t>1723Z</t>
  </si>
  <si>
    <t>Produkcja artykułów piśmiennych</t>
  </si>
  <si>
    <t xml:space="preserve">Schreibwaren und Bürobedarf aus Papier, Karton und Pappe </t>
  </si>
  <si>
    <t>Manufacture of paper stationery</t>
  </si>
  <si>
    <t>1724Z</t>
  </si>
  <si>
    <t>Produkcja tapet</t>
  </si>
  <si>
    <t>Tapeten</t>
  </si>
  <si>
    <t>1729Z</t>
  </si>
  <si>
    <t>Produkcja pozostałych wyrobów z papieru i tektury</t>
  </si>
  <si>
    <t xml:space="preserve">Sonstige Waren aus Papier, Karton und Pappe </t>
  </si>
  <si>
    <t>Manufacture of other articles of paper and paperboard</t>
  </si>
  <si>
    <t>1811Z</t>
  </si>
  <si>
    <t>Drukowanie gazet</t>
  </si>
  <si>
    <t>Printing of newspapers</t>
  </si>
  <si>
    <t>1812Z</t>
  </si>
  <si>
    <t>Pozostałe drukowanie</t>
  </si>
  <si>
    <t>Andere Dienstleistungen des Druckens</t>
  </si>
  <si>
    <t>Other printing</t>
  </si>
  <si>
    <t>1813Z</t>
  </si>
  <si>
    <t>Działalność usługowa związana z przygotowywaniem do druku</t>
  </si>
  <si>
    <t>Druck- und medienvorbereitende Dienstleistungen</t>
  </si>
  <si>
    <t>Pre-press and pre-media services</t>
  </si>
  <si>
    <t>1814Z</t>
  </si>
  <si>
    <t>Introligatorstwo i podobne usługi</t>
  </si>
  <si>
    <t xml:space="preserve">Dienstleistungen der Buchbinderei </t>
  </si>
  <si>
    <t>Binding and related services</t>
  </si>
  <si>
    <t>1820Z</t>
  </si>
  <si>
    <t>Reprodukcja zapisanych nośników informacji</t>
  </si>
  <si>
    <t>Dienstleistungen der Vervielfältigung von bespielten Ton-, Bild- und Datenträgern</t>
  </si>
  <si>
    <t>1910Z</t>
  </si>
  <si>
    <t>Wytwarzanie i przetwarzanie koksu</t>
  </si>
  <si>
    <t xml:space="preserve">Kokereierzeugnisse </t>
  </si>
  <si>
    <t>1920Z</t>
  </si>
  <si>
    <t>Wytwarzanie i przetwarzanie produktów rafinacji ropy naftowej</t>
  </si>
  <si>
    <t>Mineralölerzeugnisse</t>
  </si>
  <si>
    <t>2011Z</t>
  </si>
  <si>
    <t>Produkcja gazów technicznych</t>
  </si>
  <si>
    <t xml:space="preserve">Industriegase </t>
  </si>
  <si>
    <t>2012Z</t>
  </si>
  <si>
    <t>Produkcja barwników i pigmentów</t>
  </si>
  <si>
    <t>Manufacture of dyes and pigments</t>
  </si>
  <si>
    <t>2013Z</t>
  </si>
  <si>
    <t>Produkcja pozostałych podstawowych chemikaliów nieorganicznych</t>
  </si>
  <si>
    <t>Sonstige anorganische Grundstoffe und Chemikalien</t>
  </si>
  <si>
    <t>2014Z</t>
  </si>
  <si>
    <t>Produkcja pozostałych podstawowych chemikaliów organicznych</t>
  </si>
  <si>
    <t>Sonstige organische Grundstoffe und Chemikalien</t>
  </si>
  <si>
    <t>2015Z</t>
  </si>
  <si>
    <t>Produkcja nawozów i związków azotowych</t>
  </si>
  <si>
    <t xml:space="preserve">Düngemittel und Stickstoffverbindungen </t>
  </si>
  <si>
    <t>2016Z</t>
  </si>
  <si>
    <t>Produkcja tworzyw sztucznych w formach podstawowych</t>
  </si>
  <si>
    <t>Kunststoffe, in Primärformen</t>
  </si>
  <si>
    <t>Manufacture of plastics in primary forms</t>
  </si>
  <si>
    <t>2017Z</t>
  </si>
  <si>
    <t>Produkcja kauczuku syntetycznego w formach podstawowych</t>
  </si>
  <si>
    <t>Synthetischer Kautschuk, in Primärformen</t>
  </si>
  <si>
    <t>2020Z</t>
  </si>
  <si>
    <t>Produkcja pestycydów i pozostałych środków agrochemicznych</t>
  </si>
  <si>
    <t xml:space="preserve">Schädlingsbekämpfungs-, Pflanzenschutz- und Desinfektionsmittel </t>
  </si>
  <si>
    <t>2030Z</t>
  </si>
  <si>
    <t>Produkcja farb, lakierów i podobnych powłok, farb drukarskich i mas uszczelniających</t>
  </si>
  <si>
    <t>Anstrichmittel, Druckfarben und Kitte</t>
  </si>
  <si>
    <t>2041Z</t>
  </si>
  <si>
    <t>Produkcja mydła i detergentów, środków myjących i czyszczących</t>
  </si>
  <si>
    <t>Seifen, Wasch-, Reinigungs- und Poliermittel</t>
  </si>
  <si>
    <t>2042Z</t>
  </si>
  <si>
    <t>Produkcja wyrobów kosmetycznych i toaletowych</t>
  </si>
  <si>
    <t>Körperpflegemittel und Duftstoffe</t>
  </si>
  <si>
    <t>2051Z</t>
  </si>
  <si>
    <t>Produkcja materiałów wybuchowych</t>
  </si>
  <si>
    <t>2052Z</t>
  </si>
  <si>
    <t>Produkcja klejów</t>
  </si>
  <si>
    <t>2053Z</t>
  </si>
  <si>
    <t>Produkcja olejków eterycznych</t>
  </si>
  <si>
    <t>Etherische Öle</t>
  </si>
  <si>
    <t>2059Z</t>
  </si>
  <si>
    <t>Produkcja pozostałych wyrobów chemicznych, gdzie indziej niesklasyfikowana</t>
  </si>
  <si>
    <t>Sonstige chemische Erzeugnisse, a.n.g.</t>
  </si>
  <si>
    <t>Manufacture of other chemical products n.e.c.</t>
  </si>
  <si>
    <t>2060Z</t>
  </si>
  <si>
    <t>Produkcja włókien chemicznych</t>
  </si>
  <si>
    <t>Chemiefasern</t>
  </si>
  <si>
    <t>Manufacture of glass fibres</t>
  </si>
  <si>
    <t>2110Z</t>
  </si>
  <si>
    <t>Produkcja podstawowych substancji farmaceutycznych</t>
  </si>
  <si>
    <t>Pharmazeutische Grundstoffe</t>
  </si>
  <si>
    <t>2120Z</t>
  </si>
  <si>
    <t>Produkcja leków i pozostałych wyrobów farmaceutycznych</t>
  </si>
  <si>
    <t>Pharmazeutische Spezialitäten und sonstige pharmazeutische Erzeugnisse</t>
  </si>
  <si>
    <t>2211Z</t>
  </si>
  <si>
    <t>Produkcja opon i dętek z gumy; bieżnikowanie i regenerowanie opon z gumy</t>
  </si>
  <si>
    <t>Bereifungen aus Kautschuk; Runderneuerung von Bereifungen aus Kautschuk</t>
  </si>
  <si>
    <t>Manufacture of rubber tyres and tubes; retreading and rebuilding of rubber tyres</t>
  </si>
  <si>
    <t>2219Z</t>
  </si>
  <si>
    <t>Produkcja pozostałych wyrobów z gumy</t>
  </si>
  <si>
    <t>2221Z</t>
  </si>
  <si>
    <t>Produkcja płyt, arkuszy, rur i kształtowników z tworzyw sztucznych</t>
  </si>
  <si>
    <t>Platten, Folien, Schläuche und Profile, aus Kunststoffen</t>
  </si>
  <si>
    <t>Manufacture of plastic plates, sheets, tubes and profiles</t>
  </si>
  <si>
    <t>2222Z</t>
  </si>
  <si>
    <t>Produkcja opakowań z tworzyw sztucznych</t>
  </si>
  <si>
    <t>Verpackungsmittel aus Kunststoffen</t>
  </si>
  <si>
    <t>Manufacture of plastic packing goods</t>
  </si>
  <si>
    <t>2223Z</t>
  </si>
  <si>
    <t>Produkcja wyrobów dla budownictwa z tworzyw sztucznych</t>
  </si>
  <si>
    <t>Baubedarfsartikel aus Kunststoffen</t>
  </si>
  <si>
    <t>Manufacture of builders’ ware of plastic</t>
  </si>
  <si>
    <t>2229Z</t>
  </si>
  <si>
    <t>Produkcja pozostałych wyrobów z tworzyw sztucznych</t>
  </si>
  <si>
    <t>Sonstige Kunststoffwaren</t>
  </si>
  <si>
    <t>Manufacture of other plastic products</t>
  </si>
  <si>
    <t>2311Z</t>
  </si>
  <si>
    <t>Produkcja szkła płaskiego</t>
  </si>
  <si>
    <t>Flachglas</t>
  </si>
  <si>
    <t>2312Z</t>
  </si>
  <si>
    <t>Kształtowanie i obróbka szkła płaskiego</t>
  </si>
  <si>
    <t>Veredlung und Bearbeitung von Flachglas</t>
  </si>
  <si>
    <t>2313Z</t>
  </si>
  <si>
    <t>Produkcja szkła gospodarczego</t>
  </si>
  <si>
    <t>Hohlglas</t>
  </si>
  <si>
    <t>2314Z</t>
  </si>
  <si>
    <t>Produkcja włókien szklanych</t>
  </si>
  <si>
    <t>Glasfasern und Waren daraus</t>
  </si>
  <si>
    <t>2319Z</t>
  </si>
  <si>
    <t>Produkcja i obróbka pozostałego szkła, włączając szkło techniczne</t>
  </si>
  <si>
    <t>Herstellung, Veredlung und Bearbeitung von sonstigem Glas einschließlich technischen Glaswaren</t>
  </si>
  <si>
    <t>2320Z</t>
  </si>
  <si>
    <t>Produkcja wyrobów ogniotrwałych</t>
  </si>
  <si>
    <t>Feuerfeste keramische Werkstoffe und Ware</t>
  </si>
  <si>
    <t>2331Z</t>
  </si>
  <si>
    <t>Produkcja ceramicznych kafli i płytek</t>
  </si>
  <si>
    <t xml:space="preserve">Keramische Wand- und Bodenfliesen und -platten </t>
  </si>
  <si>
    <t>2332Z</t>
  </si>
  <si>
    <t>Produkcja cegieł, dachówek i materiałów budowlanych, z wypalanej gliny</t>
  </si>
  <si>
    <t>Ziegel und sonstige Baukeramik</t>
  </si>
  <si>
    <t>Manufacture of bricks, tiles and construction products, in baked clay</t>
  </si>
  <si>
    <t>2341Z</t>
  </si>
  <si>
    <t>Produkcja ceramicznych wyrobów stołowych i ozdobnych</t>
  </si>
  <si>
    <t>2342Z</t>
  </si>
  <si>
    <t>Produkcja ceramicznych wyrobów sanitarnych</t>
  </si>
  <si>
    <t xml:space="preserve">Sanitärkeramik </t>
  </si>
  <si>
    <t>2343Z</t>
  </si>
  <si>
    <t>Produkcja ceramicznych izolatorów i osłon izolacyjnych</t>
  </si>
  <si>
    <t>Keramische Isolatoren und Isolationsverschalungen</t>
  </si>
  <si>
    <t>2344Z</t>
  </si>
  <si>
    <t>Produkcja pozostałych technicznych wyrobów ceramicznych</t>
  </si>
  <si>
    <t>Keramische Erzeugnisse für sonstige technische Zwecke</t>
  </si>
  <si>
    <t>2349Z</t>
  </si>
  <si>
    <t>Produkcja pozostałych wyrobów ceramicznych</t>
  </si>
  <si>
    <t>Sonstige keramische Erzeugnisse</t>
  </si>
  <si>
    <t>2351Z</t>
  </si>
  <si>
    <t>Produkcja cementu</t>
  </si>
  <si>
    <t>Zement</t>
  </si>
  <si>
    <t>2352Z</t>
  </si>
  <si>
    <t>Produkcja wapna i gipsu</t>
  </si>
  <si>
    <t>Kalk und gebrannter Gips</t>
  </si>
  <si>
    <t>2361Z</t>
  </si>
  <si>
    <t>Produkcja wyrobów budowlanych z betonu</t>
  </si>
  <si>
    <t>Erzeugnisse aus Beton, Zement und Kalksandstein für den Bau</t>
  </si>
  <si>
    <t>2362Z</t>
  </si>
  <si>
    <t>Produkcja wyrobów budowlanych z gipsu</t>
  </si>
  <si>
    <t xml:space="preserve">Gipserzeugnisse für den Bau </t>
  </si>
  <si>
    <t>2363Z</t>
  </si>
  <si>
    <t>Produkcja masy betonowej prefabrykowanej</t>
  </si>
  <si>
    <t>Frischbeton</t>
  </si>
  <si>
    <t>2364Z</t>
  </si>
  <si>
    <t>Produkcja zaprawy murarskiej</t>
  </si>
  <si>
    <t>Mörtel und anderer Beton (Trockenbeton)</t>
  </si>
  <si>
    <t>2365Z</t>
  </si>
  <si>
    <t>Produkcja cementu wzmocnionego włóknem</t>
  </si>
  <si>
    <t>Faserzementwaren</t>
  </si>
  <si>
    <t>2369Z</t>
  </si>
  <si>
    <t>Produkcja pozostałych wyrobów z betonu, gipsu i cementu</t>
  </si>
  <si>
    <t>Sonstige Erzeugnissen aus Beton, Zement und Gips a.n.g.</t>
  </si>
  <si>
    <t>2370Z</t>
  </si>
  <si>
    <t>Cięcie, formowanie i wykańczanie kamienia</t>
  </si>
  <si>
    <t>Be- und Verarbeitung von Naturwerksteinen und Natursteinen</t>
  </si>
  <si>
    <t>2391Z</t>
  </si>
  <si>
    <t>Produkcja wyrobów ściernych</t>
  </si>
  <si>
    <t>Schleifkörper und Schleifmittel auf Unterlage</t>
  </si>
  <si>
    <t>2399Z</t>
  </si>
  <si>
    <t>Produkcja pozostałych wyrobów z mineralnych surowców niemetalicznych, gdzie indziej niesklasyfikowana</t>
  </si>
  <si>
    <t>Sonstige Erzeugnisse aus nichtmetallischen Mineralien a. n. g.</t>
  </si>
  <si>
    <t>2410Z</t>
  </si>
  <si>
    <t>Produkcja surówki, żelazostopów, żeliwa i stali oraz wyrobów hutniczych</t>
  </si>
  <si>
    <t>Roheisen, Stahl und Ferrolegierungen</t>
  </si>
  <si>
    <t>2420Z</t>
  </si>
  <si>
    <t>Produkcja rur, przewodów, kształtowników zamkniętych i łączników, ze stali</t>
  </si>
  <si>
    <t>Stahlrohre, Rohrform-, Rohrverschluss- und Rohrverbindungsstücke aus Stahl</t>
  </si>
  <si>
    <t>Manufacture of tubes, pipes, hollow profiles and related fittings, of steel</t>
  </si>
  <si>
    <t>2431Z</t>
  </si>
  <si>
    <t>Produkcja prętów ciągnionych na zimno</t>
  </si>
  <si>
    <t>Blankstahl</t>
  </si>
  <si>
    <t>Manufacture of cold drawn bars</t>
  </si>
  <si>
    <t>2432Z</t>
  </si>
  <si>
    <t>Produkcja wyrobów płaskich walcowanych na zimno</t>
  </si>
  <si>
    <t>Kaltband mit einer Breite von weniger als 600 mm</t>
  </si>
  <si>
    <t>2433Z</t>
  </si>
  <si>
    <t>Produkcja wyrobów formowanych na zimno</t>
  </si>
  <si>
    <t>Kaltprofilen</t>
  </si>
  <si>
    <t>Manufacture of cold forming products</t>
  </si>
  <si>
    <t>2434Z</t>
  </si>
  <si>
    <t>Produkcja drutu</t>
  </si>
  <si>
    <t>Kaltgezogener Draht</t>
  </si>
  <si>
    <t>Manufacture of wire products</t>
  </si>
  <si>
    <t>2441Z</t>
  </si>
  <si>
    <t>Produkcja metali szlachetnych</t>
  </si>
  <si>
    <t xml:space="preserve">Edelmetalle und Halbzeug daraus </t>
  </si>
  <si>
    <t>2442A</t>
  </si>
  <si>
    <t>Produkcja aluminium hutniczego</t>
  </si>
  <si>
    <t xml:space="preserve">Aluminium in Rohform, Aluminiumlegierungen; Aluminiumoxid </t>
  </si>
  <si>
    <t>2442B</t>
  </si>
  <si>
    <t>Produkcja wyrobów z aluminium i stopów aluminium</t>
  </si>
  <si>
    <t xml:space="preserve">Halbzeug aus Aluminium </t>
  </si>
  <si>
    <t>2443Z</t>
  </si>
  <si>
    <t>Produkcja ołowiu, cynku i cyny</t>
  </si>
  <si>
    <t xml:space="preserve">Blei, Zink und Zinn und Halbzeug daraus </t>
  </si>
  <si>
    <t>2444Z</t>
  </si>
  <si>
    <t>Produkcja miedzi</t>
  </si>
  <si>
    <t xml:space="preserve">Kupfer und Halbzeug daraus </t>
  </si>
  <si>
    <t>2445Z</t>
  </si>
  <si>
    <t>Produkcja pozostałych metali nieżelaznych</t>
  </si>
  <si>
    <t xml:space="preserve">Sonstige NE-Metalle und Halbzeug daraus </t>
  </si>
  <si>
    <t>2446Z</t>
  </si>
  <si>
    <t>Wytwarzanie paliw jądrowych</t>
  </si>
  <si>
    <t>Kernbrennstoffe</t>
  </si>
  <si>
    <t>2451Z</t>
  </si>
  <si>
    <t>Odlewnictwo żeliwa</t>
  </si>
  <si>
    <t>Eisengießereierzeugnisse</t>
  </si>
  <si>
    <t>2452Z</t>
  </si>
  <si>
    <t>Odlewnictwo staliwa</t>
  </si>
  <si>
    <t xml:space="preserve">Teile aus Stahlguss </t>
  </si>
  <si>
    <t xml:space="preserve">  </t>
  </si>
  <si>
    <t>2453Z</t>
  </si>
  <si>
    <t>Odlewnictwo metali lekkich</t>
  </si>
  <si>
    <t xml:space="preserve">Teile aus Leichtmetallguss </t>
  </si>
  <si>
    <t>2454A</t>
  </si>
  <si>
    <t>Odlewnictwo miedzi i stopów miedzi</t>
  </si>
  <si>
    <t xml:space="preserve">Teile aus Buntmetall-/Schwermetallguss </t>
  </si>
  <si>
    <t>2454B</t>
  </si>
  <si>
    <t>Odlewnictwo pozostałych metali nieżelaznych, gdzie indziej niesklasyfikowane</t>
  </si>
  <si>
    <t>Buntmetallgießereierzeugnisse, a.n.g.</t>
  </si>
  <si>
    <t>2511Z</t>
  </si>
  <si>
    <t>Produkcja konstrukcji metalowych i ich części</t>
  </si>
  <si>
    <t>Metallkonstruktionen und deren Teile</t>
  </si>
  <si>
    <t>Manufacture of metal structures and parts of structures</t>
  </si>
  <si>
    <t>2512Z</t>
  </si>
  <si>
    <t>Produkcja metalowych elementów stolarki budowlanej</t>
  </si>
  <si>
    <t>Ausbauelemente aus Metall</t>
  </si>
  <si>
    <t>Manufacture of builders’ joinery components of metal</t>
  </si>
  <si>
    <t>2521Z</t>
  </si>
  <si>
    <t>Produkcja grzejników i kotłów centralnego ogrzewania</t>
  </si>
  <si>
    <t>Heizkörper und -kessel für Zentralheizungen</t>
  </si>
  <si>
    <t>2529Z</t>
  </si>
  <si>
    <t>Produkcja pozostałych zbiorników, cystern i pojemników metalowych</t>
  </si>
  <si>
    <t>Sammelbehälter, Tanks u. ä. Behälter aus Metall</t>
  </si>
  <si>
    <t>Manufacture of other tanks, reservoirs and containers of metal</t>
  </si>
  <si>
    <t>2530Z</t>
  </si>
  <si>
    <t>Produkcja wytwornic pary, z wyłączeniem kotłów do centralnego ogrzewania gorącą wodą</t>
  </si>
  <si>
    <t>Dampfkessel ohne Zentralheizungskessel</t>
  </si>
  <si>
    <t>2540Z</t>
  </si>
  <si>
    <t>Produkcja broni i amunicji</t>
  </si>
  <si>
    <t>2550Z</t>
  </si>
  <si>
    <t>Kucie, prasowanie, wytłaczanie i walcowanie metali; metalurgia proszków</t>
  </si>
  <si>
    <t>Schmiede-, Press-, Zieh- und Stanzteile, gewalzte Ringe und pulvermetallurgische Erzeugnisse</t>
  </si>
  <si>
    <t>Forging, pressing, stamping and roll-forming of metal; powder metallurgy</t>
  </si>
  <si>
    <t>2561Z</t>
  </si>
  <si>
    <t>Obróbka metali i nakładanie powłok na metale</t>
  </si>
  <si>
    <t>Oberflächenveredlung und Wärmebehandlung</t>
  </si>
  <si>
    <t>Treatment and coating of metals</t>
  </si>
  <si>
    <t>2562Z</t>
  </si>
  <si>
    <t>Obróbka mechaniczna elementów metalowych</t>
  </si>
  <si>
    <t>Mechanische Verarbeitung von Metallelementen</t>
  </si>
  <si>
    <t>Mechanical treatment of metal components</t>
  </si>
  <si>
    <t>2571Z</t>
  </si>
  <si>
    <t>Produkcja wyrobów nożowniczych i sztućców</t>
  </si>
  <si>
    <t>Schneidwaren und Besteck</t>
  </si>
  <si>
    <t>Manufacture of knives and cutlery</t>
  </si>
  <si>
    <t>2572Z</t>
  </si>
  <si>
    <t>Produkcja zamków i zawiasów</t>
  </si>
  <si>
    <t>Schlösser und Beschläge</t>
  </si>
  <si>
    <t>Manufacture of locks and hinges</t>
  </si>
  <si>
    <t>2573Z</t>
  </si>
  <si>
    <t>Produkcja narzędzi</t>
  </si>
  <si>
    <t>Werkzeug</t>
  </si>
  <si>
    <t>Manufacture of tools</t>
  </si>
  <si>
    <t>2591Z</t>
  </si>
  <si>
    <t>Produkcja pojemników metalowych</t>
  </si>
  <si>
    <t>Fässer, Trommeln, Dosen, Eimer u. ä. Behälter aus Metall</t>
  </si>
  <si>
    <t>Manufacture of metal containers</t>
  </si>
  <si>
    <t>2592Z</t>
  </si>
  <si>
    <t xml:space="preserve">Produkcja opakowań z metali </t>
  </si>
  <si>
    <t xml:space="preserve">Verpackungen und Verschlüsse aus Eisen, Stahl und NE-Metall </t>
  </si>
  <si>
    <t xml:space="preserve">Manufacture of metal packaging </t>
  </si>
  <si>
    <t>2593Z</t>
  </si>
  <si>
    <t>Produkcja wyrobów z drutu, łańcuchów i sprężyn</t>
  </si>
  <si>
    <t xml:space="preserve">Drahtwaren, Ketten und Federn </t>
  </si>
  <si>
    <t>Manufacture of wire products, chain and springs</t>
  </si>
  <si>
    <t>2594Z</t>
  </si>
  <si>
    <t>Produkcja złączy i śrub</t>
  </si>
  <si>
    <t>Schrauben und Nieten</t>
  </si>
  <si>
    <t>Manufacture of fasteners and screws</t>
  </si>
  <si>
    <t>2599Z</t>
  </si>
  <si>
    <t>Produkcja pozostałych gotowych wyrobów metalowych, gdzie indziej niesklasyfikowana</t>
  </si>
  <si>
    <t>Sonstige Metallwaren a.n.g.</t>
  </si>
  <si>
    <t>Manufacture of other fabricated metal products n.e.c.</t>
  </si>
  <si>
    <t>2611Z</t>
  </si>
  <si>
    <t>Produkcja elementów elektronicznych</t>
  </si>
  <si>
    <t>Elektronische Bauelemente</t>
  </si>
  <si>
    <t>Manufacture of electronic components</t>
  </si>
  <si>
    <t>2612Z</t>
  </si>
  <si>
    <t>Produkcja elektronicznych obwodów drukowanych</t>
  </si>
  <si>
    <t>Bestückte Leiterplatten</t>
  </si>
  <si>
    <t>2620Z</t>
  </si>
  <si>
    <t>Produkcja komputerów i urządzeń peryferyjnych</t>
  </si>
  <si>
    <t>Datenverarbeitungsgeräte und periphere Geräte</t>
  </si>
  <si>
    <t>Manufacture of computers and peripheral equipment</t>
  </si>
  <si>
    <t>2630Z</t>
  </si>
  <si>
    <t>Produkcja sprzętu (tele)komunikacyjnego</t>
  </si>
  <si>
    <t>Geräte und Einrichtungen der Telekommunikationstechnik</t>
  </si>
  <si>
    <t>2640Z</t>
  </si>
  <si>
    <t>Produkcja elektronicznego sprzętu powszechnego użytku</t>
  </si>
  <si>
    <t>Geräte der Unterhaltungselektronik</t>
  </si>
  <si>
    <t>2651Z</t>
  </si>
  <si>
    <t>Produkcja instrumentów i przyrządów pomiarowych, kontrolnych i nawigacyjnych</t>
  </si>
  <si>
    <t>Mess-, Kontroll-, Navigations- u. ä. Instrumente und Vorrichtungen</t>
  </si>
  <si>
    <t>2652Z</t>
  </si>
  <si>
    <t>Produkcja zegarków i zegarów</t>
  </si>
  <si>
    <t>Uhren</t>
  </si>
  <si>
    <t>2660Z</t>
  </si>
  <si>
    <t>Produkcja urządzeń napromieniowujących, sprzętu elektromedycznego i elektroterapeutycznego</t>
  </si>
  <si>
    <t>Bestrahlungs- und Elektrotherapiegeräte und elektromedizinische Geräte</t>
  </si>
  <si>
    <t>2670Z</t>
  </si>
  <si>
    <t>Produkcja instrumentów optycznych i sprzętu fotograficznego</t>
  </si>
  <si>
    <t>Optische und fotografische Instrumente und Geräte</t>
  </si>
  <si>
    <t>2680Z</t>
  </si>
  <si>
    <t>Produkcja magnetycznych i optycznych niezapisanych nośników informacji</t>
  </si>
  <si>
    <t>Magnetische und optische Datenträger</t>
  </si>
  <si>
    <t>2711Z</t>
  </si>
  <si>
    <t>Produkcja elektrycznych silników, prądnic i transformatorów</t>
  </si>
  <si>
    <t>Elektromotoren, Generatoren und Transformatoren</t>
  </si>
  <si>
    <t>Manufacture of electric motors, generators and transformers</t>
  </si>
  <si>
    <t>2712Z</t>
  </si>
  <si>
    <t>Produkcja aparatury rozdzielczej i sterowniczej energii elektrycznej</t>
  </si>
  <si>
    <t>Elektrizitätsverteilungs- und -schalteinrichtungen</t>
  </si>
  <si>
    <t>2720Z</t>
  </si>
  <si>
    <t>Produkcja baterii i akumulatorów</t>
  </si>
  <si>
    <t>Batterien und Akkumulatoren</t>
  </si>
  <si>
    <t>2731Z</t>
  </si>
  <si>
    <t>Produkcja kabli światłowodowych</t>
  </si>
  <si>
    <t>Glasfaserkabel</t>
  </si>
  <si>
    <t>2732Z</t>
  </si>
  <si>
    <t>Produkcja pozostałych elektronicznych i elektrycznych przewodów i kabli</t>
  </si>
  <si>
    <t xml:space="preserve">Sonstige elektronische und elektrische Drähte und Kabel </t>
  </si>
  <si>
    <t>Manufacture of other electronic and electric wires and cables</t>
  </si>
  <si>
    <t>2733Z</t>
  </si>
  <si>
    <t>Produkcja sprzętu instalacyjnego</t>
  </si>
  <si>
    <t xml:space="preserve">Elektrisches Installationsmaterial </t>
  </si>
  <si>
    <t>2740Z</t>
  </si>
  <si>
    <t>Produkcja elektrycznego sprzętu oświetleniowego</t>
  </si>
  <si>
    <t>2751Z</t>
  </si>
  <si>
    <t>Produkcja elektrycznego sprzętu gospodarstwa domowego</t>
  </si>
  <si>
    <t xml:space="preserve">Elektrische Haushaltsgeräte </t>
  </si>
  <si>
    <t>2752Z</t>
  </si>
  <si>
    <t>Produkcja nieelektrycznego sprzętu gospodarstwa domowego</t>
  </si>
  <si>
    <t xml:space="preserve">Nichtelektrische Haushaltsgeräte </t>
  </si>
  <si>
    <t>2790Z</t>
  </si>
  <si>
    <t>Produkcja pozostałego sprzętu elektrycznego</t>
  </si>
  <si>
    <t xml:space="preserve">Sonstige elektrische Ausrüstungen und Geräte, a.n.g. </t>
  </si>
  <si>
    <t>2811Z</t>
  </si>
  <si>
    <t>Produkcja silników i turbin, z wyłączeniem silników lotniczych, samochodowych i motocyklowych</t>
  </si>
  <si>
    <t>Verbrennungsmotoren und Turbinen, ohne Motoren für Luft- und Straßenfahrzeuge</t>
  </si>
  <si>
    <t>2812Z</t>
  </si>
  <si>
    <t>Produkcja sprzętu i wyposażenia do napędu hydraulicznego i pneumatycznego</t>
  </si>
  <si>
    <t xml:space="preserve">Hydraulische und pneumatische Maschinen </t>
  </si>
  <si>
    <t>2813Z</t>
  </si>
  <si>
    <t>Produkcja pozostałych pomp i sprężarek</t>
  </si>
  <si>
    <t xml:space="preserve">Sonstige Pumpen und Kompressoren </t>
  </si>
  <si>
    <t>2814Z</t>
  </si>
  <si>
    <t>Produkcja pozostałych kurków i zaworów</t>
  </si>
  <si>
    <t>Sonstige Armaturen</t>
  </si>
  <si>
    <t>2815Z</t>
  </si>
  <si>
    <t>Produkcja łożysk, kół zębatych, przekładni zębatych i elementów napędowych</t>
  </si>
  <si>
    <t>Lager, Getriebe, Zahnräder und Antriebselemente</t>
  </si>
  <si>
    <t>2821Z</t>
  </si>
  <si>
    <t>Produkcja pieców, palenisk i palników piecowych</t>
  </si>
  <si>
    <t>Öfen und Brenner</t>
  </si>
  <si>
    <t>2822Z</t>
  </si>
  <si>
    <t>Produkcja urządzeń dźwigowych i chwytaków</t>
  </si>
  <si>
    <t>Hebezeuge und Fördermittel</t>
  </si>
  <si>
    <t>2823Z</t>
  </si>
  <si>
    <t>Produkcja maszyn i sprzętu biurowego, z wyłączeniem komputerów i urządzeń peryferyjnych</t>
  </si>
  <si>
    <t xml:space="preserve">Büromaschinen (ohne Datenverarbeitungsgeräte und periphere Geräte) </t>
  </si>
  <si>
    <t>2824Z</t>
  </si>
  <si>
    <t>Produkcja narzędzi ręcznych mechanicznych</t>
  </si>
  <si>
    <t xml:space="preserve">Handgeführte Werkzeuge mit Motorantrieb </t>
  </si>
  <si>
    <t>2825Z</t>
  </si>
  <si>
    <t>Produkcja przemysłowych urządzeń chłodniczych i wentylacyjnych</t>
  </si>
  <si>
    <t xml:space="preserve">Kälte- und lufttechnische Erzeugnisse (ohne solche für den Haushalt) </t>
  </si>
  <si>
    <t>2829Z</t>
  </si>
  <si>
    <t>Produkcja pozostałych maszyn ogólnego przeznaczenia, gdzie indziej niesklasyfikowana</t>
  </si>
  <si>
    <t xml:space="preserve">Sonstige nicht wirtschaftszweigspezifische Maschinen, a.n.g. </t>
  </si>
  <si>
    <t>2830Z</t>
  </si>
  <si>
    <t>Produkcja maszyn dla rolnictwa i leśnictwa</t>
  </si>
  <si>
    <t>Land- und forstwirtschaftliche Maschinen</t>
  </si>
  <si>
    <t>2841Z</t>
  </si>
  <si>
    <t>Produkcja maszyn do obróbki metalu</t>
  </si>
  <si>
    <t xml:space="preserve">Werkzeugmaschinen für die Metallbearbeitung </t>
  </si>
  <si>
    <t>Manufacture of metal forming machinery</t>
  </si>
  <si>
    <t>2849Z</t>
  </si>
  <si>
    <t>Produkcja pozostałych narzędzi mechanicznych</t>
  </si>
  <si>
    <t xml:space="preserve">Sonstige Werkzeugmaschinen </t>
  </si>
  <si>
    <t>Manufacture of other machine tools</t>
  </si>
  <si>
    <t>2891Z</t>
  </si>
  <si>
    <t>Produkcja maszyn dla metalurgii</t>
  </si>
  <si>
    <t>Maschinen für die Metallerzeugung, Walzwerkseinrichtungen und Gießmaschinen</t>
  </si>
  <si>
    <t>2892Z</t>
  </si>
  <si>
    <t>Produkcja maszyn dla górnictwa i do wydobywania oraz budownictwa</t>
  </si>
  <si>
    <t>Bergwerks-, Bau- und Baustoffmaschinen</t>
  </si>
  <si>
    <t>Manufacture of machinery for mining, quarrying and construction</t>
  </si>
  <si>
    <t>2893Z</t>
  </si>
  <si>
    <t>Produkcja maszyn stosowanych w przetwórstwie żywności, tytoniu i produkcji napojów</t>
  </si>
  <si>
    <t xml:space="preserve">Maschinen für die Nahrungs- und Genussmittelerzeugung und die Tabakverarbeitung </t>
  </si>
  <si>
    <t>2894Z</t>
  </si>
  <si>
    <t>Produkcja maszyn dla przemysłu tekstylnego, odzieżowego i skórzanego</t>
  </si>
  <si>
    <t xml:space="preserve">Maschinen für die Textil- und Bekleidungsherstellung und die Lederverarbeitung </t>
  </si>
  <si>
    <t>2895Z</t>
  </si>
  <si>
    <t>Produkcja maszyn dla przemysłu papierniczego</t>
  </si>
  <si>
    <t xml:space="preserve">Maschinen für die Papiererzeugung und -verarbeitung </t>
  </si>
  <si>
    <t>2896Z</t>
  </si>
  <si>
    <t>Produkcja maszyn do obróbki gumy lub tworzyw sztucznych oraz wytwarzania wyrobów z tych materiałów</t>
  </si>
  <si>
    <t>2899Z</t>
  </si>
  <si>
    <t>Produkcja pozostałych maszyn specjalnego przeznaczenia, gdzie indziej niesklasyfikowana</t>
  </si>
  <si>
    <t>Wirtschaftszweigspezifische Maschinen, a. n. g.</t>
  </si>
  <si>
    <t>Manufacture of other special-purpose machinery n.e.c.</t>
  </si>
  <si>
    <t>2910A</t>
  </si>
  <si>
    <t>Produkcja silników do pojazdów samochodowych (z wyłączeniem motocykli) oraz do ciągników rolniczych</t>
  </si>
  <si>
    <t>2910B</t>
  </si>
  <si>
    <t>Produkcja samochodów osobowych</t>
  </si>
  <si>
    <t>2910C</t>
  </si>
  <si>
    <t>Produkcja autobusów</t>
  </si>
  <si>
    <t>2910D</t>
  </si>
  <si>
    <t>Produkcja pojazdów samochodowych przeznaczonych do przewozu towarów</t>
  </si>
  <si>
    <t>Kraftfahrzeugen für die Warenbeförderung</t>
  </si>
  <si>
    <t>2910E</t>
  </si>
  <si>
    <t>Produkcja pozostałych pojazdów samochodowych, z wyłączeniem motocykli</t>
  </si>
  <si>
    <t>Sonstige Pkw mit Ausnahme von Motorrädern</t>
  </si>
  <si>
    <t>Manufacture of other motor vehicles, except motorcycles</t>
  </si>
  <si>
    <t>2920Z</t>
  </si>
  <si>
    <t>Produkcja nadwozi do pojazdów silnikowych; produkcja przyczep i naczep</t>
  </si>
  <si>
    <t xml:space="preserve">Karosserien, Aufbauten und Anhänger </t>
  </si>
  <si>
    <t>2931Z</t>
  </si>
  <si>
    <t>Produkcja wyposażenia elektrycznego i elektronicznego do pojazdów silnikowych</t>
  </si>
  <si>
    <t>Elektrische und elektronische Ausrüstungsgegenstände für Kraftwagen</t>
  </si>
  <si>
    <t>2932Z</t>
  </si>
  <si>
    <t>Produkcja pozostałych części i akcesoriów do pojazdów silnikowych, z wyłączeniem motocykli</t>
  </si>
  <si>
    <t>Sonstige Teile und sonstiges Zubehör für Kraftwagen, ohne Motorräder</t>
  </si>
  <si>
    <t>3011Z</t>
  </si>
  <si>
    <t>Produkcja statków i konstrukcji pływających</t>
  </si>
  <si>
    <t>Schiffe (ohne Boote und Yachten)</t>
  </si>
  <si>
    <t>3012Z</t>
  </si>
  <si>
    <t>Produkcja łodzi wycieczkowych i sportowych</t>
  </si>
  <si>
    <t>Boote und Yachten</t>
  </si>
  <si>
    <t>3020Z</t>
  </si>
  <si>
    <t>Produkcja lokomotyw kolejowych oraz taboru szynowego</t>
  </si>
  <si>
    <t>Schienenfahrzeuge</t>
  </si>
  <si>
    <t>3030Z</t>
  </si>
  <si>
    <t>Produkcja statków powietrznych, statków kosmicznych i podobnych maszyn</t>
  </si>
  <si>
    <t xml:space="preserve">Luft- und Raumfahrzeuge </t>
  </si>
  <si>
    <t>3040Z</t>
  </si>
  <si>
    <t>Produkcja wojskowych pojazdów bojowych</t>
  </si>
  <si>
    <t>3091Z</t>
  </si>
  <si>
    <t>Produkcja motocykli</t>
  </si>
  <si>
    <t>Krafträder</t>
  </si>
  <si>
    <t>3092Z</t>
  </si>
  <si>
    <t>Produkcja rowerów i wózków inwalidzkich</t>
  </si>
  <si>
    <t>3099Z</t>
  </si>
  <si>
    <t>Produkcja pozostałego sprzętu transportowego, gdzie indziej niesklasyfikowana</t>
  </si>
  <si>
    <t xml:space="preserve">Sonstige Fahrzeuge, a.n.g. </t>
  </si>
  <si>
    <t>3101Z</t>
  </si>
  <si>
    <t>Produkcja mebli biurowych i sklepowych</t>
  </si>
  <si>
    <t>Büro- und Ladenmöbel</t>
  </si>
  <si>
    <t>Manufacture of office and shop furniture</t>
  </si>
  <si>
    <t>3102Z</t>
  </si>
  <si>
    <t>Produkcja mebli kuchennych</t>
  </si>
  <si>
    <t>Küchenmöbel</t>
  </si>
  <si>
    <t>Manufacture of kitchen furniture</t>
  </si>
  <si>
    <t>3103Z</t>
  </si>
  <si>
    <t>Produkcja materaców</t>
  </si>
  <si>
    <t>Matratzen</t>
  </si>
  <si>
    <t>3109Z</t>
  </si>
  <si>
    <t>Produkcja pozostałych mebli</t>
  </si>
  <si>
    <t>Sonstige Möbel</t>
  </si>
  <si>
    <t>Manufacture of other furniture</t>
  </si>
  <si>
    <t>3211Z</t>
  </si>
  <si>
    <t>Produkcja monet</t>
  </si>
  <si>
    <t>3212Z</t>
  </si>
  <si>
    <t>Produkcja wyrobów jubilerskich i podobnych</t>
  </si>
  <si>
    <t>3213Z</t>
  </si>
  <si>
    <t>Produkcja sztucznej biżuterii i wyrobów podobnych</t>
  </si>
  <si>
    <t>3220Z</t>
  </si>
  <si>
    <t>Produkcja instrumentów muzycznych</t>
  </si>
  <si>
    <t>Musikinstrumente</t>
  </si>
  <si>
    <t>3230Z</t>
  </si>
  <si>
    <t>Produkcja sprzętu sportowego</t>
  </si>
  <si>
    <t>Sportgeräte</t>
  </si>
  <si>
    <t>3240Z</t>
  </si>
  <si>
    <t>Produkcja gier i zabawek</t>
  </si>
  <si>
    <t>Spielwaren</t>
  </si>
  <si>
    <t>3250Z</t>
  </si>
  <si>
    <t>Produkcja urządzeń, instrumentów oraz wyrobów medycznych, włączając dentystyczne</t>
  </si>
  <si>
    <t>Medizinische und zahnmedizinische Apparate und Materialien</t>
  </si>
  <si>
    <t>3291Z</t>
  </si>
  <si>
    <t>Produkcja mioteł, szczotek i pędzli</t>
  </si>
  <si>
    <t>3299Z</t>
  </si>
  <si>
    <t>Produkcja pozostałych wyrobów, gdzie indziej niesklasyfikowana</t>
  </si>
  <si>
    <t>Sonstige Erzeugnisse, a. n. g.</t>
  </si>
  <si>
    <t>3311Z</t>
  </si>
  <si>
    <t>Naprawa i konserwacja metalowych wyrobów gotowych</t>
  </si>
  <si>
    <t xml:space="preserve">Reparaturarbeiten an Metallerzeugnissen </t>
  </si>
  <si>
    <t>Repair and maintenance of fabricated metal products</t>
  </si>
  <si>
    <t>3312Z</t>
  </si>
  <si>
    <t>Naprawa i konserwacja maszyn</t>
  </si>
  <si>
    <t>Reparaturarbeiten an Maschinen</t>
  </si>
  <si>
    <t>Repair and maintenance of machinery</t>
  </si>
  <si>
    <t>3313Z</t>
  </si>
  <si>
    <t>Naprawa i konserwacja urządzeń elektronicznych i optycznych</t>
  </si>
  <si>
    <t>Reparaturarbeiten an elektronischen und optischen Geräten</t>
  </si>
  <si>
    <t>Repair and maintenance of electronic and optical equipment</t>
  </si>
  <si>
    <t>3314Z</t>
  </si>
  <si>
    <t>Naprawa i konserwacja urządzeń elektrycznych</t>
  </si>
  <si>
    <t>Reparaturarbeiten an elektrischen Ausrüstungen</t>
  </si>
  <si>
    <t>Repair and maintenance of electrical equipment</t>
  </si>
  <si>
    <t>3315Z</t>
  </si>
  <si>
    <t>Naprawa i konserwacja statków i łodzi</t>
  </si>
  <si>
    <t>Reparatur- und Instandhaltungsarbeiten an Schiffen und Booten</t>
  </si>
  <si>
    <t>Repair and maintenance of ships and boats</t>
  </si>
  <si>
    <t>3316Z</t>
  </si>
  <si>
    <t>Naprawa i konserwacja statków powietrznych i statków kosmicznych</t>
  </si>
  <si>
    <t>Reparatur- und Instandhaltungsarbeiten an Luft- und Raumfahrzeugen</t>
  </si>
  <si>
    <t>3317Z</t>
  </si>
  <si>
    <t>Naprawa i konserwacja pozostałego sprzętu transportowego</t>
  </si>
  <si>
    <t>Reparatur- und Instandhaltungsarbeiten an Fahrzeugen, a. n. g.;</t>
  </si>
  <si>
    <t>3319Z</t>
  </si>
  <si>
    <t>Naprawa i konserwacja pozostałego sprzętu i wyposażenia</t>
  </si>
  <si>
    <t>Reparaturarbeiten an sonstigen Ausrüstungen</t>
  </si>
  <si>
    <t>3320Z</t>
  </si>
  <si>
    <t>Instalowanie maszyn przemysłowych, sprzętu i wyposażenia</t>
  </si>
  <si>
    <t xml:space="preserve">Installationsarbeiten an industriell-gewerblichen Maschinen und Ausrüstungen </t>
  </si>
  <si>
    <t>Installation of industrial machinery and equipment</t>
  </si>
  <si>
    <t>3511Z</t>
  </si>
  <si>
    <t>Wytwarzanie energii elektrycznej</t>
  </si>
  <si>
    <t xml:space="preserve">Elektrischer Strom </t>
  </si>
  <si>
    <t>Production of electricity</t>
  </si>
  <si>
    <t>3512Z</t>
  </si>
  <si>
    <t>Przesyłanie energii elektrycznej</t>
  </si>
  <si>
    <t xml:space="preserve">Dienstleistungen der Elektrizitätsübertragung </t>
  </si>
  <si>
    <t>Transmission of electricity</t>
  </si>
  <si>
    <t>3513Z</t>
  </si>
  <si>
    <t>Dystrybucja energii elektrycznej</t>
  </si>
  <si>
    <t xml:space="preserve">Dienstleistungen der Elektrizitätsverteilung </t>
  </si>
  <si>
    <t>Distribution of electricity</t>
  </si>
  <si>
    <t>3514Z</t>
  </si>
  <si>
    <t>Handel energią elektryczną</t>
  </si>
  <si>
    <t xml:space="preserve">Dienstleistungen des Elektrizitätshandels </t>
  </si>
  <si>
    <t>Trade of electricity</t>
  </si>
  <si>
    <t>3521Z</t>
  </si>
  <si>
    <t>Wytwarzanie paliw gazowych</t>
  </si>
  <si>
    <t xml:space="preserve">Industriell erzeugte Gase </t>
  </si>
  <si>
    <t>Manufacture of gaseous fuels</t>
  </si>
  <si>
    <t>3522Z</t>
  </si>
  <si>
    <t>Dystrybucja paliw gazowych w systemie sieciowym</t>
  </si>
  <si>
    <t xml:space="preserve">Dienstleistungen der Gasversorgung durch Rohrleitungen </t>
  </si>
  <si>
    <t>Distribution of gaseous fuels through mains</t>
  </si>
  <si>
    <t>3523Z</t>
  </si>
  <si>
    <t>Handel paliwami gazowymi w systemie sieciowym</t>
  </si>
  <si>
    <t xml:space="preserve">Dienstleistungen des Gashandels durch Rohrleitungen </t>
  </si>
  <si>
    <t>Trade of gaseous fuels through mains</t>
  </si>
  <si>
    <t>3530Z</t>
  </si>
  <si>
    <t>Wytwarzanie i zaopatrywanie w parę wodną, gorącą wodę i powietrze do układów klimatyzacyjnych</t>
  </si>
  <si>
    <t xml:space="preserve">Dienstleistungen der Wärme- und Kälteversorgung </t>
  </si>
  <si>
    <t>Steam, hot water and air conditioning generation and supply</t>
  </si>
  <si>
    <t>3600Z</t>
  </si>
  <si>
    <t>POBÓR, UZDATNIANIE I DOSTARCZANIE WODY</t>
  </si>
  <si>
    <t xml:space="preserve">Wasser; Dienstleistungen der Wasserversorgung sowie des Wasserhandels durch Rohrleitungen </t>
  </si>
  <si>
    <t>3700Z</t>
  </si>
  <si>
    <t>ODPROWADZANIE I OCZYSZCZANIE ŚCIEKÓW</t>
  </si>
  <si>
    <t xml:space="preserve">Abwasserentsorgungsdienstleistungen </t>
  </si>
  <si>
    <t>SEWAGE DISPOSAL AND TREATMENT</t>
  </si>
  <si>
    <t>3811Z</t>
  </si>
  <si>
    <t>Zbieranie odpadów innych niż niebezpieczne</t>
  </si>
  <si>
    <t>Ungefährliche Abfälle; Dienstleistungen der Sammlung ungefährlicher Abfälle</t>
  </si>
  <si>
    <t>Collection of non-hazardous waste</t>
  </si>
  <si>
    <t>3812Z</t>
  </si>
  <si>
    <t>Zbieranie odpadów niebezpiecznych</t>
  </si>
  <si>
    <t xml:space="preserve">Gefährliche Abfälle; Dienstleistungen der Sammlung gefährlicher Abfälle </t>
  </si>
  <si>
    <t>Collection of hazardous waste</t>
  </si>
  <si>
    <t>3821Z</t>
  </si>
  <si>
    <t>Obróbka i usuwanie odpadów innych niż niebezpieczne</t>
  </si>
  <si>
    <t xml:space="preserve">Dienstleistungen der Behandlung und Beseitigung ungefährlicher Abfälle </t>
  </si>
  <si>
    <t>Treatment and disposal of non-hazardous waste</t>
  </si>
  <si>
    <t>3822Z</t>
  </si>
  <si>
    <t>Przetwarzanie i unieszkodliwianie odpadów niebezpiecznych</t>
  </si>
  <si>
    <t xml:space="preserve">Dienstleistungen der Behandlung und Beseitigung gefährlicher Abfälle </t>
  </si>
  <si>
    <t>Hazardous waste processing and neutralizing</t>
  </si>
  <si>
    <t>3831Z</t>
  </si>
  <si>
    <t>Demontaż wyrobów zużytych</t>
  </si>
  <si>
    <t xml:space="preserve">Dienstleistungen des Zerlegens von Schiffs- und Fahrzeugwracks und anderen Altwaren </t>
  </si>
  <si>
    <t>Dismantling of wrecks</t>
  </si>
  <si>
    <t>3832Z</t>
  </si>
  <si>
    <t>Odzysk surowców z materiałów segregowanych</t>
  </si>
  <si>
    <t xml:space="preserve">Dienstleistungen der Rückgewinnung sortierter Werkstoffe; Sekundärrohstoffe </t>
  </si>
  <si>
    <t>Recovery of sorted materials</t>
  </si>
  <si>
    <t>3900Z</t>
  </si>
  <si>
    <t>DZIAŁALNOŚĆ ZWIĄZANA Z REKULTYWACJĄ I POZOSTAŁA DZIAŁALNOŚĆ USŁUGOWA ZWIĄZANA Z GOSPODARKĄ ODPADAMI</t>
  </si>
  <si>
    <t xml:space="preserve">Dienstleistungen der Beseitigung von Umweltverschmutzungen und sonstigen Entsorgung </t>
  </si>
  <si>
    <t>Remediation activities and other waste management services</t>
  </si>
  <si>
    <t>4110Z</t>
  </si>
  <si>
    <t>Realizacja projektów budowlanych związanych ze wznoszeniem budynków</t>
  </si>
  <si>
    <t>Bauprojekte i.Z.m. der Errichtung von Gebäuden</t>
  </si>
  <si>
    <t>Development of building projects</t>
  </si>
  <si>
    <t>4120Z</t>
  </si>
  <si>
    <t>Roboty budowlane związane ze wznoszeniem budynków mieszkalnych i niemieszkalnych</t>
  </si>
  <si>
    <t>Bauarbeiten i.Z.m. der Errichtung von Wohn- und Nichtwohngebäuden</t>
  </si>
  <si>
    <t>Construction of residential and non-residential buildings</t>
  </si>
  <si>
    <t>4211Z</t>
  </si>
  <si>
    <t>Roboty związane z budową dróg i autostrad</t>
  </si>
  <si>
    <t xml:space="preserve">Straßen und Autobahnen; Bauarbeiten an Straßen und Autobahnen </t>
  </si>
  <si>
    <t>Construction of roads and motorways</t>
  </si>
  <si>
    <t>4212Z</t>
  </si>
  <si>
    <t>Roboty związane z budową dróg szynowych i kolei podziemnej</t>
  </si>
  <si>
    <t>Bahnverkehrsstrecken und Untergrund-Bahnverkehrsstrecken; Bauarbeiten an Bahnverkehrsstrecken und Untergrund-Bahnverkehrsstrecken</t>
  </si>
  <si>
    <t>Construction of railways and subways</t>
  </si>
  <si>
    <t>4213Z</t>
  </si>
  <si>
    <t>Roboty związane z budową mostów i tuneli</t>
  </si>
  <si>
    <t xml:space="preserve">Brücken und Tunnel; Bauarbeiten an Brücken und Tunneln </t>
  </si>
  <si>
    <t>Construction of bridges and tunnels</t>
  </si>
  <si>
    <t>4221Z</t>
  </si>
  <si>
    <t>Roboty związane z budową rurociągów przesyłowych i sieci rozdzielczych</t>
  </si>
  <si>
    <t xml:space="preserve">Tiefbau-Rohrleitungen, Brunnen und Kläranlagen; Bauarbeiten an Tiefbau-Rohrleitungen, Brunnen und Kläranlagen </t>
  </si>
  <si>
    <t>Construction of transmission pipelines and distribution networks</t>
  </si>
  <si>
    <t>4222Z</t>
  </si>
  <si>
    <t>Roboty związane z budową linii telekomunikacyjnych i elektroenergetycznych</t>
  </si>
  <si>
    <t xml:space="preserve">Bauwerke für und Bauarbeiten an Versorgungseinrichtungen für elektrischen Strom und Telekommunikation </t>
  </si>
  <si>
    <t>Construction of telecommunication and power supply lines</t>
  </si>
  <si>
    <t>4291Z</t>
  </si>
  <si>
    <t>Roboty związane z budową obiektów inżynierii wodnej</t>
  </si>
  <si>
    <t xml:space="preserve">Bauten des Wasserbaus; Wasserbauarbeiten </t>
  </si>
  <si>
    <t>Construction of water projects</t>
  </si>
  <si>
    <t>4299Z</t>
  </si>
  <si>
    <t>Roboty związane z budową pozostałych obiektów inżynierii lądowej i wodnej, gdzie indziej niesklasyfikowane</t>
  </si>
  <si>
    <t xml:space="preserve">Sonstige Tiefbauten und Tiefbauarbeiten, a.n.g. </t>
  </si>
  <si>
    <t>Construction of other civil engineering projects n.e.c.</t>
  </si>
  <si>
    <t>4311Z</t>
  </si>
  <si>
    <t>Rozbiórka i burzenie obiektów budowlanych</t>
  </si>
  <si>
    <t xml:space="preserve">Abbrucharbeiten </t>
  </si>
  <si>
    <t>Demolition and pulling down of building structures</t>
  </si>
  <si>
    <t>4312Z</t>
  </si>
  <si>
    <t>Przygotowanie terenu pod budowę</t>
  </si>
  <si>
    <t xml:space="preserve">Vorbereitende Baustellenarbeiten </t>
  </si>
  <si>
    <t>Construction site preparation</t>
  </si>
  <si>
    <t>4313Z</t>
  </si>
  <si>
    <t>Wykonywanie wykopów i wierceń geologiczno-inżynierskich</t>
  </si>
  <si>
    <t xml:space="preserve">Test- und Suchbohrungsarbeiten </t>
  </si>
  <si>
    <t>Test drilling and boring</t>
  </si>
  <si>
    <t>4321Z</t>
  </si>
  <si>
    <t>Wykonywanie instalacji elektrycznych</t>
  </si>
  <si>
    <t>Elektroinstallationsarbeiten</t>
  </si>
  <si>
    <t>Electrical wiring</t>
  </si>
  <si>
    <t>4322Z</t>
  </si>
  <si>
    <t>Wykonywanie instalacji wodno-kanalizacyjnych, cieplnych, gazowych i klimatyzacyjnych</t>
  </si>
  <si>
    <t xml:space="preserve">Gas-, Wasser-, Heizungs- und Lüftungs- und Klimaanlageninstallationsarbeiten </t>
  </si>
  <si>
    <t>Plumbing, heat, gas and air-conditioning installation</t>
  </si>
  <si>
    <t>4329Z</t>
  </si>
  <si>
    <t>Wykonywanie pozostałych instalacji budowlanych</t>
  </si>
  <si>
    <t>Sonstige Bauinstallationsarbeiten</t>
  </si>
  <si>
    <t>Other construction installation</t>
  </si>
  <si>
    <t>4331Z</t>
  </si>
  <si>
    <t>Tynkowanie</t>
  </si>
  <si>
    <t xml:space="preserve">Stuck-, Gips- und Verputzarbeiten </t>
  </si>
  <si>
    <t>Plastering</t>
  </si>
  <si>
    <t>4332Z</t>
  </si>
  <si>
    <t>Zakładanie stolarki budowlanej</t>
  </si>
  <si>
    <t xml:space="preserve">Bautischler- und Bauschlosserarbeiten </t>
  </si>
  <si>
    <t>Building joinery installation</t>
  </si>
  <si>
    <t>4333Z</t>
  </si>
  <si>
    <t>Posadzkarstwo; tapetowanie i oblicowywanie ścian</t>
  </si>
  <si>
    <t>Fußboden-, Fliesen- und Parkettlegearbeiten, Wandverkleidearbeiten</t>
  </si>
  <si>
    <t>Floor covering, wallpapering and wall facing</t>
  </si>
  <si>
    <t>4334Z</t>
  </si>
  <si>
    <t>Malowanie i szklenie</t>
  </si>
  <si>
    <t xml:space="preserve">Maler- und Glasereiarbeiten </t>
  </si>
  <si>
    <t>Painting and glazing</t>
  </si>
  <si>
    <t>4339Z</t>
  </si>
  <si>
    <t>Wykonywanie pozostałych robót budowlanych wykończeniowych</t>
  </si>
  <si>
    <t xml:space="preserve">Sonstige Ausbauarbeiten </t>
  </si>
  <si>
    <t>Other building completion work</t>
  </si>
  <si>
    <t>4391Z</t>
  </si>
  <si>
    <t>Wykonywanie konstrukcji i pokryć dachowych</t>
  </si>
  <si>
    <t xml:space="preserve">Errichtungsarbeiten an Dächern </t>
  </si>
  <si>
    <t>Roofing activities</t>
  </si>
  <si>
    <t>4399Z</t>
  </si>
  <si>
    <t>Pozostałe specjalistyczne roboty budowlane, gdzie indziej niesklasyfikowane</t>
  </si>
  <si>
    <t>Sonstige spezialisierte Bautätigkeiten, a.n.g.</t>
  </si>
  <si>
    <t>Other specialised construction activities n.e.c.</t>
  </si>
  <si>
    <t>4511Z</t>
  </si>
  <si>
    <t>Sprzedaż hurtowa i detaliczna samochodów osobowych i furgonetek</t>
  </si>
  <si>
    <t xml:space="preserve">Handelsleistungen mit Kraftwagen mit einem Gesamtgewicht von 3,5 t oder weniger </t>
  </si>
  <si>
    <t>Wholesale and retail trade of passenger cars and delivery vans</t>
  </si>
  <si>
    <t>4519Z</t>
  </si>
  <si>
    <t>Sprzedaż hurtowa i detaliczna pozostałych pojazdów samochodowych, z wyłączeniem motocykli</t>
  </si>
  <si>
    <t xml:space="preserve">Handelsleistungen mit sonstigen Kraftwagen </t>
  </si>
  <si>
    <t>Wholesale and retail trade of other motor vehicles, except motorcycles</t>
  </si>
  <si>
    <t>4520Z</t>
  </si>
  <si>
    <t>Konserwacja i naprawa pojazdów samochodowych, z wyłączeniem motocykli</t>
  </si>
  <si>
    <t xml:space="preserve">Instandhaltungs- und Reparaturarbeiten an Kraftwagen </t>
  </si>
  <si>
    <t>Maintenance and repair of motor vehicles, except motorcycles</t>
  </si>
  <si>
    <t>4531Z</t>
  </si>
  <si>
    <t>Sprzedaż hurtowa części i akcesoriów do pojazdów samochodowych, z wyłączeniem motocykli</t>
  </si>
  <si>
    <t>Großhandelsleistungen mit Kraftwagenteilen und -zubehör</t>
  </si>
  <si>
    <t>Trade services of motor vehicle parts and accessories, excluding motorcycles</t>
  </si>
  <si>
    <t>4532Z</t>
  </si>
  <si>
    <t>Sprzedaż detaliczna części i akcesoriów do pojazdów samochodowych, z wyłączeniem motocykli</t>
  </si>
  <si>
    <t>Einzelhandelsleistungen mit Kraftwagenteilen und -zubehör</t>
  </si>
  <si>
    <t>Retail sale of motor vehicle parts and accessories, excluding motorcycles</t>
  </si>
  <si>
    <t>4540Z</t>
  </si>
  <si>
    <t>Sprzedaż hurtowa i detaliczna motocykli, ich naprawa i konserwacja oraz sprzedaż hurtowa i detaliczna części i akcesoriów do nich</t>
  </si>
  <si>
    <t xml:space="preserve">Handelsleistungen mit Krafträdern, Kraftradteilen und -zubehör; Instandhaltungs- und Reparaturarbeiten an Krafträdern </t>
  </si>
  <si>
    <t>4611Z</t>
  </si>
  <si>
    <t>Działalność agentów zajmujących się sprzedażą płodów rolnych, żywych zwierząt, surowców dla przemysłu tekstylnego i półproduktów</t>
  </si>
  <si>
    <t xml:space="preserve">Handelsvermittlungsleistungen mit landwirtschaftlichen Grundstoffen, lebenden Tieren, textilen Rohstoffen und Halbwaren </t>
  </si>
  <si>
    <t>Agents involved in the sale of agricultural produce, live animals, textile raw materials and semi-finished goods</t>
  </si>
  <si>
    <t>4612Z</t>
  </si>
  <si>
    <t>Działalność agentów zajmujących się sprzedażą paliw, rud, metali i chemikaliów przemysłowych</t>
  </si>
  <si>
    <t>Handelsvermittlungsleistungen von Brennstoffen, Erzen, Metallen und technischen Chemikalien</t>
  </si>
  <si>
    <t>Agents involved in the sale of fuels, ores, metals and industrial chemicals</t>
  </si>
  <si>
    <t>4613Z</t>
  </si>
  <si>
    <t>Działalność agentów zajmujących się sprzedażą drewna i materiałów budowlanych</t>
  </si>
  <si>
    <t>Handelsvermittlungsleistungen von Holz, Baustoffen und Anstrichmitteln</t>
  </si>
  <si>
    <t>Agents involved in the sale of wood and building materials</t>
  </si>
  <si>
    <t>4614Z</t>
  </si>
  <si>
    <t>Działalność agentów zajmujących się sprzedażą maszyn, urządzeń przemysłowych, statków i samolotów</t>
  </si>
  <si>
    <t>Handelsvermittlungsleistungen von Maschinen, technischem Bedarf, Wasser- und Luftfahrzeugen</t>
  </si>
  <si>
    <t>Agents involved in the sale of machinery, industrial equipment, ships and aircraft</t>
  </si>
  <si>
    <t>4615Z</t>
  </si>
  <si>
    <t>Działalność agentów zajmujących się sprzedażą mebli, artykułów gospodarstwa domowego i drobnych wyrobów metalowych</t>
  </si>
  <si>
    <t>Handelsvermittlungsleistungen von Möbeln, Einrichtungs- und Haushaltsgegenständen, Eisen- und Metallwaren</t>
  </si>
  <si>
    <t>Agents involved in the sale of furniture, household goods, hardware and ironmongery</t>
  </si>
  <si>
    <t>4616Z</t>
  </si>
  <si>
    <t>Działalność agentów zajmujących się sprzedażą wyrobów tekstylnych, odzieży, wyrobów futrzarskich, obuwia i artykułów skórzanych</t>
  </si>
  <si>
    <t>4617Z</t>
  </si>
  <si>
    <t>Działalność agentów zajmujących się sprzedażą żywności, napojów i wyrobów tytoniowych</t>
  </si>
  <si>
    <t>Handelsvermittlungsleistungen von Nahrungsmitteln, Getränken und Tabakwaren</t>
  </si>
  <si>
    <t>4618Z</t>
  </si>
  <si>
    <t>Działalność agentów specjalizujących się w sprzedaży pozostałych określonych towarów</t>
  </si>
  <si>
    <t>Handelsvermittlungsleistungen von sonstigen Waren</t>
  </si>
  <si>
    <t>Agents specialised in the sale of other particular products</t>
  </si>
  <si>
    <t>4619Z</t>
  </si>
  <si>
    <t>Działalność agentów zajmujących się sprzedażą towarów różnego rodzaju</t>
  </si>
  <si>
    <t>Handelsvermittlungsleistungen von Waren, ohne ausgeprägten Schwerpunkt</t>
  </si>
  <si>
    <t>Agents involved in the sale of a variety of goods</t>
  </si>
  <si>
    <t>4621Z</t>
  </si>
  <si>
    <t>Sprzedaż hurtowa zboża, nieprzetworzonego tytoniu, nasion i pasz dla zwierząt</t>
  </si>
  <si>
    <t xml:space="preserve">Großhandelsleistungen mit Getreide, Rohtabak, Saatgut und Futtermitteln </t>
  </si>
  <si>
    <t>Wholesale of grain, unprocessed tobacco, seeds and animal feeds</t>
  </si>
  <si>
    <t>4622Z</t>
  </si>
  <si>
    <t>Sprzedaż hurtowa kwiatów i roślin</t>
  </si>
  <si>
    <t>Großhandelsleistungen mit Blumen und Pflanzen</t>
  </si>
  <si>
    <t>4623Z</t>
  </si>
  <si>
    <t>Sprzedaż hurtowa żywych zwierząt</t>
  </si>
  <si>
    <t>Großhandelsleistungen mit lebenden Tieren</t>
  </si>
  <si>
    <t>4624Z</t>
  </si>
  <si>
    <t>Sprzedaż hurtowa skór</t>
  </si>
  <si>
    <t>4631Z</t>
  </si>
  <si>
    <t>Sprzedaż hurtowa owoców i warzyw</t>
  </si>
  <si>
    <t>Großhandelsleistungen mit Obst, Gemüse und Kartoffeln</t>
  </si>
  <si>
    <t>Wholesale of fruit and vegetables</t>
  </si>
  <si>
    <t>4632Z</t>
  </si>
  <si>
    <t>Sprzedaż hurtowa mięsa i wyrobów z mięsa</t>
  </si>
  <si>
    <t>Großhandelsleistungen mit Fleisch und Fleischprodukten</t>
  </si>
  <si>
    <t>4633Z</t>
  </si>
  <si>
    <t>Sprzedaż hurtowa mleka, wyrobów mleczarskich, jaj, olejów i tłuszczów jadalnych</t>
  </si>
  <si>
    <t>Großhandelsleistungen mit Milch, Milcherzeugnissen, Eiern, Speiseölen und Nahrungsfetten</t>
  </si>
  <si>
    <t>4634A</t>
  </si>
  <si>
    <t>Sprzedaż hurtowa napojów alkoholowych</t>
  </si>
  <si>
    <t>Großhandelsleistungen mit alkoholischen Getränken</t>
  </si>
  <si>
    <t>4634B</t>
  </si>
  <si>
    <t>Sprzedaż hurtowa napojów bezalkoholowych</t>
  </si>
  <si>
    <t>Großhandelsleistungen mit alkoholfreien Getränken</t>
  </si>
  <si>
    <t>4635Z</t>
  </si>
  <si>
    <t>Sprzedaż hurtowa wyrobów tytoniowych</t>
  </si>
  <si>
    <t>Großhandelsleistungen mit Tabakwaren</t>
  </si>
  <si>
    <t>4636Z</t>
  </si>
  <si>
    <t>Sprzedaż hurtowa cukru, czekolady, wyrobów cukierniczych i piekarskich</t>
  </si>
  <si>
    <t>Großhandelsleistungen mit Zucker, Süßwaren und Backwaren</t>
  </si>
  <si>
    <t>Wholesale of sugar, chocolate, sugar confectionery and bread products</t>
  </si>
  <si>
    <t>4637Z</t>
  </si>
  <si>
    <t>Sprzedaż hurtowa herbaty, kawy, kakao i przypraw</t>
  </si>
  <si>
    <t>Großhandelsleistungen mit Kaffee, Tee, Kakao und Gewürzen</t>
  </si>
  <si>
    <t>4638Z</t>
  </si>
  <si>
    <t>Sprzedaż hurtowa pozostałej żywności, włączając ryby, skorupiaki i mięczaki</t>
  </si>
  <si>
    <t>Großhandelsleistungen mit sonstigen Nahrungsmitteln, einschließlich Fisch, Fischerzeugnissen, Krusten- und Weichtieren</t>
  </si>
  <si>
    <t>Wholesale of other food, including fish, crustaceans and molluscs</t>
  </si>
  <si>
    <t>4639Z</t>
  </si>
  <si>
    <t>Sprzedaż hurtowa niewyspecjalizowana żywności, napojów i wyrobów tytoniowych</t>
  </si>
  <si>
    <t>Großhandelsleistungen mit Nahrungsmitteln, Getränken und Tabakwaren, ohne ausgeprägten Schwerpunkt</t>
  </si>
  <si>
    <t>4641Z</t>
  </si>
  <si>
    <t>Sprzedaż hurtowa wyrobów tekstylnych</t>
  </si>
  <si>
    <t xml:space="preserve">Großhandelsleistungen mit Textilien </t>
  </si>
  <si>
    <t>4642Z</t>
  </si>
  <si>
    <t>Sprzedaż hurtowa odzieży i obuwia</t>
  </si>
  <si>
    <t>Großhandelsleistungen mit Bekleidung und Schuhen</t>
  </si>
  <si>
    <t>4643Z</t>
  </si>
  <si>
    <t>Sprzedaż hurtowa elektrycznych artykułów użytku domowego</t>
  </si>
  <si>
    <t>Großhandelsleistungen mit Foto- und optischen Erzeugnissen, elektrischen Haushaltsgeräten und Geräten der Unterhaltungselektronik</t>
  </si>
  <si>
    <t>Wholesale of electrical household appliances</t>
  </si>
  <si>
    <t>4644Z</t>
  </si>
  <si>
    <t>Sprzedaż hurtowa wyrobów porcelanowych, ceramicznych i szklanych oraz środków czyszczących</t>
  </si>
  <si>
    <t>Großhandelsleistungen mit Porzellan-, keramischen Erzeugnissen, Glaswaren und Reinigungsmitteln</t>
  </si>
  <si>
    <t>Wholesale of china, ceramics and glassware as well as cleansers</t>
  </si>
  <si>
    <t>4645Z</t>
  </si>
  <si>
    <t>Sprzedaż hurtowa perfum i kosmetyków</t>
  </si>
  <si>
    <t>Großhandelsleistungen mit Parfümeriewaren und Körperpflegemitteln</t>
  </si>
  <si>
    <t>4646Z</t>
  </si>
  <si>
    <t>Sprzedaż hurtowa wyrobów farmaceutycznych i medycznych</t>
  </si>
  <si>
    <t xml:space="preserve">Großhandelsleistungen mit pharmazeutischen, medizinischen und orthopädischen Erzeugnissen </t>
  </si>
  <si>
    <t>Wholesale of pharmaceutical and medical goods;</t>
  </si>
  <si>
    <t>4647Z</t>
  </si>
  <si>
    <t>Sprzedaż hurtowa mebli, dywanów i sprzętu oświetleniowego</t>
  </si>
  <si>
    <t>Großhandelsleistungen mit Möbeln, Teppichen, Lampen und Leuchten</t>
  </si>
  <si>
    <t>Wholesale of furniture, carpets and lighting equipment</t>
  </si>
  <si>
    <t>4648Z</t>
  </si>
  <si>
    <t>Sprzedaż hurtowa zegarków, zegarów i biżuterii</t>
  </si>
  <si>
    <t>4649Z</t>
  </si>
  <si>
    <t>Sprzedaż hurtowa pozostałych artykułów użytku domowego</t>
  </si>
  <si>
    <t>Großhandelsleistungen mit sonstigen Gebrauchs- und Verbrauchsgütern</t>
  </si>
  <si>
    <t>Wholesale of other household goods</t>
  </si>
  <si>
    <t>4651Z</t>
  </si>
  <si>
    <t>Sprzedaż hurtowa komputerów, urządzeń peryferyjnych i oprogramowania</t>
  </si>
  <si>
    <t>Großhandelsleistungen mit Datenverarbeitungsgeräten, peripheren Geräten und Software</t>
  </si>
  <si>
    <t>Wholesale of computers, computer peripheral equipment and software</t>
  </si>
  <si>
    <t>4652Z</t>
  </si>
  <si>
    <t>Sprzedaż hurtowa sprzętu elektronicznego i telekomunikacyjnego oraz części do niego</t>
  </si>
  <si>
    <t>Großhandelsleistungen mit elektronischen Bauteilen und Telekommunikationsgeräten</t>
  </si>
  <si>
    <t>Wholesale of electronic and telecommunications equipment and parts</t>
  </si>
  <si>
    <t>4661Z</t>
  </si>
  <si>
    <t>Sprzedaż hurtowa maszyn i urządzeń rolniczych oraz dodatkowego wyposażenia</t>
  </si>
  <si>
    <t>Großhandelsleistungen mit landwirtschaftlichen Maschinen und Geräten</t>
  </si>
  <si>
    <t>4662Z</t>
  </si>
  <si>
    <t>Sprzedaż hurtowa obrabiarek</t>
  </si>
  <si>
    <t>Großhandelsleistungen mit Werkzeugmaschinen</t>
  </si>
  <si>
    <t>4663Z</t>
  </si>
  <si>
    <t>Sprzedaż hurtowa maszyn wykorzystywanych w górnictwie, budownictwie oraz inżynierii lądowej i wodnej</t>
  </si>
  <si>
    <t>Großhandelsleistungen mit Bergwerks-, Bau- und Baustoffmaschinen</t>
  </si>
  <si>
    <t>Wholesale of mining, construction and civil engineering machinery</t>
  </si>
  <si>
    <t>4664Z</t>
  </si>
  <si>
    <t>Sprzedaż hurtowa maszyn dla przemysłu tekstylnego oraz maszyn do szycia i maszyn dziewiarskich</t>
  </si>
  <si>
    <t>Großhandelsleistungen mit Textil-, Näh- und Strickmaschinen</t>
  </si>
  <si>
    <t>4665Z</t>
  </si>
  <si>
    <t>Sprzedaż hurtowa mebli biurowych</t>
  </si>
  <si>
    <t>Großhandelsleistungen mit Büromöbeln</t>
  </si>
  <si>
    <t>Wholesale of office furniture;</t>
  </si>
  <si>
    <t>4666Z</t>
  </si>
  <si>
    <t>Sprzedaż hurtowa pozostałych maszyn i urządzeń biurowych</t>
  </si>
  <si>
    <t>Großhandelsleistungen mit sonstigen Büromaschinen und -einrichtungen</t>
  </si>
  <si>
    <t>Wholesale of other machinery and office equipment</t>
  </si>
  <si>
    <t>4669Z</t>
  </si>
  <si>
    <t>Sprzedaż hurtowa pozostałych maszyn i urządzeń</t>
  </si>
  <si>
    <t>Großhandelsleistungen mit sonstigen Maschinen und Ausrüstungen</t>
  </si>
  <si>
    <t>Wholesale of other machinery and equipment</t>
  </si>
  <si>
    <t>4671Z</t>
  </si>
  <si>
    <t>Sprzedaż hurtowa paliw i produktów pochodnych</t>
  </si>
  <si>
    <t>Großhandelsleistungen mit festen Brennstoffen und Mineralölerzeugnissen</t>
  </si>
  <si>
    <t>Wholesale of fuels and related products</t>
  </si>
  <si>
    <t>4672Z</t>
  </si>
  <si>
    <t>Sprzedaż hurtowa metali i rud metali</t>
  </si>
  <si>
    <t>Großhandelsleistungen mit Erzen, Metallen und Metallhalbzeug</t>
  </si>
  <si>
    <t>4673Z</t>
  </si>
  <si>
    <t>Sprzedaż hurtowa drewna, materiałów budowlanych i wyposażenia sanitarnego</t>
  </si>
  <si>
    <t>Großhandelsleistungen mit Holz, Baustoffen, Anstrichmitteln und Sanitärkeramik</t>
  </si>
  <si>
    <t>Wholesale of wood, construction materials and sanitary equipment</t>
  </si>
  <si>
    <t>4674Z</t>
  </si>
  <si>
    <t>Sprzedaż hurtowa wyrobów metalowych oraz sprzętu i dodatkowego wyposażenia hydraulicznego i grzejnego</t>
  </si>
  <si>
    <t>Großhandelsleistungen mit Metall- und Kunststoffwaren für Bauzwecke sowie Installationsbedarf für Gas, Wasser und Heizung</t>
  </si>
  <si>
    <t>Wholesale of hardware, plumbing and heating equipment and supplies</t>
  </si>
  <si>
    <t>4675Z</t>
  </si>
  <si>
    <t>Sprzedaż hurtowa wyrobów chemicznych</t>
  </si>
  <si>
    <t>Großhandelsleistungen mit chemischen Erzeugnissen</t>
  </si>
  <si>
    <t>Wholesale of chemical products</t>
  </si>
  <si>
    <t>4676Z</t>
  </si>
  <si>
    <t>Sprzedaż hurtowa pozostałych półproduktów</t>
  </si>
  <si>
    <t>Großhandelsleistungen mit sonstigen Halbwaren</t>
  </si>
  <si>
    <t>Wholesale of other intermediate products</t>
  </si>
  <si>
    <t>4677Z</t>
  </si>
  <si>
    <t>Sprzedaż hurtowa odpadów i złomu</t>
  </si>
  <si>
    <t>Großhandelsleistungen mit Altmaterialien und Reststoffen</t>
  </si>
  <si>
    <t>Wholesale of waste and scrap</t>
  </si>
  <si>
    <t>4690Z</t>
  </si>
  <si>
    <t>Sprzedaż hurtowa niewyspecjalizowana</t>
  </si>
  <si>
    <t>Großhandelsleistungen ohne ausgeprägten Schwerpunkt</t>
  </si>
  <si>
    <t>Non-specialised wholesale trade</t>
  </si>
  <si>
    <t>4711Z</t>
  </si>
  <si>
    <t>Sprzedaż detaliczna prowadzona w niewyspecjalizowanych sklepach z przewagą żywności, napojów i wyrobów tytoniowych</t>
  </si>
  <si>
    <t>Einzelhandelsleistungen mit Waren verschiedener Art, Hauptrichtung Nahrungs- und Genussmittel, Getränke und Tabakwaren</t>
  </si>
  <si>
    <t>Retail sale in non-specialised stores with food, beverages or tobacco predominating</t>
  </si>
  <si>
    <t>4719Z</t>
  </si>
  <si>
    <t>Pozostała sprzedaż detaliczna prowadzona w niewyspecjalizowanych sklepach</t>
  </si>
  <si>
    <t>Sonstige Einzelhandelsleistungen mit Waren verschiedener Art</t>
  </si>
  <si>
    <t>Other retail sale in non-specialised stores</t>
  </si>
  <si>
    <t>4721Z</t>
  </si>
  <si>
    <t>Sprzedaż detaliczna owoców i warzyw prowadzona w wyspecjalizowanych sklepach</t>
  </si>
  <si>
    <t>Retail sale of fruit and vegetables in specialised stores</t>
  </si>
  <si>
    <t>4722Z</t>
  </si>
  <si>
    <t>Sprzedaż detaliczna mięsa i wyrobów z mięsa prowadzona w wyspecjalizowanych sklepach</t>
  </si>
  <si>
    <t>Einzelhandelsleistungen mit Fleisch und Fleischwaren in Fachgeschäften</t>
  </si>
  <si>
    <t>4723Z</t>
  </si>
  <si>
    <t>Sprzedaż detaliczna ryb, skorupiaków i mięczaków prowadzona w wyspecjalizowanych sklepach</t>
  </si>
  <si>
    <t>4724Z</t>
  </si>
  <si>
    <t>Sprzedaż detaliczna pieczywa, ciast, wyrobów ciastkarskich i cukierniczych prowadzona w wyspecjalizowanych sklepach</t>
  </si>
  <si>
    <t>Einzelhandelsleistungen mit Back- und Süßwaren</t>
  </si>
  <si>
    <t>4725Z</t>
  </si>
  <si>
    <t>Sprzedaż detaliczna napojów alkoholowych i bezalkoholowych prowadzona w wyspecjalizowanych sklepach</t>
  </si>
  <si>
    <t>Einzelhandelsleistungen mit Nahrungs- und Genussmitteln, Getränken und Tabakwaren (in Verkaufsräumen)</t>
  </si>
  <si>
    <t>4726Z</t>
  </si>
  <si>
    <t>Sprzedaż detaliczna wyrobów tytoniowych prowadzona w wyspecjalizowanych sklepach</t>
  </si>
  <si>
    <t>4729Z</t>
  </si>
  <si>
    <t>Sprzedaż detaliczna pozostałej żywności prowadzona w wyspecjalizowanych sklepach</t>
  </si>
  <si>
    <t>Einzelhandelsleistungen mit sonstigen Gütern (in Verkaufsräumen);</t>
  </si>
  <si>
    <t>4730Z</t>
  </si>
  <si>
    <t>Sprzedaż detaliczna paliw do pojazdów silnikowych na stacjach paliw</t>
  </si>
  <si>
    <t>Einzelhandelsleistungen mit Motorenkraftstoffen (Tankstellen)</t>
  </si>
  <si>
    <t>Retail sale of automotive fuel at petrol stations</t>
  </si>
  <si>
    <t>4741Z</t>
  </si>
  <si>
    <t>Sprzedaż detaliczna komputerów, urządzeń peryferyjnych i oprogramowania prowadzona w wyspecjalizowanych sklepach</t>
  </si>
  <si>
    <t>Einzelhandelsleistungen mit Datenverarbeitungsgeräten, peripheren Geräten und Software</t>
  </si>
  <si>
    <t>Retail sale of computers, peripheral units and software in specialised stores</t>
  </si>
  <si>
    <t>4742Z</t>
  </si>
  <si>
    <t>Sprzedaż detaliczna sprzętu telekomunikacyjnego prowadzona w wyspecjalizowanych sklepach</t>
  </si>
  <si>
    <t>Einzelhandelsleistungen mit Telekommunikationsgeräten</t>
  </si>
  <si>
    <t>Retail sale of telecommunications equipment in specialised stores;</t>
  </si>
  <si>
    <t>4743Z</t>
  </si>
  <si>
    <t>Sprzedaż detaliczna sprzętu audiowizualnego prowadzona w wyspecjalizowanych sklepach</t>
  </si>
  <si>
    <t>Einzelhandelsleistungen mit Geräten der Unterhaltungselektronik</t>
  </si>
  <si>
    <t>Retail sale of audio and video equipment in specialised stores</t>
  </si>
  <si>
    <t>4751Z</t>
  </si>
  <si>
    <t>Sprzedaż detaliczna wyrobów tekstylnych prowadzona w wyspecjalizowanych sklepach</t>
  </si>
  <si>
    <t>Einzelhandelsleistungen mit Textilien in Fachgeschäften</t>
  </si>
  <si>
    <t>4752Z</t>
  </si>
  <si>
    <t>Sprzedaż detaliczna drobnych wyrobów metalowych, farb i szkła prowadzona w wyspecjalizowanych sklepach</t>
  </si>
  <si>
    <t>Einzelhandelsleistungen mit Metallwaren, Anstrichmitteln, Bau- und Heimwerkerbedarf</t>
  </si>
  <si>
    <t>Retail sale of hardware, paints and glass in specialised stores</t>
  </si>
  <si>
    <t>4753Z</t>
  </si>
  <si>
    <t>Sprzedaż detaliczna dywanów, chodników i innych pokryć podłogowych oraz pokryć ściennych prowadzona w wyspecjalizowanych sklepach</t>
  </si>
  <si>
    <t>Einzelhandelsleistungen mit Vorhängen, Teppichen, Fußbodenbelägen und Tapeten in Fachgeschäften</t>
  </si>
  <si>
    <t>Retail sale of carpets, rugs, wall and floor coverings in specialised stores</t>
  </si>
  <si>
    <t>4754Z</t>
  </si>
  <si>
    <t>Sprzedaż detaliczna elektrycznego sprzętu gospodarstwa domowego prowadzona w wyspecjalizowanych sklepach</t>
  </si>
  <si>
    <t>Einzelhandelsleistungen mit elektrischen Haushaltsgeräten in Fachgeschäften</t>
  </si>
  <si>
    <t>Retail sale of electrical household appliances in specialised stores</t>
  </si>
  <si>
    <t>4759Z</t>
  </si>
  <si>
    <t>Sprzedaż detaliczna mebli, sprzętu oświetleniowego i pozostałych artykułów użytku domowego prowadzona w wyspecjalizowanych sklepach</t>
  </si>
  <si>
    <t>Retail sale of furniture, lighting equipment and other household articles in specialised stores</t>
  </si>
  <si>
    <t>4761Z</t>
  </si>
  <si>
    <t>Sprzedaż detaliczna książek prowadzona w wyspecjalizowanych sklepach</t>
  </si>
  <si>
    <t>Einzelhandelsleistungen mit Büchern in Fachgeschäften</t>
  </si>
  <si>
    <t>4762Z</t>
  </si>
  <si>
    <t>Sprzedaż detaliczna gazet i artykułów piśmiennych prowadzona w wyspecjalizowanych sklepach</t>
  </si>
  <si>
    <t>4763Z</t>
  </si>
  <si>
    <t>Sprzedaż detaliczna nagrań dźwiękowych i audiowizualnych prowadzona w wyspecjalizowanych sklepach</t>
  </si>
  <si>
    <t>Einzelhandelsleistungen mit bespielten Ton- und Bildträgern in Fachgeschäften</t>
  </si>
  <si>
    <t>4764Z</t>
  </si>
  <si>
    <t>Sprzedaż detaliczna sprzętu sportowego prowadzona w wyspecjalizowanych sklepach</t>
  </si>
  <si>
    <t>Einzelhandelsleistungen mit Fahrrädern, Sport- und Campingartikeln</t>
  </si>
  <si>
    <t>4765Z</t>
  </si>
  <si>
    <t>Sprzedaż detaliczna gier i zabawek prowadzona w wyspecjalizowanych sklepach</t>
  </si>
  <si>
    <t>Einzelhandelsleistungen mit Spielwaren in Fachgeschäften</t>
  </si>
  <si>
    <t>4771Z</t>
  </si>
  <si>
    <t>Sprzedaż detaliczna odzieży prowadzona w wyspecjalizowanych sklepach</t>
  </si>
  <si>
    <t>Einzelhandelsleistungen mit Bekleidung in Fachgeschäften</t>
  </si>
  <si>
    <t>4772Z</t>
  </si>
  <si>
    <t>Sprzedaż detaliczna obuwia i wyrobów skórzanych prowadzona w wyspecjalizowanych sklepach</t>
  </si>
  <si>
    <t>Einzelhandelsleistungen mit Schuhen und Lederwaren in Fachgeschäften</t>
  </si>
  <si>
    <t>4773Z</t>
  </si>
  <si>
    <t>Sprzedaż detaliczna wyrobów farmaceutycznych prowadzona w wyspecjalizowanych sklepach</t>
  </si>
  <si>
    <t>Einzelhandelsleistungen mit pharmazeutischen Artikeln in Fachgeschäften</t>
  </si>
  <si>
    <t>Retail sale of pharmaceutical products in specialised stores</t>
  </si>
  <si>
    <t>4774Z</t>
  </si>
  <si>
    <t>Sprzedaż detaliczna wyrobów medycznych, włączając ortopedyczne, prowadzona w wyspecjalizowanych sklepach</t>
  </si>
  <si>
    <t>Einzelhandelsleistungen mit medizinischen und orthopädischen Artikeln in Fachgeschäften</t>
  </si>
  <si>
    <t>4775Z</t>
  </si>
  <si>
    <t>Sprzedaż detaliczna kosmetyków i artykułów toaletowych prowadzona w wyspecjalizowanych sklepach</t>
  </si>
  <si>
    <t>Einzelhandelsleistungen mit kosmetischen Erzeugnissen und Körperpflegemitteln in Fachgeschäften</t>
  </si>
  <si>
    <t>4776Z</t>
  </si>
  <si>
    <t>Sprzedaż detaliczna kwiatów, roślin, nasion, nawozów, żywych zwierząt domowych, karmy dla zwierząt domowych prowadzona w wyspecjalizowanych sklepach</t>
  </si>
  <si>
    <t>Einzelhandelsleistungen mit Blumen, Pflanzen, Sämereien, Düngemitteln, zoologischem Bedarf und lebenden Tieren in Fachgeschäften</t>
  </si>
  <si>
    <t>Retail sale of flowers, plants, seeds, fertilisers, pet animals and pet food in specialised stores</t>
  </si>
  <si>
    <t>4777Z</t>
  </si>
  <si>
    <t>Sprzedaż detaliczna zegarków, zegarów i biżuterii prowadzona w wyspecjalizowanych sklepach</t>
  </si>
  <si>
    <t>Einzelhandelsleistungen mit Uhren und Schmuck</t>
  </si>
  <si>
    <t>4778Z</t>
  </si>
  <si>
    <t>Sprzedaż detaliczna pozostałych nowych wyrobów prowadzona w wyspecjalizowanych sklepach</t>
  </si>
  <si>
    <t>Sonstige Einzelhandelsleistungen in Verkaufsräumen (ohne Antiquitäten und Gebrauchtwaren)</t>
  </si>
  <si>
    <t>Other retail sale of new goods in specialised stores</t>
  </si>
  <si>
    <t>4779Z</t>
  </si>
  <si>
    <t>Sprzedaż detaliczna artykułów używanych prowadzona w wyspecjalizowanych sklepach</t>
  </si>
  <si>
    <t>Einzelhandelsleistungen mit Gebrauchtwaren in Fachgeschäften</t>
  </si>
  <si>
    <t>Retail sale of second-hand goods in specialised stores</t>
  </si>
  <si>
    <t>4781Z</t>
  </si>
  <si>
    <t>Sprzedaż detaliczna żywności, napojów i wyrobów tytoniowych prowadzona na straganach i targowiskach</t>
  </si>
  <si>
    <t>Einzelhandelsleistungen mit Nahrungsmitteln, Getränken und Tabakwaren an Verkaufsständen und auf Märkten</t>
  </si>
  <si>
    <t>Retail sale via stalls and markets of food, beverages and tobacco products</t>
  </si>
  <si>
    <t>4782Z</t>
  </si>
  <si>
    <t>Sprzedaż detaliczna wyrobów tekstylnych, odzieży i obuwia prowadzona na straganach i targowiskach</t>
  </si>
  <si>
    <t>Einzelhandelsleistungen mit Textilien, Bekleidung und Schuhen an Verkaufsständen und auf Märkten</t>
  </si>
  <si>
    <t>4789Z</t>
  </si>
  <si>
    <t>Sprzedaż detaliczna pozostałych wyrobów prowadzona na straganach i targowiskach</t>
  </si>
  <si>
    <t>Einzelhandelsleistungen mit sonstigen Gütern an Verkaufsständen und auf Märkten</t>
  </si>
  <si>
    <t>4791Z</t>
  </si>
  <si>
    <t>Sprzedaż detaliczna prowadzona przez domy sprzedaży wysyłkowej lub Internet</t>
  </si>
  <si>
    <t>Einzelhandelsleistungen von Versandhausgeschäften oder im Internet</t>
  </si>
  <si>
    <t>Retail sale via mail order houses or via Internet</t>
  </si>
  <si>
    <t>4799Z</t>
  </si>
  <si>
    <t>Pozostała sprzedaż detaliczna prowadzona poza siecią sklepową, straganami i targowiskami</t>
  </si>
  <si>
    <t>Sonstige Einzelhandelsleistungen, nicht in Verkaufsräumen, an Verkaufsständen oder auf Märkten</t>
  </si>
  <si>
    <t>Other retail sale not via stores, stalls or markets</t>
  </si>
  <si>
    <t>4910Z</t>
  </si>
  <si>
    <t>Transport kolejowy pasażerski międzymiastowy</t>
  </si>
  <si>
    <t>Passenger rail transport, interurban</t>
  </si>
  <si>
    <t>4920Z</t>
  </si>
  <si>
    <t>Transport kolejowy towarów</t>
  </si>
  <si>
    <t xml:space="preserve">Güterbeförderungsleistungen im Eisenbahnverkehr </t>
  </si>
  <si>
    <t>4931Z</t>
  </si>
  <si>
    <t>Transport lądowy pasażerski, miejski i podmiejski</t>
  </si>
  <si>
    <t>Personenbeförderungsleistungen im Orts- und Nahverkehr zu Lande</t>
  </si>
  <si>
    <t>Urban and suburban passenger land transport</t>
  </si>
  <si>
    <t>4932Z</t>
  </si>
  <si>
    <t>Działalność taksówek osobowych</t>
  </si>
  <si>
    <t>Taxi operation</t>
  </si>
  <si>
    <t>4939Z</t>
  </si>
  <si>
    <t>Pozostały transport lądowy pasażerski, gdzie indziej niesklasyfikowany</t>
  </si>
  <si>
    <t>Sonstige Personenbeförderungsleistungen im Landverkehr a. n. g.</t>
  </si>
  <si>
    <t>4941Z</t>
  </si>
  <si>
    <t>Transport drogowy towarów</t>
  </si>
  <si>
    <t xml:space="preserve">Güterbeförderungsleistungen im Straßenverkehr </t>
  </si>
  <si>
    <t>Freight transport by road</t>
  </si>
  <si>
    <t>4942Z</t>
  </si>
  <si>
    <t>Działalność usługowa związana z przeprowadzkami</t>
  </si>
  <si>
    <t xml:space="preserve">Umzugstransportleistungen </t>
  </si>
  <si>
    <t>Removal services</t>
  </si>
  <si>
    <t>4950A</t>
  </si>
  <si>
    <t>Transport rurociągami paliw gazowych</t>
  </si>
  <si>
    <t>Transportleistungen in Rohrfernleitungen</t>
  </si>
  <si>
    <t>Fuel gas transport via pipeline</t>
  </si>
  <si>
    <t>4950B</t>
  </si>
  <si>
    <t>Transport rurociągowy pozostałych towarów</t>
  </si>
  <si>
    <t>Transportleistungen für sonstige Güter in Rohrfernleitungen</t>
  </si>
  <si>
    <t>5010Z</t>
  </si>
  <si>
    <t>Transport morski i przybrzeżny pasażerski</t>
  </si>
  <si>
    <t>Personenbeförderungsleistungen der See- und Küstenschifffahrt</t>
  </si>
  <si>
    <t>5020Z</t>
  </si>
  <si>
    <t>Transport morski i przybrzeżny towarów</t>
  </si>
  <si>
    <t>Güterbeförderungsleistungen der See- und Küstenschifffahrt</t>
  </si>
  <si>
    <t>5030Z</t>
  </si>
  <si>
    <t>Transport wodny śródlądowy pasażerski </t>
  </si>
  <si>
    <t>Personenbeförderungsleistungen mit Binnenschiffen  </t>
  </si>
  <si>
    <t>Inland passenger water transport </t>
  </si>
  <si>
    <t>5040Z</t>
  </si>
  <si>
    <t>Transport wodny śródlądowy towarów</t>
  </si>
  <si>
    <t xml:space="preserve">Güterbeförderungsleistungen mit Binnenschiffen </t>
  </si>
  <si>
    <t>Inland freight water transport</t>
  </si>
  <si>
    <t>5110Z</t>
  </si>
  <si>
    <t>Transport lotniczy pasażerski</t>
  </si>
  <si>
    <t>Passenger transport by air</t>
  </si>
  <si>
    <t>5121Z</t>
  </si>
  <si>
    <t>Transport lotniczy towarów</t>
  </si>
  <si>
    <t>Freight transport by air</t>
  </si>
  <si>
    <t>5122Z</t>
  </si>
  <si>
    <t>Transport kosmiczny</t>
  </si>
  <si>
    <t>5210A</t>
  </si>
  <si>
    <t>Magazynowanie i przechowywanie paliw gazowych</t>
  </si>
  <si>
    <t>Lagerung und Aufbewahrung von Gastreibstoffen</t>
  </si>
  <si>
    <t>Fuel gas warehousing and storage</t>
  </si>
  <si>
    <t>5210B</t>
  </si>
  <si>
    <t>Magazynowanie i przechowywanie pozostałych towarów</t>
  </si>
  <si>
    <t>Lagerung und Aufbewahrung von sonstigen Waren</t>
  </si>
  <si>
    <t>Warehousing and storage of other goods</t>
  </si>
  <si>
    <t>5221Z</t>
  </si>
  <si>
    <t>Działalność usługowa wspomagająca transport lądowy</t>
  </si>
  <si>
    <t xml:space="preserve">Dienstleistungen für den Landverkehr 
</t>
  </si>
  <si>
    <t>Service activities incidental to land transportation</t>
  </si>
  <si>
    <t>5222A</t>
  </si>
  <si>
    <t>Działalność usługowa wspomagająca transport morski</t>
  </si>
  <si>
    <t xml:space="preserve">Dienstleistungen für die Schifffahrt 
</t>
  </si>
  <si>
    <t>Service activities incidental to sea transportation</t>
  </si>
  <si>
    <t>5222B</t>
  </si>
  <si>
    <t>Działalność usługowa wspomagająca transport śródlądowy</t>
  </si>
  <si>
    <t>Dienstleistungen für die Binnenschifffahrt</t>
  </si>
  <si>
    <t>Service activities incidental to inland transportation</t>
  </si>
  <si>
    <t>5223Z</t>
  </si>
  <si>
    <t>Działalność usługowa wspomagająca transport lotniczy</t>
  </si>
  <si>
    <t>Dienstleistungen für die Luftfahrt</t>
  </si>
  <si>
    <t>Service activities incidental to air transportation</t>
  </si>
  <si>
    <t>5224A</t>
  </si>
  <si>
    <t>Przeładunek towarów w portach morskich</t>
  </si>
  <si>
    <t xml:space="preserve">Frachtumschlagleistungen </t>
  </si>
  <si>
    <t>Transhipment of goods in sea ports</t>
  </si>
  <si>
    <t>5224B</t>
  </si>
  <si>
    <t>Przeładunek towarów w portach śródlądowych</t>
  </si>
  <si>
    <t>Frachtumschlagleistungen in Binnenhäfen</t>
  </si>
  <si>
    <t>Transhipment of goods in inland ports</t>
  </si>
  <si>
    <t>5224C</t>
  </si>
  <si>
    <t>Przeładunek towarów w pozostałych punktach przeładunkowych</t>
  </si>
  <si>
    <t>Sonstige Frachtumschlagleistungen</t>
  </si>
  <si>
    <t>Transhipment of goods in other transhipment points</t>
  </si>
  <si>
    <t>5229A</t>
  </si>
  <si>
    <t>Działalność morskich agencji transportowych</t>
  </si>
  <si>
    <t>Dienstleistungen von Transportagenturen (Seeschifffahrt)</t>
  </si>
  <si>
    <t>Activities of sea transport agencies</t>
  </si>
  <si>
    <t>5229B</t>
  </si>
  <si>
    <t>Działalność śródlądowych agencji transportowych</t>
  </si>
  <si>
    <t>Dienstleistungen von Transportagenturen (Binnenschifffahrt)</t>
  </si>
  <si>
    <t>Activities of inland transport agencies</t>
  </si>
  <si>
    <t>5229C</t>
  </si>
  <si>
    <t>Działalność pozostałych agencji transportowych</t>
  </si>
  <si>
    <t>Dienstleistungen von sonstigen Transportagenturen</t>
  </si>
  <si>
    <t>Activities of other transport agencies</t>
  </si>
  <si>
    <t>5310Z</t>
  </si>
  <si>
    <t>Działalność pocztowa objęta obowiązkiem świadczenia usług powszechnych (operatora publicznego)</t>
  </si>
  <si>
    <t>5320Z</t>
  </si>
  <si>
    <t>Pozostała działalność pocztowa i kurierska</t>
  </si>
  <si>
    <t>Sonstige Post-, Kurier- und Expressdienstleistungen</t>
  </si>
  <si>
    <t>5510Z</t>
  </si>
  <si>
    <t>Hotele i podobne obiekty zakwaterowania</t>
  </si>
  <si>
    <t>Beherbergungsdienstleistungen in Hotels, Gasthöfen und Pensionen</t>
  </si>
  <si>
    <t>Hotels and similar accommodation</t>
  </si>
  <si>
    <t>5520Z</t>
  </si>
  <si>
    <t>Obiekty noclegowe turystyczne i miejsca krótkotrwałego zakwaterowania</t>
  </si>
  <si>
    <t>Beherbergungsdienstleistungen in Ferienunterkünften und ähnlichen Beherbergungsstätten</t>
  </si>
  <si>
    <t>Holiday and other short-stay accommodation</t>
  </si>
  <si>
    <t>5530Z</t>
  </si>
  <si>
    <t>Pola kempingowe (włączając pola dla pojazdów kempingowych) i pola namiotowe</t>
  </si>
  <si>
    <t>Camping grounds (including grounds for camping vehicles), and campsites</t>
  </si>
  <si>
    <t>5590Z</t>
  </si>
  <si>
    <t>Pozostałe zakwaterowanie</t>
  </si>
  <si>
    <t>Sonstige Beherbergungsdienstleistungen</t>
  </si>
  <si>
    <t>Other accommodation</t>
  </si>
  <si>
    <t>5610A</t>
  </si>
  <si>
    <t>Restauracje i inne stałe placówki gastronomiczne</t>
  </si>
  <si>
    <t>Dienstleistungen von Restaurants, Gaststätten, Imbissstuben, Cafés, Eissalons u. Ä.</t>
  </si>
  <si>
    <t>Restaurants and other eating places</t>
  </si>
  <si>
    <t>5610B</t>
  </si>
  <si>
    <t>Ruchome placówki gastronomiczne</t>
  </si>
  <si>
    <t>Mobile eating places</t>
  </si>
  <si>
    <t>5621Z</t>
  </si>
  <si>
    <t>Przygotowywanie i dostarczanie żywności dla odbiorców zewnętrznych (katering)</t>
  </si>
  <si>
    <t>Event-Cateringleistungen</t>
  </si>
  <si>
    <t>Event catering activities</t>
  </si>
  <si>
    <t>5629Z</t>
  </si>
  <si>
    <t>Pozostała usługowa działalność gastronomiczna</t>
  </si>
  <si>
    <t>Sonstige Verpflegungsdienstleistungen</t>
  </si>
  <si>
    <t>Other food service activities</t>
  </si>
  <si>
    <t>5630Z</t>
  </si>
  <si>
    <t>Przygotowywanie i podawanie napojów</t>
  </si>
  <si>
    <t>Getränkeausschankleistungen</t>
  </si>
  <si>
    <t>Beverage serving activities</t>
  </si>
  <si>
    <t>5811Z</t>
  </si>
  <si>
    <t>Wydawanie książek</t>
  </si>
  <si>
    <t>Dienstleistungen betreffend das Verlegen von Büchern</t>
  </si>
  <si>
    <t>Book publishing</t>
  </si>
  <si>
    <t>5812Z</t>
  </si>
  <si>
    <t>Wydawanie wykazów oraz list (np. adresowych, telefonicznych)</t>
  </si>
  <si>
    <t>Dienstleistungen betreffend das Verlegen von Adressbüchern und Verzeichnissen</t>
  </si>
  <si>
    <t>Publishing of directories and lists (e.g. mailing or phone lists)</t>
  </si>
  <si>
    <t>5813Z</t>
  </si>
  <si>
    <t>Wydawanie gazet</t>
  </si>
  <si>
    <t>Dienstleistungen betreffend das Verlegen von Zeitungen</t>
  </si>
  <si>
    <t>Publishing of newspapers</t>
  </si>
  <si>
    <t>5814Z</t>
  </si>
  <si>
    <t>Wydawanie czasopism i pozostałych periodyków</t>
  </si>
  <si>
    <t>Dienstleistungen betreffend das Verlegen von Zeitungen und Zeitschriften</t>
  </si>
  <si>
    <t>Publishing of journals and other periodicals</t>
  </si>
  <si>
    <t>5819Z</t>
  </si>
  <si>
    <t>Pozostała działalność wydawnicza</t>
  </si>
  <si>
    <t>Dienstleistungen des sonstigen Verlagswesens</t>
  </si>
  <si>
    <t>Other publishing activities</t>
  </si>
  <si>
    <t>5821Z</t>
  </si>
  <si>
    <t>Działalność wydawnicza w zakresie gier komputerowych</t>
  </si>
  <si>
    <t>Dienstleistungen betreffend das Verlegen von Computerspielen</t>
  </si>
  <si>
    <t>Publishing of computer games</t>
  </si>
  <si>
    <t>5829Z</t>
  </si>
  <si>
    <t>Działalność wydawnicza w zakresie pozostałego oprogramowania</t>
  </si>
  <si>
    <t>Dienstleistungen betreffend das Verlegen von sonstiger Software</t>
  </si>
  <si>
    <t>Other software publishing</t>
  </si>
  <si>
    <t>5911Z</t>
  </si>
  <si>
    <t>Działalność związana z produkcją filmów, nagrań wideo i programów telewizyjnych</t>
  </si>
  <si>
    <t>Dienstleistungen der Herstellung von Filmen, Videofilmen und Fernsehprogrammen</t>
  </si>
  <si>
    <t>Motion picture, video and television programme production activities</t>
  </si>
  <si>
    <t>5912Z</t>
  </si>
  <si>
    <t>Działalność postprodukcyjna związana z filmami, nagraniami wideo i programami telewizyjnymi</t>
  </si>
  <si>
    <t>Der Herstellung von Filmen, Videofilmen und Fernsehprogrammen nachgelagerte Dienstleistungen</t>
  </si>
  <si>
    <t>Motion picture, video and television programme post-production activities</t>
  </si>
  <si>
    <t>5913Z</t>
  </si>
  <si>
    <t>Działalność związana z dystrybucją filmów, nagrań wideo i programów telewizyjnych</t>
  </si>
  <si>
    <t>Dienstleistungen des Verleihs und Vertriebs von Filmen, Videofilmen und Fernsehprogrammen</t>
  </si>
  <si>
    <t>5914Z</t>
  </si>
  <si>
    <t>Działalność związana z projekcją filmów</t>
  </si>
  <si>
    <t xml:space="preserve">Kinoleistungen </t>
  </si>
  <si>
    <t>5920Z</t>
  </si>
  <si>
    <t>Działalność w zakresie nagrań dźwiękowych i muzycznych</t>
  </si>
  <si>
    <t>Dienstleistungen von Tonstudios, der Herstellung von Hörfunkbeiträgen sowie des Verlegens von bespielten Tonträgern und Musikalien</t>
  </si>
  <si>
    <t>Sound recording and music publishing activities</t>
  </si>
  <si>
    <t>6010Z</t>
  </si>
  <si>
    <t>Nadawanie programów radiofonicznych</t>
  </si>
  <si>
    <t>Hörfunkveranstaltungsleistungen</t>
  </si>
  <si>
    <t>Radio broadcasting</t>
  </si>
  <si>
    <t>6020Z</t>
  </si>
  <si>
    <t>Nadawanie programów telewizyjnych ogólnodostępnych i abonamentowych</t>
  </si>
  <si>
    <t>Fernsehveranstaltungsleistungen; Originale von Fernsehsendungen</t>
  </si>
  <si>
    <t>General access and subscription television broadcasting</t>
  </si>
  <si>
    <t>6110Z</t>
  </si>
  <si>
    <t>Działalność w zakresie telekomunikacji przewodowej</t>
  </si>
  <si>
    <t>Leitungsgebundene Telekommunikationsdienstleistungen</t>
  </si>
  <si>
    <t>Wired telecommunications activities</t>
  </si>
  <si>
    <t>6120Z</t>
  </si>
  <si>
    <t>Działalność w zakresie telekomunikacji bezprzewodowej, z wyłączeniem telekomunikacji satelitarnej</t>
  </si>
  <si>
    <t>Drahtlose Kommunikationsdienste</t>
  </si>
  <si>
    <t>Wireless telecommunications activities, except satellite telecommunications</t>
  </si>
  <si>
    <t>6130Z</t>
  </si>
  <si>
    <t>Działalność w zakresie telekomunikacji satelitarnej</t>
  </si>
  <si>
    <t>Satellitentelekommunikationsdienste</t>
  </si>
  <si>
    <t>Satellite telecommunications activities</t>
  </si>
  <si>
    <t>6190Z</t>
  </si>
  <si>
    <t>Działalność w zakresie pozostałej telekomunikacji</t>
  </si>
  <si>
    <t>Sonstige Telekommunikationsleistungen</t>
  </si>
  <si>
    <t>6201Z</t>
  </si>
  <si>
    <t>Działalność związana z oprogramowaniem</t>
  </si>
  <si>
    <t>Programmierungsleistungen</t>
  </si>
  <si>
    <t>Computer programming activities</t>
  </si>
  <si>
    <t>6202Z</t>
  </si>
  <si>
    <t>Działalność związana z doradztwem w zakresie informatyki</t>
  </si>
  <si>
    <t>Dienstleistungen der EDV-Beratung</t>
  </si>
  <si>
    <t>Computer consultancy activities</t>
  </si>
  <si>
    <t>6203Z</t>
  </si>
  <si>
    <t>Działalność związana z zarządzaniem urządzeniami informatycznymi</t>
  </si>
  <si>
    <t>Dienstleistungen des Betriebes von Datenverarbeitungseinrichtungen</t>
  </si>
  <si>
    <t>Computer facilities management activities</t>
  </si>
  <si>
    <t>6209Z</t>
  </si>
  <si>
    <t>Pozostała działalność usługowa w zakresie technologii informatycznych i komputerowych</t>
  </si>
  <si>
    <t>Sonstige Dienstleistungen der Informationstechnologie und der EDV</t>
  </si>
  <si>
    <t>Other information technology and computer service activities</t>
  </si>
  <si>
    <t>6311Z</t>
  </si>
  <si>
    <t>Przetwarzanie danych; zarządzanie stronami internetowymi (hosting) i podobna działalność</t>
  </si>
  <si>
    <t>Datenverarbeitungsdienstleistungen, Hosting-Dienstleistungen und damit verbundene Dienstleistungen</t>
  </si>
  <si>
    <t>Data processing, hosting and related activities</t>
  </si>
  <si>
    <t>6312Z</t>
  </si>
  <si>
    <t>Działalność portali internetowych</t>
  </si>
  <si>
    <t>Webportal-Dienstleistungen</t>
  </si>
  <si>
    <t>Web portals</t>
  </si>
  <si>
    <t>6391Z</t>
  </si>
  <si>
    <t>Działalność agencji informacyjnych</t>
  </si>
  <si>
    <t>Dienstleistungen von Korrespondenz- und Nachrichtenbüros</t>
  </si>
  <si>
    <t>News agency activities</t>
  </si>
  <si>
    <t>6399Z</t>
  </si>
  <si>
    <t>Pozostała działalność usługowa w zakresie informacji, gdzie indziej niesklasyfikowana</t>
  </si>
  <si>
    <t>Sonstige Informationsdienstleistungen, a.n.g.</t>
  </si>
  <si>
    <t>Other information service activities n.e.c.</t>
  </si>
  <si>
    <t>6411Z</t>
  </si>
  <si>
    <t>Działalność banku centralnego</t>
  </si>
  <si>
    <t>Dienstleistungen von Zentralbanken</t>
  </si>
  <si>
    <t>6419Z</t>
  </si>
  <si>
    <t>Pozostałe pośrednictwo pieniężne</t>
  </si>
  <si>
    <t>Dienstleistungen von Kreditinstituten (ohne Spezialkreditinstitute)</t>
  </si>
  <si>
    <t>6420Z</t>
  </si>
  <si>
    <t>Działalność holdingów finansowych</t>
  </si>
  <si>
    <t>Dienstleistungen von Beteiligungsgesellschaften</t>
  </si>
  <si>
    <t>Activities of financial holding companies</t>
  </si>
  <si>
    <t>6430Z</t>
  </si>
  <si>
    <t>Działalność trustów, funduszów i podobnych instytucji finansowych</t>
  </si>
  <si>
    <t>Dienstleistungen von Treuhand- und sonstigen Fonds und ähnlichen Finanzinstitutionen</t>
  </si>
  <si>
    <t>Trusts, funds and similar financial entities</t>
  </si>
  <si>
    <t>6491Z</t>
  </si>
  <si>
    <t>Leasing finansowy</t>
  </si>
  <si>
    <t>Dienstleistungen von Institutionen für Finanzierungsleasing</t>
  </si>
  <si>
    <t>Finance lease</t>
  </si>
  <si>
    <t>6492Z</t>
  </si>
  <si>
    <t>Pozostałe formy udzielania kredytów</t>
  </si>
  <si>
    <t>Dienstleistungen von Spezialkreditinstituten</t>
  </si>
  <si>
    <t>Other credit granting</t>
  </si>
  <si>
    <t>6499Z</t>
  </si>
  <si>
    <t>Pozostała finansowa działalność usługowa, gdzie indziej niesklasyfikowana, z wyłączeniem ubezpieczeń i funduszów emerytalnych</t>
  </si>
  <si>
    <t>Sonstige Finanzdienstleistungen, außer Versicherungen und Pensionen, von Finanzierungsinstitutionen, a.n.g.</t>
  </si>
  <si>
    <t>Other financial service activities, except insurance and pension funding, n.e.c</t>
  </si>
  <si>
    <t>6511Z</t>
  </si>
  <si>
    <t>Ubezpieczenia na życie</t>
  </si>
  <si>
    <t xml:space="preserve">Dienstleistungen von Lebensversicherungsgesellschaften 
</t>
  </si>
  <si>
    <t>Life insurance</t>
  </si>
  <si>
    <t>6512Z</t>
  </si>
  <si>
    <t>Pozostałe ubezpieczenia osobowe oraz ubezpieczenia majątkowe</t>
  </si>
  <si>
    <t>Dienstleistungen der Nichtlebensversicherungen</t>
  </si>
  <si>
    <t>Other personal and property insurance</t>
  </si>
  <si>
    <t>6520Z</t>
  </si>
  <si>
    <t>Reasekuracja</t>
  </si>
  <si>
    <t>Rückversicherungsdienstleistungen</t>
  </si>
  <si>
    <t>Reinsurance</t>
  </si>
  <si>
    <t>6530Z</t>
  </si>
  <si>
    <t>Fundusze emerytalne</t>
  </si>
  <si>
    <t>6611Z</t>
  </si>
  <si>
    <t>Zarządzanie rynkami finansowymi</t>
  </si>
  <si>
    <t>6612Z</t>
  </si>
  <si>
    <t>Działalność maklerska związana z rynkiem papierów wartościowych i towarów giełdowych</t>
  </si>
  <si>
    <t>Dienstleistungen des Effekten- und Warenhandels</t>
  </si>
  <si>
    <t>Security and commodity contracts brokerage</t>
  </si>
  <si>
    <t>6619Z</t>
  </si>
  <si>
    <t>Pozostała działalność wspomagająca usługi finansowe, z wyłączeniem ubezpieczeń i funduszów emerytalnych</t>
  </si>
  <si>
    <t>Sonstige mit den Finanzdienstleistungen verbundene Dienstleistungen, außer Versicherungen und Pensionen</t>
  </si>
  <si>
    <t>Other activities auxiliary to financial services, except insurance and pension funding</t>
  </si>
  <si>
    <t>6621Z</t>
  </si>
  <si>
    <t>Działalność związana z oceną ryzyka i szacowaniem poniesionych strat</t>
  </si>
  <si>
    <t>Dienstleistungen der Risiko- und Schadensbewertung</t>
  </si>
  <si>
    <t>Risk and damage evaluation</t>
  </si>
  <si>
    <t>6622Z</t>
  </si>
  <si>
    <t>Działalność agentów i brokerów ubezpieczeniowych</t>
  </si>
  <si>
    <t>Dienstleistungen von Versicherungsmaklern und -agenturen</t>
  </si>
  <si>
    <t>Insurance agents and brokers</t>
  </si>
  <si>
    <t>6629Z</t>
  </si>
  <si>
    <t>Pozostała działalność wspomagająca ubezpieczenia i fundusze emerytalne</t>
  </si>
  <si>
    <t xml:space="preserve">Sonstige mit den Tätigkeiten der Versicherungen und Pensionskassen verbundene Dienstleistungen </t>
  </si>
  <si>
    <t>Other activities auxiliary to insurance and pension funding</t>
  </si>
  <si>
    <t>6630Z</t>
  </si>
  <si>
    <t>Działalność związana z zarządzaniem funduszami</t>
  </si>
  <si>
    <t xml:space="preserve">Dienstleistungen des Fondsmanagements </t>
  </si>
  <si>
    <t>6810Z</t>
  </si>
  <si>
    <t>Kupno i sprzedaż nieruchomości na własny rachunek</t>
  </si>
  <si>
    <t xml:space="preserve">Dienstleistungen des Kaufs und Verkaufs von eigenen Grundstücken, Gebäuden und Wohnungen </t>
  </si>
  <si>
    <t>Buying and selling of own real properties</t>
  </si>
  <si>
    <t>6820Z</t>
  </si>
  <si>
    <t>Wynajem i zarządzanie nieruchomościami własnymi lub dzierżawionymi</t>
  </si>
  <si>
    <t xml:space="preserve">Dienstleistungen der Vermietung und Verpachtung von eigenen oder geleasten Grundstücken, Gebäuden und Wohnungen </t>
  </si>
  <si>
    <t>Renting and operating of own or leased real properties</t>
  </si>
  <si>
    <t>6831Z</t>
  </si>
  <si>
    <t>Pośrednictwo w obrocie nieruchomościami</t>
  </si>
  <si>
    <t>Dienstleistungen der Vermittlung von Grundstücken, Gebäuden und Wohnungen</t>
  </si>
  <si>
    <t>Real estate agencies</t>
  </si>
  <si>
    <t>6832Z</t>
  </si>
  <si>
    <t>Zarządzanie nieruchomościami wykonywane na zlecenie</t>
  </si>
  <si>
    <t>Dienstleistungen der Verwaltung von Grundstücken, Gebäuden und Wohnungen</t>
  </si>
  <si>
    <t>Management of real properties on a fee or contract basis</t>
  </si>
  <si>
    <t>6910Z</t>
  </si>
  <si>
    <t>Działalność prawnicza</t>
  </si>
  <si>
    <t xml:space="preserve">Rechtsberatungsleistungen </t>
  </si>
  <si>
    <t>Legal activities</t>
  </si>
  <si>
    <t>6920Z</t>
  </si>
  <si>
    <t>Działalność rachunkowo-księgowa; doradztwo podatkowe</t>
  </si>
  <si>
    <t>Wirtschaftsprüfungs- und Steuerberatungsleistungen; Buchführungsleistungen</t>
  </si>
  <si>
    <t>Accounting, bookkeeping and auditing activities; tax consultancy</t>
  </si>
  <si>
    <t>7010Z</t>
  </si>
  <si>
    <t>Działalność firm centralnych (head offices) i holdingów, z wyłączeniem holdingów finansowych</t>
  </si>
  <si>
    <t xml:space="preserve">Dienstleistungen der Verwaltung und Führung von Unternehmen und Betrieben </t>
  </si>
  <si>
    <t>Activities of head offices and holding companies, except financial holding companies</t>
  </si>
  <si>
    <t>7021Z</t>
  </si>
  <si>
    <t>Stosunki międzyludzkie (public relations) i komunikacja</t>
  </si>
  <si>
    <t xml:space="preserve">Public-Relations-Beratungsleistungen </t>
  </si>
  <si>
    <t>Public relations and communication activities</t>
  </si>
  <si>
    <t>7022Z</t>
  </si>
  <si>
    <t>Pozostałe doradztwo w zakresie prowadzenia działalności gospodarczej i zarządzania</t>
  </si>
  <si>
    <t xml:space="preserve">Unternehmensberatungsleistungen </t>
  </si>
  <si>
    <t>Business and other management consultancy activities</t>
  </si>
  <si>
    <t>7111Z</t>
  </si>
  <si>
    <t>Działalność w zakresie architektury</t>
  </si>
  <si>
    <t xml:space="preserve">Architekturbüroleistungen </t>
  </si>
  <si>
    <t>Architectural activities</t>
  </si>
  <si>
    <t>7112Z</t>
  </si>
  <si>
    <t>Działalność w zakresie inżynierii i związane z nią doradztwo techniczne</t>
  </si>
  <si>
    <t>Ingenieurbüroleistungen und damit verbundene technische Beratungsleistungen</t>
  </si>
  <si>
    <t>Engineering activities and related technical consultancy</t>
  </si>
  <si>
    <t>7120A</t>
  </si>
  <si>
    <t>Badania i analizy związane z jakością żywności</t>
  </si>
  <si>
    <t>Sonstige technische Untersuchungsleistungen bezüglich Lebensmittelqualität</t>
  </si>
  <si>
    <t>Food quality testing and analysis</t>
  </si>
  <si>
    <t>7120B</t>
  </si>
  <si>
    <t>Pozostałe badania i analizy techniczne</t>
  </si>
  <si>
    <t xml:space="preserve">Sonstige technische Untersuchungsleistungen </t>
  </si>
  <si>
    <t>Other technical testing and analysis</t>
  </si>
  <si>
    <t>7211Z</t>
  </si>
  <si>
    <t>Badania naukowe i prace rozwojowe w dziedzinie biotechnologii</t>
  </si>
  <si>
    <t>Forschungs- und Entwicklungsleistungen im Bereich Biotechnologie</t>
  </si>
  <si>
    <t>Research and experimental development work on biotechnology</t>
  </si>
  <si>
    <t>7219Z</t>
  </si>
  <si>
    <t>Badania naukowe i prace rozwojowe w dziedzinie pozostałych nauk przyrodniczych i technicznych</t>
  </si>
  <si>
    <t xml:space="preserve">Sonstige Forschungs- und Entwicklungsleistungen in den Bereichen Natur-, Ingenieur-, Agrarwissenschaften und Medizin </t>
  </si>
  <si>
    <t>Other research and experimental development work on other natural sciences and engineering</t>
  </si>
  <si>
    <t>7220Z</t>
  </si>
  <si>
    <t>Badania naukowe i prace rozwojowe w dziedzinie nauk społecznych i humanistycznych</t>
  </si>
  <si>
    <t xml:space="preserve">Forschungs- und Entwicklungsleistungen in den Bereichen Rechts-, Wirtschafts- und Sozialwissenschaften sowie Sprach-, Kultur- und Kunstwissenschaften </t>
  </si>
  <si>
    <t>Research and experimental development work on social sciences and humanities</t>
  </si>
  <si>
    <t>7311Z</t>
  </si>
  <si>
    <t>Działalność agencji reklamowych</t>
  </si>
  <si>
    <t xml:space="preserve">Dienstleistungen von Werbeagenturen </t>
  </si>
  <si>
    <t>Advertising agencies</t>
  </si>
  <si>
    <t>7312A</t>
  </si>
  <si>
    <t>Pośrednictwo w sprzedaży czasu i miejsca na cele reklamowe w radio i telewizji</t>
  </si>
  <si>
    <t>Vermarktungs- und Vermittlungsleistungen für Werbezeiten und Werbeflächen für Funk und Fernsehen</t>
  </si>
  <si>
    <t>Intermediation in the sale of time and place on advertising aims in the radio and television</t>
  </si>
  <si>
    <t>7312B</t>
  </si>
  <si>
    <t>Pośrednictwo w sprzedaży miejsca na cele reklamowe w mediach drukowanych</t>
  </si>
  <si>
    <t>Vermarktungs- und Vermittlungsleistungen für Werbezeiten und Werbeflächen in gedruckten Medien</t>
  </si>
  <si>
    <t>Intermediation in the sale of place on advertising aims in printed media</t>
  </si>
  <si>
    <t>7312C</t>
  </si>
  <si>
    <t>Pośrednictwo w sprzedaży miejsca na cele reklamowe w mediach elektronicznych (Internet)</t>
  </si>
  <si>
    <t>Vermarktungs- und Vermittlungsleistungen für Werbezeiten und Werbeflächen in digitalen Medien (Internet)</t>
  </si>
  <si>
    <t>Intermediation in the sale of the place on advertising aims in electronic media (Internet)</t>
  </si>
  <si>
    <t>7312D</t>
  </si>
  <si>
    <t>Pośrednictwo w sprzedaży miejsca na cele reklamowe w pozostałych mediach</t>
  </si>
  <si>
    <t>Vermarktungs- und Vermittlungsleistungen für Werbezeiten und Werbeflächen in sonstigen Medien</t>
  </si>
  <si>
    <t>Intermediation in the sale of time and place on advertising aims in other media</t>
  </si>
  <si>
    <t>7320Z</t>
  </si>
  <si>
    <t>Badanie rynku i opinii publicznej</t>
  </si>
  <si>
    <t xml:space="preserve">Markt- und Meinungsforschungsleistungen </t>
  </si>
  <si>
    <t>Market research and public opinion polling</t>
  </si>
  <si>
    <t>7410Z</t>
  </si>
  <si>
    <t>Działalność w zakresie specjalistycznego projektowania</t>
  </si>
  <si>
    <t xml:space="preserve">Spezielle Dienstleistungen im Bereich Design </t>
  </si>
  <si>
    <t>Specialised design activities</t>
  </si>
  <si>
    <t>7420Z</t>
  </si>
  <si>
    <t>Działalność fotograficzna</t>
  </si>
  <si>
    <t xml:space="preserve">Fotografische Dienstleistungen und Fotolaborleistungen </t>
  </si>
  <si>
    <t>Photographic activities</t>
  </si>
  <si>
    <t>7430Z</t>
  </si>
  <si>
    <t>Działalność związana z tłumaczeniami</t>
  </si>
  <si>
    <t xml:space="preserve">Übersetzungs- und Dolmetschdienstleistungen </t>
  </si>
  <si>
    <t>Translation and interpretation activities</t>
  </si>
  <si>
    <t>7490Z</t>
  </si>
  <si>
    <t>Pozostała działalność profesjonalna, naukowa i techniczna, gdzie indziej niesklasyfikowana</t>
  </si>
  <si>
    <t xml:space="preserve">Sonstige freiberufliche, wissenschaftliche und technische Dienstleistungen, a.n.g. </t>
  </si>
  <si>
    <t>Other professional, scientific and technical activities n.e.c.</t>
  </si>
  <si>
    <t>7500Z</t>
  </si>
  <si>
    <t>DZIAŁALNOŚĆ WETERYNARYJNA</t>
  </si>
  <si>
    <t xml:space="preserve">Dienstleistungen des Veterinärwesens </t>
  </si>
  <si>
    <t>7711Z</t>
  </si>
  <si>
    <t>Wynajem i dzierżawa samochodów osobowych i furgonetek</t>
  </si>
  <si>
    <t xml:space="preserve">Dienstleistungen der Vermietung von Kraftwagen mit einem Gesamtgewicht von 3,5 t oder weniger </t>
  </si>
  <si>
    <t>Renting and leasing of passenger cars and delivery vans</t>
  </si>
  <si>
    <t>7712Z</t>
  </si>
  <si>
    <t>Wynajem i dzierżawa pozostałych pojazdów samochodowych, z wyłączeniem motocykli</t>
  </si>
  <si>
    <t xml:space="preserve">Dienstleistungen der Vermietung von Lastkraftwagen </t>
  </si>
  <si>
    <t>Renting and leasing of other motor vehicles, except motorcycles</t>
  </si>
  <si>
    <t>7721Z</t>
  </si>
  <si>
    <t>Wypożyczanie i dzierżawa sprzętu rekreacyjnego i sportowego</t>
  </si>
  <si>
    <t>Dienstleistungen der Vermietung und des Leasings von Sport- und Freizeitgeräten</t>
  </si>
  <si>
    <t>7722Z</t>
  </si>
  <si>
    <t>Wypożyczanie kaset wideo, płyt CD, DVD itp.</t>
  </si>
  <si>
    <t>7729Z</t>
  </si>
  <si>
    <t>Wypożyczanie i dzierżawa pozostałych artykułów użytku osobistego i domowego</t>
  </si>
  <si>
    <t xml:space="preserve">Dienstleistungen der Vermietung und des Leasings von sonstigen Gebrauchsgütern </t>
  </si>
  <si>
    <t>7731Z</t>
  </si>
  <si>
    <t>Wynajem i dzierżawa maszyn i urządzeń rolniczych</t>
  </si>
  <si>
    <t>Dienstleistungen der Vermietung und des Leasings von landwirtschaftlichen Maschinen und Geräten</t>
  </si>
  <si>
    <t>Renting and leasing of agricultural machinery and equipment</t>
  </si>
  <si>
    <t>7732Z</t>
  </si>
  <si>
    <t>Wynajem i dzierżawa maszyn i urządzeń budowlanych</t>
  </si>
  <si>
    <t xml:space="preserve">Dienstleistungen der Vermietung und des Leasings von Baumaschinen und -geräten </t>
  </si>
  <si>
    <t>Renting and leasing of construction machinery and equipment</t>
  </si>
  <si>
    <t>7733Z</t>
  </si>
  <si>
    <t>Wynajem i dzierżawa maszyn i urządzeń biurowych, włączając komputery</t>
  </si>
  <si>
    <t>Dienstleistungen der Vermietung und des Leasings von Büromaschinen, Datenverarbeitungsgeräten und -einrichtungen</t>
  </si>
  <si>
    <t>Renting and leasing of office machines and equipment (including computers)</t>
  </si>
  <si>
    <t>7734Z</t>
  </si>
  <si>
    <t>Wynajem i dzierżawa środków transportu wodnego</t>
  </si>
  <si>
    <t>7735Z</t>
  </si>
  <si>
    <t>Wynajem i dzierżawa środków transportu lotniczego</t>
  </si>
  <si>
    <t>7739Z</t>
  </si>
  <si>
    <t>Wynajem i dzierżawa pozostałych maszyn, urządzeń oraz dóbr materialnych, gdzie indziej niesklasyfikowane</t>
  </si>
  <si>
    <t xml:space="preserve">Dienstleistungen der Vermietung und des Leasings von sonstigen Maschinen, Geräten und Sachanlagen, a.n.g. </t>
  </si>
  <si>
    <t>Renting and leasing of other machinery, equipment and tangible goods n.e.c.</t>
  </si>
  <si>
    <t>7740Z</t>
  </si>
  <si>
    <t>Dzierżawa własności intelektualnej i podobnych produktów, z wyłączeniem prac chronionych prawem autorskim</t>
  </si>
  <si>
    <t>Dienstleistungen des Leasings von nichtfinanziellen immateriellen Vermögensgegenständen (ohne urheberrechtlich geschützte Werke)</t>
  </si>
  <si>
    <t>Leasing of intellectual property and similar products, except copyrighted works</t>
  </si>
  <si>
    <t>7810Z</t>
  </si>
  <si>
    <t>Działalność związana z wyszukiwaniem miejsc pracy i pozyskiwaniem pracowników</t>
  </si>
  <si>
    <t xml:space="preserve">Dienstleistungen der Vermittlung von Arbeitskräften </t>
  </si>
  <si>
    <t>Activities of employment placement agencies;</t>
  </si>
  <si>
    <t>7820Z</t>
  </si>
  <si>
    <t>Działalność agencji pracy tymczasowej</t>
  </si>
  <si>
    <t xml:space="preserve">Dienstleistungen der befristeten Überlassung von Arbeitskräften </t>
  </si>
  <si>
    <t>Temporary employment agency activities</t>
  </si>
  <si>
    <t>7830Z</t>
  </si>
  <si>
    <t>Pozostała działalność związana z udostępnianiem pracowników</t>
  </si>
  <si>
    <t xml:space="preserve">Dienstleistungen der sonstigen Überlassung von Arbeitskräften </t>
  </si>
  <si>
    <t>Other human resources provision</t>
  </si>
  <si>
    <t>7911A</t>
  </si>
  <si>
    <t>Działalność agentów turystycznych</t>
  </si>
  <si>
    <t xml:space="preserve">Dienstleistungen von Reisebüros </t>
  </si>
  <si>
    <t>7911B</t>
  </si>
  <si>
    <t>Działalność pośredników turystycznych</t>
  </si>
  <si>
    <t>7912Z</t>
  </si>
  <si>
    <t>Działalność organizatorów turystyki</t>
  </si>
  <si>
    <t>7990A</t>
  </si>
  <si>
    <t>Działalność pilotów wycieczek i przewodników turystycznych</t>
  </si>
  <si>
    <t>7990B</t>
  </si>
  <si>
    <t>Działalność w zakresie informacji turystycznej</t>
  </si>
  <si>
    <t>7990C</t>
  </si>
  <si>
    <t>Pozostała działalność usługowa w zakresie rezerwacji, gdzie indziej niesklasyfikowana</t>
  </si>
  <si>
    <t>8010Z</t>
  </si>
  <si>
    <t>Działalność ochroniarska, z wyłączeniem obsługi systemów bezpieczeństwa</t>
  </si>
  <si>
    <t>Private security activities, excluding security systems service activities</t>
  </si>
  <si>
    <t>8020Z</t>
  </si>
  <si>
    <t>Działalność ochroniarska w zakresie obsługi systemów bezpieczeństwa</t>
  </si>
  <si>
    <t xml:space="preserve">Sicherheitsdienstleistungen mithilfe von Überwachungs- und Alarmsystemen </t>
  </si>
  <si>
    <t>Security systems service activities</t>
  </si>
  <si>
    <t>8030Z</t>
  </si>
  <si>
    <t>Działalność detektywistyczna</t>
  </si>
  <si>
    <t>8110Z</t>
  </si>
  <si>
    <t>Działalność pomocnicza związana z utrzymaniem porządku w budynkach</t>
  </si>
  <si>
    <t>Hausmeisterdienstleistungen</t>
  </si>
  <si>
    <t>Building cleaning support activities</t>
  </si>
  <si>
    <t>8121Z</t>
  </si>
  <si>
    <t>Niespecjalistyczne sprzątanie budynków i obiektów przemysłowych</t>
  </si>
  <si>
    <t>Allgemeine Gebäudereinigungsleistungen</t>
  </si>
  <si>
    <t>Non-specialised cleaning of buildings and industrial facilities</t>
  </si>
  <si>
    <t>8122Z</t>
  </si>
  <si>
    <t>Specjalistyczne sprzątanie budynków i obiektów przemysłowych</t>
  </si>
  <si>
    <t>Spezielle Reinigungsleistungen an Gebäuden und Reinigungsleistungen an Maschinen</t>
  </si>
  <si>
    <t>Specialised cleaning of buildings and industrial facilities</t>
  </si>
  <si>
    <t>8129Z</t>
  </si>
  <si>
    <t>Pozostałe sprzątanie</t>
  </si>
  <si>
    <t>Reinigungsleistungen, a.n.g.</t>
  </si>
  <si>
    <t>Other cleaning activities</t>
  </si>
  <si>
    <t>8130Z</t>
  </si>
  <si>
    <t>Działalność usługowa związana z zagospodarowaniem terenów zieleni</t>
  </si>
  <si>
    <t>Dienstleistungen des Garten- und Landschaftsbaus</t>
  </si>
  <si>
    <t>Landscape management related services</t>
  </si>
  <si>
    <t>8211Z</t>
  </si>
  <si>
    <t>Działalność usługowa związana z administracyjną obsługą biura</t>
  </si>
  <si>
    <t xml:space="preserve">Allgemeine Sekretariats- und Schreibarbeiten </t>
  </si>
  <si>
    <t>Office administrative service activities</t>
  </si>
  <si>
    <t>8219Z</t>
  </si>
  <si>
    <t>Wykonywanie fotokopii, przygotowywanie dokumentów i pozostała specjalistyczna działalność wspomagająca prowadzenie biura</t>
  </si>
  <si>
    <t>Dienstleistungen von Copyshops; Dienstleistungen der Dokumentenvorbereitung und sonstige spezielle Sekretariatsdienstleistungen</t>
  </si>
  <si>
    <t>Photocopying, document preparation and other specialised office support activities</t>
  </si>
  <si>
    <t>8220Z</t>
  </si>
  <si>
    <t>Działalność centrów telefonicznych (call center)</t>
  </si>
  <si>
    <t xml:space="preserve">Dienstleistungen von Callcentern </t>
  </si>
  <si>
    <t>Activities of call centres</t>
  </si>
  <si>
    <t>8230Z</t>
  </si>
  <si>
    <t>Działalność związana z organizacją targów, wystaw i kongresów</t>
  </si>
  <si>
    <t>Dienstleistungen von Messe-, Ausstellungs- und Kongressveranstaltern</t>
  </si>
  <si>
    <t>Organisation of conventions and trade shows</t>
  </si>
  <si>
    <t>8291Z</t>
  </si>
  <si>
    <t>Działalność świadczona przez agencje inkasa i biura kredytowe</t>
  </si>
  <si>
    <t xml:space="preserve">Dienstleistungen von Inkassobüros und Auskunfteien </t>
  </si>
  <si>
    <t>Activities of collection agencies and credit bureaus</t>
  </si>
  <si>
    <t>8292Z</t>
  </si>
  <si>
    <t>Działalność związana z pakowaniem</t>
  </si>
  <si>
    <t xml:space="preserve">Abfüll- und Verpackungsleistungen </t>
  </si>
  <si>
    <t>8299Z</t>
  </si>
  <si>
    <t>Pozostała działalność wspomagająca prowadzenie działalności gospodarczej, gdzie indziej niesklasyfikowana</t>
  </si>
  <si>
    <t>Sonstige wirtschaftliche Unterstützungsdienstleistungen für Unternehmen und Privatpersonen, a.n.g.</t>
  </si>
  <si>
    <t>Other business support service activities n.e.c.</t>
  </si>
  <si>
    <t>8411Z</t>
  </si>
  <si>
    <t>Kierowanie podstawowymi rodzajami działalności publicznej</t>
  </si>
  <si>
    <t>8412Z</t>
  </si>
  <si>
    <t>Kierowanie w zakresie działalności związanej z ochroną zdrowia, edukacją, kulturą oraz pozostałymi usługami społecznymi, z wyłączeniem zabezpieczeń społecznych</t>
  </si>
  <si>
    <t>8413Z</t>
  </si>
  <si>
    <t>Kierowanie w zakresie efektywności gospodarowania</t>
  </si>
  <si>
    <t>8421Z</t>
  </si>
  <si>
    <t>Sprawy zagraniczne</t>
  </si>
  <si>
    <t>8422Z</t>
  </si>
  <si>
    <t>Obrona narodowa</t>
  </si>
  <si>
    <t>8423Z</t>
  </si>
  <si>
    <t>Wymiar sprawiedliwości</t>
  </si>
  <si>
    <t>8424Z</t>
  </si>
  <si>
    <t>Bezpieczeństwo państwa, porządek i bezpieczeństwo publiczne</t>
  </si>
  <si>
    <t>8425Z</t>
  </si>
  <si>
    <t>Ochrona przeciwpożarowa</t>
  </si>
  <si>
    <t>Fire fighting systems</t>
  </si>
  <si>
    <t>8430Z</t>
  </si>
  <si>
    <t>Obowiązkowe zabezpieczenia społeczne</t>
  </si>
  <si>
    <t>8510Z</t>
  </si>
  <si>
    <t>Placówki wychowania przedszkolnego</t>
  </si>
  <si>
    <t>8520Z</t>
  </si>
  <si>
    <t>Szkoły podstawowe</t>
  </si>
  <si>
    <t>8531A</t>
  </si>
  <si>
    <t>Gimnazja</t>
  </si>
  <si>
    <t>8531B</t>
  </si>
  <si>
    <t>Licea ogólnokształcące</t>
  </si>
  <si>
    <t>8532A</t>
  </si>
  <si>
    <t>Technika</t>
  </si>
  <si>
    <t>8532B</t>
  </si>
  <si>
    <t>Branżowe szkoły I stopnia</t>
  </si>
  <si>
    <t>8532C</t>
  </si>
  <si>
    <t>Szkoły specjalne przysposabiające do pracy</t>
  </si>
  <si>
    <t>8532D</t>
  </si>
  <si>
    <t>Branżowe szkoły II stopnia</t>
  </si>
  <si>
    <t>8541A</t>
  </si>
  <si>
    <t>Szkoły policealne</t>
  </si>
  <si>
    <t>8541B</t>
  </si>
  <si>
    <t>Kolegia pracowników służb społecznych</t>
  </si>
  <si>
    <t>8541C</t>
  </si>
  <si>
    <t>Placówki doskonalenia nauczycieli</t>
  </si>
  <si>
    <t>8542Z</t>
  </si>
  <si>
    <t>Szkoły wyższe</t>
  </si>
  <si>
    <t>Schools of higher education</t>
  </si>
  <si>
    <t>8551Z</t>
  </si>
  <si>
    <t>Pozaszkolne formy edukacji sportowej oraz zajęć sportowych i rekreacyjnych</t>
  </si>
  <si>
    <t xml:space="preserve">Dienstleistungen im Bereich Sport- und Freizeitunterricht </t>
  </si>
  <si>
    <t>Out-of-school forms of sports and leisure education</t>
  </si>
  <si>
    <t>8552Z</t>
  </si>
  <si>
    <t>Pozaszkolne formy edukacji artystycznej</t>
  </si>
  <si>
    <t xml:space="preserve">Dienstleistungen im Bereich Kulturunterricht </t>
  </si>
  <si>
    <t>Out-of-school forms of cultural education</t>
  </si>
  <si>
    <t>8553Z</t>
  </si>
  <si>
    <t>Pozaszkolne formy edukacji z zakresu nauki jazdy i pilotażu</t>
  </si>
  <si>
    <t xml:space="preserve">Dienstleistungen von Fahr- und Flugschulen </t>
  </si>
  <si>
    <t>8559A</t>
  </si>
  <si>
    <t>Nauka języków obcych</t>
  </si>
  <si>
    <t xml:space="preserve">Dienstleistungen von Sprachschulen </t>
  </si>
  <si>
    <t>8559B</t>
  </si>
  <si>
    <t>Pozostałe pozaszkolne formy edukacji, gdzie indziej niesklasyfikowane</t>
  </si>
  <si>
    <t xml:space="preserve">Dienstleistungen im Bereich Unterricht, a.n.g. </t>
  </si>
  <si>
    <t>Other out-of-school forms of education n.e.c.</t>
  </si>
  <si>
    <t>8560Z</t>
  </si>
  <si>
    <t>Działalność wspomagająca edukację</t>
  </si>
  <si>
    <t xml:space="preserve">Unterstützungsdienstleistungen für den Unterricht </t>
  </si>
  <si>
    <t>Educational support activities</t>
  </si>
  <si>
    <t>8610Z</t>
  </si>
  <si>
    <t>Działalność szpitali</t>
  </si>
  <si>
    <t xml:space="preserve">Dienstleistungen von Krankenhäusern </t>
  </si>
  <si>
    <t>8621Z</t>
  </si>
  <si>
    <t>Praktyka lekarska ogólna</t>
  </si>
  <si>
    <t xml:space="preserve">Ärztliche Dienstleistungen in Arztpraxen für Allgemeinmedizin </t>
  </si>
  <si>
    <t>8622Z</t>
  </si>
  <si>
    <t>Praktyka lekarska specjalistyczna</t>
  </si>
  <si>
    <t xml:space="preserve">Ärztliche Dienstleistungen in Facharztpraxen </t>
  </si>
  <si>
    <t>8623Z</t>
  </si>
  <si>
    <t>Praktyka lekarska dentystyczna</t>
  </si>
  <si>
    <t xml:space="preserve">Ärztliche Dienstleistungen in Zahnarztpraxen </t>
  </si>
  <si>
    <t>8690A</t>
  </si>
  <si>
    <t>Działalność fizjoterapeutyczna</t>
  </si>
  <si>
    <t>Physiotherapieleistungen</t>
  </si>
  <si>
    <t>8690B</t>
  </si>
  <si>
    <t>Działalność pogotowia ratunkowego</t>
  </si>
  <si>
    <t>Rettungsdienst- und Krankentransportdienstleistungen</t>
  </si>
  <si>
    <t>8690C</t>
  </si>
  <si>
    <t>Praktyka pielęgniarek i położnych</t>
  </si>
  <si>
    <t>8690D</t>
  </si>
  <si>
    <t>Działalność paramedyczna</t>
  </si>
  <si>
    <t>8690E</t>
  </si>
  <si>
    <t>Pozostała działalność w zakresie opieki zdrowotnej, gdzie indziej niesklasyfikowana</t>
  </si>
  <si>
    <t xml:space="preserve">Sonstige Dienstleistungen des Gesundheitswesens, a.n.g. </t>
  </si>
  <si>
    <t>Other human health activities n.e.c.</t>
  </si>
  <si>
    <t>8710Z</t>
  </si>
  <si>
    <t>Pomoc społeczna z zakwaterowaniem zapewniająca opiekę pielęgniarską</t>
  </si>
  <si>
    <t xml:space="preserve">Dienstleistungen von Pflegeheimen </t>
  </si>
  <si>
    <t>8720Z</t>
  </si>
  <si>
    <t>Pomoc społeczna z zakwaterowaniem dla osób z zaburzeniami psychicznymi</t>
  </si>
  <si>
    <t xml:space="preserve">Dienstleistungen von stationären Einrichtungen zur psychosozialen Betreuung, Suchtbekämpfung u. Ä. </t>
  </si>
  <si>
    <t>8730Z</t>
  </si>
  <si>
    <t>Pomoc społeczna z zakwaterowaniem dla osób w podeszłym wieku i osób niepełnosprawnych</t>
  </si>
  <si>
    <t>Dienstleistungen von Altenheimen sowie Alten- und Behindertenwohnheimen</t>
  </si>
  <si>
    <t>8790Z</t>
  </si>
  <si>
    <t>Pozostała pomoc społeczna z zakwaterowaniem</t>
  </si>
  <si>
    <t xml:space="preserve">Dienstleistungen von sonstigen Heimen (ohne Erholungs- und Ferienheime) </t>
  </si>
  <si>
    <t>8810Z</t>
  </si>
  <si>
    <t>Pomoc społeczna bez zakwaterowania dla osób w podeszłym wieku i osób niepełnosprawnych</t>
  </si>
  <si>
    <t xml:space="preserve">Dienstleistungen der sozialen Betreuung älterer Menschen und Behinderter </t>
  </si>
  <si>
    <t>8891Z</t>
  </si>
  <si>
    <t>Opieka dzienna nad dziećmi</t>
  </si>
  <si>
    <t>8899Z</t>
  </si>
  <si>
    <t>Pozostała pomoc społeczna bez zakwaterowania, gdzie indziej niesklasyfikowana</t>
  </si>
  <si>
    <t xml:space="preserve">Sonstige Dienstleistungen des Sozialwesens, a.n.g. </t>
  </si>
  <si>
    <t>9001Z</t>
  </si>
  <si>
    <t>Działalność związana z wystawianiem przedstawień artystycznych</t>
  </si>
  <si>
    <t>9002Z</t>
  </si>
  <si>
    <t>Działalność wspomagająca wystawianie przedstawień artystycznych</t>
  </si>
  <si>
    <t>9003Z</t>
  </si>
  <si>
    <t>Artystyczna i literacka działalność twórcza</t>
  </si>
  <si>
    <t>9004Z</t>
  </si>
  <si>
    <t>Działalność obiektów kulturalnych</t>
  </si>
  <si>
    <t>9101A</t>
  </si>
  <si>
    <t>Działalność bibliotek</t>
  </si>
  <si>
    <t>Dienstleistungen von Bibliotheken</t>
  </si>
  <si>
    <t>9101B</t>
  </si>
  <si>
    <t>Działalność archiwów</t>
  </si>
  <si>
    <t xml:space="preserve">Dienstleistungen von Archiven </t>
  </si>
  <si>
    <t>9102Z</t>
  </si>
  <si>
    <t>Działalność muzeów</t>
  </si>
  <si>
    <t>Dienstleistungen von Museen</t>
  </si>
  <si>
    <t>9103Z</t>
  </si>
  <si>
    <t>Działalność historycznych miejsc i budynków oraz podobnych atrakcji turystycznych</t>
  </si>
  <si>
    <t>9104Z</t>
  </si>
  <si>
    <t>Działalność ogrodów botanicznych i zoologicznych oraz obszarów i obiektów ochrony przyrody</t>
  </si>
  <si>
    <t>9200Z</t>
  </si>
  <si>
    <t>DZIAŁALNOŚĆ ZWIĄZANA Z GRAMI LOSOWYMI I ZAKŁADAMI WZAJEMNYMI</t>
  </si>
  <si>
    <t>9311Z</t>
  </si>
  <si>
    <t>Działalność obiektów sportowych</t>
  </si>
  <si>
    <t>9312Z</t>
  </si>
  <si>
    <t>Działalność klubów sportowych</t>
  </si>
  <si>
    <t>9313Z</t>
  </si>
  <si>
    <t>Działalność obiektów służących poprawie kondycji fizycznej</t>
  </si>
  <si>
    <t>9319Z</t>
  </si>
  <si>
    <t>Pozostała działalność związana ze sportem</t>
  </si>
  <si>
    <t>9321Z</t>
  </si>
  <si>
    <t>Działalność wesołych miasteczek i parków rozrywki</t>
  </si>
  <si>
    <t>9329Z</t>
  </si>
  <si>
    <t>Pozostała działalność rozrywkowa i rekreacyjna</t>
  </si>
  <si>
    <t>Other entertainment and recreation activities</t>
  </si>
  <si>
    <t>9411Z</t>
  </si>
  <si>
    <t>Działalność organizacji komercyjnych i pracodawców</t>
  </si>
  <si>
    <t xml:space="preserve">Dienstleistungen von Wirtschafts- und Arbeitgeberverbänden </t>
  </si>
  <si>
    <t>9412Z</t>
  </si>
  <si>
    <t>Działalność organizacji profesjonalnych</t>
  </si>
  <si>
    <t>9420Z</t>
  </si>
  <si>
    <t>Działalność związków zawodowych</t>
  </si>
  <si>
    <t>Trade union activities</t>
  </si>
  <si>
    <t>9491Z</t>
  </si>
  <si>
    <t>Działalność organizacji religijnych</t>
  </si>
  <si>
    <t>9492Z</t>
  </si>
  <si>
    <t>Działalność organizacji politycznych</t>
  </si>
  <si>
    <t>9499Z</t>
  </si>
  <si>
    <t>Działalność pozostałych organizacji członkowskich, gdzie indziej niesklasyfikowana</t>
  </si>
  <si>
    <t>Activities of other membership organisations n.e.c.</t>
  </si>
  <si>
    <t>9511Z</t>
  </si>
  <si>
    <t>Naprawa i konserwacja komputerów i urządzeń peryferyjnych</t>
  </si>
  <si>
    <t xml:space="preserve">Reparaturarbeiten an Datenverarbeitungsgeräten und peripheren Geräten </t>
  </si>
  <si>
    <t>Repair and maintenance of computers and peripheral equipment</t>
  </si>
  <si>
    <t>9512Z</t>
  </si>
  <si>
    <t>Naprawa i konserwacja sprzętu (tele)komunikacyjnego</t>
  </si>
  <si>
    <t>Reparaturarbeiten an Telekommunikationsgeräten</t>
  </si>
  <si>
    <t>Repair and maintenance of (tele)communications equipment</t>
  </si>
  <si>
    <t>9521Z</t>
  </si>
  <si>
    <t>Naprawa i konserwacja elektronicznego sprzętu powszechnego użytku</t>
  </si>
  <si>
    <t xml:space="preserve">Reparaturarbeiten an Geräten der Unterhaltungselektronik </t>
  </si>
  <si>
    <t>9522Z</t>
  </si>
  <si>
    <t>Naprawa i konserwacja urządzeń gospodarstwa domowego oraz sprzętu użytku domowego i ogrodniczego</t>
  </si>
  <si>
    <t xml:space="preserve">Reparaturarbeiten an elektrischen Haushaltsgeräten und Gartengeräten </t>
  </si>
  <si>
    <t>Repair and maintenance of household appliances and home and garden equipment</t>
  </si>
  <si>
    <t>9523Z</t>
  </si>
  <si>
    <t>Naprawa obuwia i wyrobów skórzanych</t>
  </si>
  <si>
    <t>9524Z</t>
  </si>
  <si>
    <t>Naprawa i konserwacja mebli i wyposażenia domowego</t>
  </si>
  <si>
    <t xml:space="preserve">Reparaturarbeiten an Möbeln und Einrichtungsgegenständen </t>
  </si>
  <si>
    <t>9525Z</t>
  </si>
  <si>
    <t>Naprawa zegarów, zegarków oraz biżuterii</t>
  </si>
  <si>
    <t>9529Z</t>
  </si>
  <si>
    <t>Naprawa pozostałych artykułów użytku osobistego i domowego</t>
  </si>
  <si>
    <t xml:space="preserve">Reparaturarbeiten an sonstigen Gebrauchsgütern </t>
  </si>
  <si>
    <t>9601Z</t>
  </si>
  <si>
    <t>Pranie i czyszczenie wyrobów włókienniczych i futrzarskich</t>
  </si>
  <si>
    <t>9602Z</t>
  </si>
  <si>
    <t>Fryzjerstwo i pozostałe zabiegi kosmetyczne</t>
  </si>
  <si>
    <t>9603Z</t>
  </si>
  <si>
    <t>Pogrzeby i działalność pokrewna</t>
  </si>
  <si>
    <t>9604Z</t>
  </si>
  <si>
    <t>Działalność usługowa związana z poprawą kondycji fizycznej</t>
  </si>
  <si>
    <t>9609Z</t>
  </si>
  <si>
    <t>Pozostała działalność usługowa, gdzie indziej niesklasyfikowana</t>
  </si>
  <si>
    <t xml:space="preserve">Sonstige überwiegend persönliche Dienstleistungen, a.n.g. </t>
  </si>
  <si>
    <t>Other service activities, n.e.c.</t>
  </si>
  <si>
    <t>9700Z</t>
  </si>
  <si>
    <t>GOSPODARSTWA DOMOWE ZATRUDNIAJĄCE PRACOWNIKÓW</t>
  </si>
  <si>
    <t>9810Z</t>
  </si>
  <si>
    <t>Gospodarstwa domowe produkujące wyroby na własne potrzeby</t>
  </si>
  <si>
    <t>9820Z</t>
  </si>
  <si>
    <t>Gospodarstwa domowe świadczące usługi na własne potrzeby</t>
  </si>
  <si>
    <t>9900Z</t>
  </si>
  <si>
    <t>ORGANIZACJE I ZESPOŁY EKSTERYTORIALNE</t>
  </si>
  <si>
    <t>1.</t>
  </si>
  <si>
    <t>1.1.-1.2.</t>
  </si>
  <si>
    <t>Puławska</t>
  </si>
  <si>
    <t>m.st.Warszawa</t>
  </si>
  <si>
    <t>Mazowieckie</t>
  </si>
  <si>
    <t>1.3.</t>
  </si>
  <si>
    <t>wypełniamy - w przypadku oddziału zagranicznego przedsiębiorcy</t>
  </si>
  <si>
    <t>opcjonalnie</t>
  </si>
  <si>
    <t>Wybierz prawidłowe kody pkd - wystarczy podać 1 numer PKD - podstawowa działalność</t>
  </si>
  <si>
    <t>PKD - wymaga tłumaczenia (nie wszystkie PKD we wzorze automatycznie się tłumaczą)</t>
  </si>
  <si>
    <t>2.</t>
  </si>
  <si>
    <t>Ukryj, gdy nie dotyczy</t>
  </si>
  <si>
    <t>WPISZ OPIS dla ograniczenia czasu trwania działalności</t>
  </si>
  <si>
    <t>albo "data do" albo "opis":</t>
  </si>
  <si>
    <t>3.</t>
  </si>
  <si>
    <t>4.</t>
  </si>
  <si>
    <t>Gdy istnieją przesłanki, należy opisać, w przeciwnym wypadku ukryć</t>
  </si>
  <si>
    <t>-</t>
  </si>
  <si>
    <t>rodzaj opisu</t>
  </si>
  <si>
    <t>6.</t>
  </si>
  <si>
    <t>5.</t>
  </si>
  <si>
    <t>5.1.</t>
  </si>
  <si>
    <t>wartość początkowa</t>
  </si>
  <si>
    <t>WNIP</t>
  </si>
  <si>
    <t>wartość graniczna</t>
  </si>
  <si>
    <t>wypełnij wartości graniczne</t>
  </si>
  <si>
    <t>ST</t>
  </si>
  <si>
    <t>metoda amortyzacji</t>
  </si>
  <si>
    <t>liniowa</t>
  </si>
  <si>
    <t>niepotrzebne ukryj</t>
  </si>
  <si>
    <t>Zostaw, gdy spółka korzysta z uproszczeń</t>
  </si>
  <si>
    <t>Ukryj, gdy spółka korzysta z uproszczeń</t>
  </si>
  <si>
    <t>wybierz sposób ewidencji materiałów</t>
  </si>
  <si>
    <t>ilościowo-wartościowa</t>
  </si>
  <si>
    <t>wybierz sposób ewidencji towarów</t>
  </si>
  <si>
    <t>wybierz sposób ewidencji WG</t>
  </si>
  <si>
    <t>metoda rozchodu zapasów</t>
  </si>
  <si>
    <t>FIFO</t>
  </si>
  <si>
    <t>metoda wyceny inwestycji</t>
  </si>
  <si>
    <t>odpowiedni wiersz ukryj</t>
  </si>
  <si>
    <t>Ukryj gdy spółka stosuje uproszczenia</t>
  </si>
  <si>
    <t>5.2.</t>
  </si>
  <si>
    <t>5.3.</t>
  </si>
  <si>
    <t>Ukryj gdy jednostka nie sporządza rachunku przepływów pieniężnych</t>
  </si>
  <si>
    <t>5.4.</t>
  </si>
  <si>
    <t>W przypadku, gdy zasady uległy zmianie, odpowiednio zmodyfikować</t>
  </si>
  <si>
    <t>Czy spółka sporządza rachunek przepływów?</t>
  </si>
  <si>
    <t>tak</t>
  </si>
  <si>
    <t>nota - konflikt na Ukrainie</t>
  </si>
  <si>
    <t>Monika Czerwonka</t>
  </si>
  <si>
    <t>Bartosz Kochanowski</t>
  </si>
  <si>
    <t>¾</t>
  </si>
  <si>
    <t>Artur Kostrzewski</t>
  </si>
  <si>
    <t>PLN</t>
  </si>
  <si>
    <t>A.</t>
  </si>
  <si>
    <t>I.</t>
  </si>
  <si>
    <t>II.</t>
  </si>
  <si>
    <t>III.</t>
  </si>
  <si>
    <t>IV.</t>
  </si>
  <si>
    <t>V.</t>
  </si>
  <si>
    <t>VI.</t>
  </si>
  <si>
    <t>a)</t>
  </si>
  <si>
    <t>VII.</t>
  </si>
  <si>
    <t>b)</t>
  </si>
  <si>
    <t>c)</t>
  </si>
  <si>
    <t>d)</t>
  </si>
  <si>
    <t>e)</t>
  </si>
  <si>
    <t>B.</t>
  </si>
  <si>
    <t>f)</t>
  </si>
  <si>
    <t>g)</t>
  </si>
  <si>
    <t>h)</t>
  </si>
  <si>
    <t>i)</t>
  </si>
  <si>
    <t>C.</t>
  </si>
  <si>
    <t>D.</t>
  </si>
  <si>
    <t>VIII.</t>
  </si>
  <si>
    <t>E.</t>
  </si>
  <si>
    <t>F.</t>
  </si>
  <si>
    <t>G.</t>
  </si>
  <si>
    <t>H.</t>
  </si>
  <si>
    <t>J.</t>
  </si>
  <si>
    <t>K.</t>
  </si>
  <si>
    <t>L.</t>
  </si>
  <si>
    <t>Lp</t>
  </si>
  <si>
    <t>Symbol</t>
  </si>
  <si>
    <t>Opis pozycji</t>
  </si>
  <si>
    <t>Bieżacy rok obrotowy</t>
  </si>
  <si>
    <t>Poprzedni rok obrotowy</t>
  </si>
  <si>
    <t>Przekształcone dane porównawcze za poprzedni rok obrotowy</t>
  </si>
  <si>
    <t>A. Przepływy środków pieniężnych z działalności operacyjnej</t>
  </si>
  <si>
    <t>1.1.</t>
  </si>
  <si>
    <t>A.I.</t>
  </si>
  <si>
    <t>I. Wpływy</t>
  </si>
  <si>
    <t>1.1.1.</t>
  </si>
  <si>
    <t>A.I.1.</t>
  </si>
  <si>
    <t>1. Sprzedaż</t>
  </si>
  <si>
    <t>1.1.2.</t>
  </si>
  <si>
    <t>A.I.2.</t>
  </si>
  <si>
    <t>2. Inne wpływy z działalności operacyjnej</t>
  </si>
  <si>
    <t>1.2.</t>
  </si>
  <si>
    <t>A.II.</t>
  </si>
  <si>
    <t>II. Wydatki</t>
  </si>
  <si>
    <t>1.2.1.</t>
  </si>
  <si>
    <t>A.II.1.</t>
  </si>
  <si>
    <t>1. Dostawy i usługi</t>
  </si>
  <si>
    <t>1.2.2.</t>
  </si>
  <si>
    <t>A.II.2.</t>
  </si>
  <si>
    <t>2. Wynagrodzenia netto</t>
  </si>
  <si>
    <t>1.2.3.</t>
  </si>
  <si>
    <t>A.II.3.</t>
  </si>
  <si>
    <t>3. Ubezpieczenia społeczne i zdrowotne oraz inne świadczenia</t>
  </si>
  <si>
    <t>1.2.4.</t>
  </si>
  <si>
    <t>A.II.4.</t>
  </si>
  <si>
    <t>4. Podatki i opłaty o charakterze publicznoprawnym</t>
  </si>
  <si>
    <t>1.2.5.</t>
  </si>
  <si>
    <t>A.II.5.</t>
  </si>
  <si>
    <t>5. Inne wydatki operacyjne</t>
  </si>
  <si>
    <t>A.III.</t>
  </si>
  <si>
    <t>III. Przepływy pieniężne netto z działalności operacyjnej (I–II)</t>
  </si>
  <si>
    <t>B. Przepływy środków pieniężnych z działalności inwestycyjnej</t>
  </si>
  <si>
    <t>2.1.</t>
  </si>
  <si>
    <t>B.I.</t>
  </si>
  <si>
    <t>2.1.1.</t>
  </si>
  <si>
    <t>B.I.1.</t>
  </si>
  <si>
    <t>1. Zbycie wartości niematerialnych i prawnych oraz rzeczowych aktywów trwałych</t>
  </si>
  <si>
    <t>2.1.2.</t>
  </si>
  <si>
    <t>B.I.2.</t>
  </si>
  <si>
    <t>2. Zbycie inwestycji w nieruchomości oraz wartości niematerialne i prawne</t>
  </si>
  <si>
    <t>2.1.3.</t>
  </si>
  <si>
    <t>B.I.3.</t>
  </si>
  <si>
    <t>3. Z aktywów finansowych, w tym:</t>
  </si>
  <si>
    <t>2.1.3.1.</t>
  </si>
  <si>
    <t>B.I.3.a)</t>
  </si>
  <si>
    <t>a) w jednostkach powiązanych</t>
  </si>
  <si>
    <t>2.1.3.2.</t>
  </si>
  <si>
    <t>B.I.3.b)</t>
  </si>
  <si>
    <t>b) w pozostałych jednostkach</t>
  </si>
  <si>
    <t>2.1.3.2.1.</t>
  </si>
  <si>
    <t>B.I.3.b).1</t>
  </si>
  <si>
    <t>– zbycie aktywów finansowych</t>
  </si>
  <si>
    <t>2.1.3.2.2.</t>
  </si>
  <si>
    <t>B.I.3.b).2</t>
  </si>
  <si>
    <t>– dywidendy i udziały w zyskach</t>
  </si>
  <si>
    <t>2.1.3.2.3.</t>
  </si>
  <si>
    <t>B.I.3.b).3</t>
  </si>
  <si>
    <t>– spłata udzielonych pożyczek długoterminowych</t>
  </si>
  <si>
    <t>2.1.3.2.4.</t>
  </si>
  <si>
    <t>B.I.3.b).4</t>
  </si>
  <si>
    <t>– odsetki</t>
  </si>
  <si>
    <t>2.1.3.2.5.</t>
  </si>
  <si>
    <t>B.I.3.b).5</t>
  </si>
  <si>
    <t>– inne wpływy z aktywów finansowych</t>
  </si>
  <si>
    <t>2.1.4.</t>
  </si>
  <si>
    <t>B.I.4.</t>
  </si>
  <si>
    <t>4. Inne wpływy inwestycyjne</t>
  </si>
  <si>
    <t>2.2.</t>
  </si>
  <si>
    <t>B.II.</t>
  </si>
  <si>
    <t>2.2.1.</t>
  </si>
  <si>
    <t>B.II.1.</t>
  </si>
  <si>
    <t>1. Nabycie wartości niematerialnych i prawnych oraz rzeczowych aktywów trwałych</t>
  </si>
  <si>
    <t>2.2.2.</t>
  </si>
  <si>
    <t>B.II.2.</t>
  </si>
  <si>
    <t>2. Inwestycje w nieruchomości oraz wartości niematerialne i prawne</t>
  </si>
  <si>
    <t>2.2.3.</t>
  </si>
  <si>
    <t>B.II.3.</t>
  </si>
  <si>
    <t>3. Na aktywa finansowe, w tym:</t>
  </si>
  <si>
    <t>2.2.3.1.</t>
  </si>
  <si>
    <t>B.II.3.a)</t>
  </si>
  <si>
    <t>2.2.3.2.</t>
  </si>
  <si>
    <t>B.II.3.b)</t>
  </si>
  <si>
    <t>2.2.3.2.1.</t>
  </si>
  <si>
    <t>B.II.3.b).1</t>
  </si>
  <si>
    <t>– nabycie aktywów finansowych</t>
  </si>
  <si>
    <t>2.2.3.2.2.</t>
  </si>
  <si>
    <t>B.II.3.b).2</t>
  </si>
  <si>
    <t>– udzielone pożyczki długoterminowe</t>
  </si>
  <si>
    <t>2.2.4.</t>
  </si>
  <si>
    <t>B.II.4.</t>
  </si>
  <si>
    <t>4. Inne wydatki inwestycyjne</t>
  </si>
  <si>
    <t>2.3.</t>
  </si>
  <si>
    <t>B.III.</t>
  </si>
  <si>
    <t>III. Przepływy pieniężne netto z działalności inwestycyjnej (I–II)</t>
  </si>
  <si>
    <t>C. Przepływy środków pieniężnych z działalności finansowej</t>
  </si>
  <si>
    <t>3.1.</t>
  </si>
  <si>
    <t>C.I.</t>
  </si>
  <si>
    <t>3.1.1.</t>
  </si>
  <si>
    <t>C.I.1.</t>
  </si>
  <si>
    <t>1. Wpływy netto z wydania udziałów (emisji akcji) i innych instrumentów kapitałowych oraz dopłat do kapitału</t>
  </si>
  <si>
    <t>3.1.2.</t>
  </si>
  <si>
    <t>C.I.2.</t>
  </si>
  <si>
    <t>2. Kredyty i pożyczki</t>
  </si>
  <si>
    <t>3.1.3.</t>
  </si>
  <si>
    <t>C.I.3.</t>
  </si>
  <si>
    <t>3. Emisja dłużnych papierów wartościowych</t>
  </si>
  <si>
    <t>3.1.4.</t>
  </si>
  <si>
    <t>C.I.4.</t>
  </si>
  <si>
    <t>4. Inne wpływy finansowe</t>
  </si>
  <si>
    <t>3.2.</t>
  </si>
  <si>
    <t>C.II.</t>
  </si>
  <si>
    <t>3.2.1.</t>
  </si>
  <si>
    <t>C.II.1.</t>
  </si>
  <si>
    <t>1. Nabycie udziałów (akcji) własnych</t>
  </si>
  <si>
    <t>3.2.2.</t>
  </si>
  <si>
    <t>C.II.2.</t>
  </si>
  <si>
    <t>2. Dywidendy i inne wypłaty na rzecz właścicieli</t>
  </si>
  <si>
    <t>3.2.3.</t>
  </si>
  <si>
    <t>C.II.3.</t>
  </si>
  <si>
    <t>3. Inne, niż wypłaty na rzecz właścicieli, wydatki z tytułu podziału zysku</t>
  </si>
  <si>
    <t>3.2.4.</t>
  </si>
  <si>
    <t>C.II.4.</t>
  </si>
  <si>
    <t>4. Spłaty kredytów i pożyczek</t>
  </si>
  <si>
    <t>3.2.5.</t>
  </si>
  <si>
    <t>C.II.5.</t>
  </si>
  <si>
    <t>5. Wykup dłużnych papierów wartościowych</t>
  </si>
  <si>
    <t>3.2.6.</t>
  </si>
  <si>
    <t>C.II.6.</t>
  </si>
  <si>
    <t>6. Z tytułu innych zobowiązań finansowych</t>
  </si>
  <si>
    <t>3.2.7.</t>
  </si>
  <si>
    <t>C.II.7.</t>
  </si>
  <si>
    <t>7. Płatności zobowiązań z tytułu umów leasingu finansowego</t>
  </si>
  <si>
    <t>3.2.8.</t>
  </si>
  <si>
    <t>C.II.8.</t>
  </si>
  <si>
    <t>8. Odsetki</t>
  </si>
  <si>
    <t>3.2.9.</t>
  </si>
  <si>
    <t>C.II.9.</t>
  </si>
  <si>
    <t>9. Inne wydatki finansowe</t>
  </si>
  <si>
    <t>3.3.</t>
  </si>
  <si>
    <t>C.III.</t>
  </si>
  <si>
    <t>III. Przepływy pieniężne netto z działalności finansowej (I–II)</t>
  </si>
  <si>
    <t>D. Przepływy pieniężne netto, razem (A.III±B.III±C.III)</t>
  </si>
  <si>
    <t>E. Bilansowa zmiana stanu środków pieniężnych, w tym:</t>
  </si>
  <si>
    <t>E.1</t>
  </si>
  <si>
    <t>– zmiana stanu środków pieniężnych z tytułu różnic kursowych</t>
  </si>
  <si>
    <t>F. Środki pieniężne na początek okresu</t>
  </si>
  <si>
    <t>7.</t>
  </si>
  <si>
    <t>G. Środki pieniężne na koniec okresu (F±D), w tym:</t>
  </si>
  <si>
    <t>7.1.</t>
  </si>
  <si>
    <t>G.1</t>
  </si>
  <si>
    <t>– o ograniczonej możliwości dysponowania</t>
  </si>
  <si>
    <t>M.</t>
  </si>
  <si>
    <t>N.</t>
  </si>
  <si>
    <t>O.</t>
  </si>
  <si>
    <t>KONTROLA</t>
  </si>
  <si>
    <t>8.</t>
  </si>
  <si>
    <t>9.</t>
  </si>
  <si>
    <t>10.</t>
  </si>
  <si>
    <t>I.a.</t>
  </si>
  <si>
    <t>ukryj wiersz, gdy nie uzupełniasz</t>
  </si>
  <si>
    <t>4.1.</t>
  </si>
  <si>
    <t>4.2.</t>
  </si>
  <si>
    <t>5.5.</t>
  </si>
  <si>
    <t>5.6.</t>
  </si>
  <si>
    <t>5.7.</t>
  </si>
  <si>
    <t>skoryguj gdy planowana jest wypłata dywidendy</t>
  </si>
  <si>
    <t>Roedl Outsourcing Sp. z o.o.</t>
  </si>
  <si>
    <t>Internet www.roedl.com</t>
  </si>
  <si>
    <t>Proszę ukryć wiersz, w przypadku uzupełniania noty!</t>
  </si>
  <si>
    <t>Dodatkowy opis w przypadku uzupełniania noty - przyczyny dokonania odpisów aktualizujących</t>
  </si>
  <si>
    <t>1.3</t>
  </si>
  <si>
    <t>1.4</t>
  </si>
  <si>
    <t>1.5</t>
  </si>
  <si>
    <t>samochody użytkowane w leasingu</t>
  </si>
  <si>
    <t>1.6</t>
  </si>
  <si>
    <t>1.7</t>
  </si>
  <si>
    <t>1.8</t>
  </si>
  <si>
    <t>wybierz prawidłowe</t>
  </si>
  <si>
    <t>udziały</t>
  </si>
  <si>
    <t>akcje</t>
  </si>
  <si>
    <t>%</t>
  </si>
  <si>
    <t>Rhenus Docs To Data GmbH</t>
  </si>
  <si>
    <t>Gdy jeden udziałowiec ukryj podsumowanie</t>
  </si>
  <si>
    <t>W 2024 Rhenus Docs To Data nabył 100% udziałów Spółki.</t>
  </si>
  <si>
    <t>Jeżęli wystąpiły zmiany zmienić odpowiednio</t>
  </si>
  <si>
    <t>1.9</t>
  </si>
  <si>
    <t>Ukryć jeżeli jednostka sporządza zestawienie zmian w kapitale własnym!</t>
  </si>
  <si>
    <t>ukryj zbedne wiersze z noty</t>
  </si>
  <si>
    <t>miejsce na ewentualny komentarz</t>
  </si>
  <si>
    <t>ukryj, gdy brak komentarza</t>
  </si>
  <si>
    <t>1.10</t>
  </si>
  <si>
    <t>Uwaga - albo opisowo albo wypełnij tabelę, miejsce na opis poniżej tabeli</t>
  </si>
  <si>
    <t>Proszę ukryć, gdy strata</t>
  </si>
  <si>
    <t>Proszę ukryć zbędne wiersze</t>
  </si>
  <si>
    <t>Proszę ukryć, gdy zysk</t>
  </si>
  <si>
    <t>Można tu ukryć tabele powyżej i opisać słownie.</t>
  </si>
  <si>
    <t>1.11</t>
  </si>
  <si>
    <t>1.12</t>
  </si>
  <si>
    <t>podmioty powiązane</t>
  </si>
  <si>
    <t>podmioty niepowiązane</t>
  </si>
  <si>
    <t>1.13</t>
  </si>
  <si>
    <t>1.14</t>
  </si>
  <si>
    <t>rozliczenia międzyokresowe bierne ujęte w pozycji zobowiązań handlowych zgodnie z art.. 39 ust 2 UoR</t>
  </si>
  <si>
    <t>Rozliczenia poz B. IV. Pasywa</t>
  </si>
  <si>
    <t>1.15</t>
  </si>
  <si>
    <t>1.16</t>
  </si>
  <si>
    <t>1.17</t>
  </si>
  <si>
    <t>1.17a</t>
  </si>
  <si>
    <t>1.18</t>
  </si>
  <si>
    <t>1.19</t>
  </si>
  <si>
    <t>,</t>
  </si>
  <si>
    <t>2.4.</t>
  </si>
  <si>
    <t>2.5.</t>
  </si>
  <si>
    <t>2.6.</t>
  </si>
  <si>
    <t>(-)</t>
  </si>
  <si>
    <t>W przypadku dodania nowych pozycji, nie występujących we wzorze (wynikających z uszczegółowienia pozycji powyżej 20 TPLN), należy je również ręcznie dodać eDek</t>
  </si>
  <si>
    <t>(+)</t>
  </si>
  <si>
    <t>nagłówek do ukrycia, gdy CIT na 1 stronie</t>
  </si>
  <si>
    <t>w przypadku, gdy wartość zobowiązania jest wyższa</t>
  </si>
  <si>
    <t>w przypadku, gdy wartość netto jest wyższa od zobowiązania</t>
  </si>
  <si>
    <t>2.7.</t>
  </si>
  <si>
    <t>2.8.</t>
  </si>
  <si>
    <t>2.9.</t>
  </si>
  <si>
    <t>2.10.</t>
  </si>
  <si>
    <t>2.11.</t>
  </si>
  <si>
    <t>2.12.</t>
  </si>
  <si>
    <t>zmodyfikuj, gdy inny dzień bilansowy albo więcej walut</t>
  </si>
  <si>
    <t>4.1</t>
  </si>
  <si>
    <t>wpisz tytuł korekty</t>
  </si>
  <si>
    <t>Ukryj zbędne wiersze, gdy nie dotyczą</t>
  </si>
  <si>
    <t>definicja grupy zawodowej do dowolnej modyfikacji, wystarczy np.. Pracownicy fizyczni, pracownicy umysłowi</t>
  </si>
  <si>
    <r>
      <t>Proszę ukryć wiersz, w przypadku uzupełniania noty!</t>
    </r>
    <r>
      <rPr>
        <b/>
        <sz val="8"/>
        <color theme="0"/>
        <rFont val="Frutiger CE 45 Light"/>
        <charset val="238"/>
      </rPr>
      <t>.</t>
    </r>
  </si>
  <si>
    <t>Proszę ukryć wiersze, w przypadku uzupełniania noty!</t>
  </si>
  <si>
    <t>tu wpisz wynagrodzenie, w przypadku obowiązku badania</t>
  </si>
  <si>
    <t>tu wpisz wynagrodzenie za inne usługi, tj. badanie planu połączenia, uzgodnione procedury</t>
  </si>
  <si>
    <t>6.1</t>
  </si>
  <si>
    <t>6.2</t>
  </si>
  <si>
    <t>6.3</t>
  </si>
  <si>
    <t>6.4</t>
  </si>
  <si>
    <t>Opisz wprowadzone zmiany</t>
  </si>
  <si>
    <t>ukryj wiersze, gdy nie było zmian lub zmiany prezentowane są jako 3 kolumna</t>
  </si>
  <si>
    <t>ukryj wiersze, gdy zmiany opisane w poniższej tabeli</t>
  </si>
  <si>
    <t>ukryj wiersze, gdy nzmiany prezentowane są jako 3 kolumna</t>
  </si>
  <si>
    <t>7.1</t>
  </si>
  <si>
    <t>7.2</t>
  </si>
  <si>
    <t>Nota dotyczy obrotów z jednostkami powiązanymi, nie jest wymagane podawanie sald należności/zobowiązań</t>
  </si>
  <si>
    <t>check</t>
  </si>
  <si>
    <t>Kwota przychodów wykazana w RZIS</t>
  </si>
  <si>
    <t>Kwota odsetek wykazana w RZIS</t>
  </si>
  <si>
    <t>przychody</t>
  </si>
  <si>
    <t>koszty</t>
  </si>
  <si>
    <t>7.3</t>
  </si>
  <si>
    <t>7.4</t>
  </si>
  <si>
    <t>7.5</t>
  </si>
  <si>
    <t>Wskaż szczebel grupy kapitałowej</t>
  </si>
  <si>
    <t>najwyższym</t>
  </si>
  <si>
    <t>7.6.</t>
  </si>
  <si>
    <t>8.1.</t>
  </si>
  <si>
    <t>8.2.</t>
  </si>
  <si>
    <t>Nie wypełniamy noty tylko w przypadku:</t>
  </si>
  <si>
    <t>10.1.</t>
  </si>
  <si>
    <t>ukryj w przypadku uzupełniania noty</t>
  </si>
  <si>
    <t>punkty a) - do d) należy ukryć w przypadku, gdy w spółce nie wystąpiły aktywa finansowe</t>
  </si>
  <si>
    <t>10.2.</t>
  </si>
  <si>
    <t>10.3.</t>
  </si>
  <si>
    <t>Ukryj gdy wypełniasz tabelę</t>
  </si>
  <si>
    <t>10.4.</t>
  </si>
  <si>
    <t>10.5.</t>
  </si>
  <si>
    <t>10.6.</t>
  </si>
  <si>
    <t>Jeżeli wystąpiły, dodaj krótką charakterystykę</t>
  </si>
  <si>
    <t>10.7.</t>
  </si>
  <si>
    <t>10.8.</t>
  </si>
  <si>
    <t>10.9.</t>
  </si>
  <si>
    <t>Opisz rodzaje zabezpieczeń</t>
  </si>
  <si>
    <t>Ukryj, gdy nie wystąpiły</t>
  </si>
  <si>
    <t>10.10.</t>
  </si>
  <si>
    <t>10.11.</t>
  </si>
  <si>
    <t>wybierz odpowienie, zbędne ukryj</t>
  </si>
  <si>
    <t>Opisz metody zarządzania ryzykiem</t>
  </si>
  <si>
    <t>EUR/PLN</t>
  </si>
  <si>
    <t>ukryj niepotrzebne</t>
  </si>
  <si>
    <t>USD/PLN</t>
  </si>
  <si>
    <t>GBP/PLN</t>
  </si>
  <si>
    <t>% zmiana kursu</t>
  </si>
  <si>
    <t>wybierz tylko istotne pozycje w walucie obcej</t>
  </si>
  <si>
    <t>11.</t>
  </si>
  <si>
    <t>jeżeli nie dotyczy, ukryj noty poniżej</t>
  </si>
  <si>
    <t>11.1</t>
  </si>
  <si>
    <t>TO SĄ PRZYKŁADOWE KONSEKWENCJE - do indywidualnej modyfikacji</t>
  </si>
  <si>
    <t>opisz inne główne konsekwencje - o ile wystąpiły</t>
  </si>
  <si>
    <t>ukryj, jeżeli nie dotyczy</t>
  </si>
  <si>
    <t>opisz, o ile wystąpiły</t>
  </si>
  <si>
    <t>11.2.</t>
  </si>
  <si>
    <t>jeżeli nie dotyczy, ukryj poniższe punkty</t>
  </si>
  <si>
    <t>11.3.</t>
  </si>
  <si>
    <t>numer strony</t>
  </si>
  <si>
    <t>Szczegółowe informacje dotyczące udziałowców.</t>
  </si>
  <si>
    <t>Opisać aktualną oraz przewidywaną sytuację finansową; najważniejsze wskaźniki i dane finansowe.</t>
  </si>
  <si>
    <t xml:space="preserve">5. </t>
  </si>
  <si>
    <t>Proszę ukryć wiersz!</t>
  </si>
  <si>
    <t>Jeśli nie dotyczy, proszę to napisać.</t>
  </si>
  <si>
    <t>……………………….</t>
  </si>
  <si>
    <t>Inne informacje dotyczące sprzedaży.</t>
  </si>
  <si>
    <t>Opisać aktualną oraz przewidywaną sytuację finansową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</si>
</sst>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z_ł_-;\-* #,##0.00\ _z_ł_-;_-* &quot;-&quot;??\ _z_ł_-;_-@_-"/>
    <numFmt numFmtId="165" formatCode="0.0%"/>
    <numFmt numFmtId="166" formatCode="dd\.mm\.yyyy"/>
    <numFmt numFmtId="167" formatCode="_-* #,##0.00\ _-;_-* \–#,##0.00\ _-;_-* &quot;–&quot;??\ _-;_-@_-"/>
    <numFmt numFmtId="168" formatCode="#,##0.0"/>
    <numFmt numFmtId="169" formatCode="_-* #,##0.00\ _z_?_-;\-* #,##0.00\ _z_?_-;_-* &quot;-&quot;??\ _z_?_-;_-@_-"/>
    <numFmt numFmtId="170" formatCode="0000000000"/>
    <numFmt numFmtId="171" formatCode="000\-000\-00\-00"/>
    <numFmt numFmtId="172" formatCode="_(* #,##0.0_);_(* \(#,##0.0\);_(* &quot;-&quot;_)"/>
    <numFmt numFmtId="173" formatCode="0.0000"/>
  </numFmts>
  <fonts count="11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u/>
      <sz val="10"/>
      <color indexed="12"/>
      <name val="Times New Roman CE"/>
      <family val="1"/>
      <charset val="238"/>
    </font>
    <font>
      <sz val="10"/>
      <name val="Times New Roman CE"/>
      <family val="1"/>
      <charset val="238"/>
    </font>
    <font>
      <sz val="10"/>
      <name val="Frutiger CE 45 Light"/>
      <charset val="238"/>
    </font>
    <font>
      <b/>
      <sz val="10"/>
      <name val="Frutiger CE 45 Light"/>
      <charset val="238"/>
    </font>
    <font>
      <sz val="10"/>
      <color indexed="10"/>
      <name val="Frutiger CE 45 Light"/>
      <charset val="238"/>
    </font>
    <font>
      <sz val="10"/>
      <name val="Arial CE"/>
      <charset val="238"/>
    </font>
    <font>
      <b/>
      <sz val="10"/>
      <name val="Arial"/>
      <family val="2"/>
      <charset val="238"/>
    </font>
    <font>
      <sz val="8"/>
      <color indexed="81"/>
      <name val="Tahoma"/>
      <family val="2"/>
      <charset val="238"/>
    </font>
    <font>
      <b/>
      <sz val="8"/>
      <color indexed="81"/>
      <name val="Tahoma"/>
      <family val="2"/>
      <charset val="238"/>
    </font>
    <font>
      <sz val="10"/>
      <name val="Arial"/>
      <family val="2"/>
      <charset val="238"/>
    </font>
    <font>
      <sz val="10"/>
      <name val="Arial CE"/>
      <family val="2"/>
      <charset val="238"/>
    </font>
    <font>
      <b/>
      <sz val="10"/>
      <name val="Arial CE"/>
      <family val="2"/>
      <charset val="238"/>
    </font>
    <font>
      <sz val="8"/>
      <color indexed="81"/>
      <name val="Tahoma"/>
      <family val="2"/>
    </font>
    <font>
      <b/>
      <sz val="10"/>
      <name val="Arial"/>
      <family val="2"/>
    </font>
    <font>
      <sz val="10"/>
      <name val="Frutiger CE 45 Light"/>
      <charset val="238"/>
    </font>
    <font>
      <b/>
      <sz val="10"/>
      <color indexed="10"/>
      <name val="Frutiger CE 45 Light"/>
      <charset val="238"/>
    </font>
    <font>
      <sz val="10"/>
      <name val="Arial"/>
      <family val="2"/>
    </font>
    <font>
      <sz val="10"/>
      <color indexed="12"/>
      <name val="Arial CE"/>
      <family val="2"/>
      <charset val="238"/>
    </font>
    <font>
      <sz val="8"/>
      <name val="Arial"/>
      <family val="2"/>
      <charset val="238"/>
    </font>
    <font>
      <strike/>
      <sz val="10"/>
      <name val="Arial"/>
      <family val="2"/>
    </font>
    <font>
      <sz val="10"/>
      <color indexed="8"/>
      <name val="Arial"/>
      <family val="2"/>
      <charset val="238"/>
    </font>
    <font>
      <sz val="11"/>
      <color theme="1"/>
      <name val="Calibri"/>
      <family val="2"/>
      <charset val="238"/>
      <scheme val="minor"/>
    </font>
    <font>
      <sz val="10"/>
      <color indexed="8"/>
      <name val="Calibri"/>
      <family val="2"/>
      <charset val="238"/>
    </font>
    <font>
      <sz val="9"/>
      <color theme="1"/>
      <name val="Cambria"/>
      <family val="2"/>
      <charset val="238"/>
      <scheme val="major"/>
    </font>
    <font>
      <sz val="11"/>
      <color theme="1"/>
      <name val="Czcionka tekstu podstawowego"/>
      <family val="2"/>
      <charset val="238"/>
    </font>
    <font>
      <sz val="10"/>
      <color theme="1"/>
      <name val="Calibri"/>
      <family val="2"/>
      <charset val="238"/>
      <scheme val="minor"/>
    </font>
    <font>
      <sz val="11"/>
      <color theme="1"/>
      <name val="Calibri"/>
      <family val="2"/>
      <scheme val="minor"/>
    </font>
    <font>
      <sz val="8"/>
      <name val="Times New Roman CE"/>
      <charset val="238"/>
    </font>
    <font>
      <u/>
      <sz val="10"/>
      <color indexed="12"/>
      <name val="Frutiger CE 45 Light"/>
      <charset val="238"/>
    </font>
    <font>
      <sz val="10"/>
      <color indexed="12"/>
      <name val="Frutiger CE 45 Light"/>
      <charset val="238"/>
    </font>
    <font>
      <b/>
      <sz val="16"/>
      <name val="Frutiger CE 45 Light"/>
      <charset val="238"/>
    </font>
    <font>
      <sz val="16"/>
      <name val="Frutiger CE 45 Light"/>
      <charset val="238"/>
    </font>
    <font>
      <i/>
      <sz val="10"/>
      <name val="Frutiger CE 45 Light"/>
      <charset val="238"/>
    </font>
    <font>
      <sz val="14"/>
      <name val="Frutiger CE 45 Light"/>
      <charset val="238"/>
    </font>
    <font>
      <b/>
      <sz val="14"/>
      <name val="Frutiger CE 45 Light"/>
      <charset val="238"/>
    </font>
    <font>
      <u/>
      <sz val="10"/>
      <name val="Frutiger CE 45 Light"/>
      <charset val="238"/>
    </font>
    <font>
      <b/>
      <sz val="10"/>
      <color rgb="FFFF0000"/>
      <name val="Frutiger CE 45 Light"/>
      <charset val="238"/>
    </font>
    <font>
      <sz val="10"/>
      <color rgb="FFFF0000"/>
      <name val="Frutiger CE 45 Light"/>
      <charset val="238"/>
    </font>
    <font>
      <sz val="12"/>
      <name val="Frutiger CE 45 Light"/>
      <charset val="238"/>
    </font>
    <font>
      <b/>
      <sz val="13"/>
      <name val="Frutiger CE 45 Light"/>
      <charset val="238"/>
    </font>
    <font>
      <sz val="9"/>
      <name val="Frutiger CE 45 Light"/>
      <charset val="238"/>
    </font>
    <font>
      <sz val="11"/>
      <name val="Frutiger CE 45 Light"/>
      <charset val="238"/>
    </font>
    <font>
      <b/>
      <i/>
      <sz val="10"/>
      <name val="Frutiger CE 45 Light"/>
      <charset val="238"/>
    </font>
    <font>
      <b/>
      <sz val="10"/>
      <color theme="0"/>
      <name val="Frutiger CE 45 Light"/>
      <charset val="238"/>
    </font>
    <font>
      <b/>
      <sz val="11"/>
      <name val="Frutiger CE 45 Light"/>
      <charset val="238"/>
    </font>
    <font>
      <b/>
      <sz val="10"/>
      <color indexed="12"/>
      <name val="Frutiger CE 45 Light"/>
      <charset val="238"/>
    </font>
    <font>
      <sz val="9"/>
      <color indexed="81"/>
      <name val="Tahoma"/>
      <family val="2"/>
      <charset val="238"/>
    </font>
    <font>
      <b/>
      <sz val="9"/>
      <color indexed="81"/>
      <name val="Tahoma"/>
      <family val="2"/>
      <charset val="238"/>
    </font>
    <font>
      <i/>
      <sz val="10"/>
      <color rgb="FFFF0000"/>
      <name val="Frutiger CE 45 Light"/>
      <charset val="238"/>
    </font>
    <font>
      <sz val="10"/>
      <name val="Frutiger Light"/>
      <family val="2"/>
    </font>
    <font>
      <sz val="8"/>
      <name val="Frutiger CE 45 Light"/>
      <charset val="238"/>
    </font>
    <font>
      <b/>
      <sz val="18"/>
      <name val="Frutiger CE 45 Light"/>
      <charset val="238"/>
    </font>
    <font>
      <b/>
      <sz val="10"/>
      <color theme="1"/>
      <name val="Frutiger CE 45 Light"/>
      <charset val="238"/>
    </font>
    <font>
      <sz val="10"/>
      <color theme="1"/>
      <name val="Frutiger CE 45 Light"/>
      <charset val="238"/>
    </font>
    <font>
      <b/>
      <sz val="8"/>
      <name val="Frutiger CE 45 Light"/>
      <charset val="238"/>
    </font>
    <font>
      <sz val="10"/>
      <color rgb="FF000000"/>
      <name val="Arial"/>
      <family val="2"/>
      <charset val="238"/>
    </font>
    <font>
      <b/>
      <sz val="12"/>
      <name val="Frutiger CE 45 Light"/>
      <charset val="238"/>
    </font>
    <font>
      <sz val="10"/>
      <color theme="0"/>
      <name val="Frutiger CE 45 Light"/>
      <charset val="238"/>
    </font>
    <font>
      <sz val="10"/>
      <color rgb="FF993366"/>
      <name val="Arial CE"/>
      <charset val="238"/>
    </font>
    <font>
      <sz val="10"/>
      <color rgb="FF993366"/>
      <name val="Frutiger CE 45 Light"/>
      <charset val="238"/>
    </font>
    <font>
      <sz val="10"/>
      <name val="Calibri"/>
      <family val="2"/>
      <charset val="238"/>
    </font>
    <font>
      <sz val="10"/>
      <color rgb="FFFF0000"/>
      <name val="Arial"/>
      <family val="2"/>
      <charset val="238"/>
    </font>
    <font>
      <sz val="12"/>
      <name val="Arial"/>
      <family val="2"/>
      <charset val="238"/>
    </font>
    <font>
      <sz val="10"/>
      <color rgb="FFFF0000"/>
      <name val="Arial"/>
      <family val="2"/>
    </font>
    <font>
      <i/>
      <sz val="10"/>
      <name val="Arial"/>
      <family val="2"/>
      <charset val="238"/>
    </font>
    <font>
      <sz val="11"/>
      <color indexed="8"/>
      <name val="Calibri"/>
      <family val="2"/>
      <charset val="238"/>
    </font>
    <font>
      <sz val="11"/>
      <color indexed="8"/>
      <name val="Czcionka tekstu podstawowego"/>
      <family val="2"/>
      <charset val="238"/>
    </font>
    <font>
      <sz val="10"/>
      <color indexed="8"/>
      <name val="Frutiger CE 45 Light"/>
      <charset val="238"/>
    </font>
    <font>
      <b/>
      <sz val="8"/>
      <color indexed="8"/>
      <name val="Arial"/>
      <family val="2"/>
      <charset val="238"/>
    </font>
    <font>
      <sz val="8"/>
      <color indexed="8"/>
      <name val="Arial"/>
      <family val="2"/>
      <charset val="238"/>
    </font>
    <font>
      <b/>
      <u/>
      <sz val="10"/>
      <color theme="0"/>
      <name val="Frutiger CE 45 Light"/>
      <charset val="238"/>
    </font>
    <font>
      <b/>
      <i/>
      <sz val="10"/>
      <color theme="0"/>
      <name val="Frutiger CE 45 Light"/>
      <charset val="238"/>
    </font>
    <font>
      <b/>
      <sz val="8"/>
      <color indexed="8"/>
      <name val="Tahoma"/>
      <family val="2"/>
      <charset val="238"/>
    </font>
    <font>
      <sz val="8"/>
      <color indexed="8"/>
      <name val="Tahoma"/>
      <family val="2"/>
      <charset val="238"/>
    </font>
    <font>
      <i/>
      <sz val="10"/>
      <color indexed="12"/>
      <name val="Frutiger CE 45 Light"/>
      <charset val="238"/>
    </font>
    <font>
      <b/>
      <sz val="14"/>
      <color rgb="FFFF0000"/>
      <name val="Frutiger CE 45 Light"/>
      <charset val="238"/>
    </font>
    <font>
      <sz val="10"/>
      <name val="Symbol"/>
      <family val="1"/>
      <charset val="2"/>
    </font>
    <font>
      <b/>
      <sz val="11"/>
      <color indexed="8"/>
      <name val="Times New Roman"/>
      <family val="1"/>
      <charset val="238"/>
    </font>
    <font>
      <sz val="11"/>
      <color indexed="8"/>
      <name val="Times New Roman"/>
      <family val="1"/>
      <charset val="238"/>
    </font>
    <font>
      <sz val="10"/>
      <color indexed="8"/>
      <name val="Times New Roman"/>
      <family val="1"/>
      <charset val="238"/>
    </font>
    <font>
      <b/>
      <sz val="10"/>
      <color indexed="8"/>
      <name val="Times New Roman"/>
      <family val="1"/>
      <charset val="238"/>
    </font>
    <font>
      <sz val="10"/>
      <color indexed="8"/>
      <name val="Times New Roman"/>
      <family val="1"/>
    </font>
    <font>
      <sz val="10"/>
      <name val="Times New Roman"/>
      <family val="1"/>
      <charset val="238"/>
    </font>
    <font>
      <sz val="10"/>
      <name val="Times New Roman CE"/>
      <charset val="238"/>
    </font>
    <font>
      <sz val="10"/>
      <color theme="1"/>
      <name val="Arial"/>
      <family val="2"/>
    </font>
    <font>
      <sz val="10"/>
      <color rgb="FF00B050"/>
      <name val="Arial"/>
      <family val="2"/>
      <charset val="238"/>
    </font>
    <font>
      <i/>
      <sz val="10"/>
      <color theme="1"/>
      <name val="Arial"/>
      <family val="2"/>
    </font>
    <font>
      <b/>
      <sz val="11"/>
      <color theme="0"/>
      <name val="Calibri"/>
      <family val="2"/>
      <charset val="238"/>
      <scheme val="minor"/>
    </font>
    <font>
      <sz val="11"/>
      <name val="Times New Roman"/>
      <family val="1"/>
      <charset val="238"/>
    </font>
    <font>
      <sz val="10"/>
      <color theme="3" tint="0.39997558519241921"/>
      <name val="Arial"/>
      <family val="2"/>
      <charset val="238"/>
    </font>
    <font>
      <sz val="10"/>
      <color rgb="FFFF00FF"/>
      <name val="Arial"/>
      <family val="2"/>
      <charset val="238"/>
    </font>
    <font>
      <sz val="10"/>
      <color rgb="FF0070C0"/>
      <name val="Times New Roman"/>
      <family val="1"/>
      <charset val="238"/>
    </font>
    <font>
      <sz val="11"/>
      <color rgb="FF3F3F76"/>
      <name val="Calibri"/>
      <family val="2"/>
      <charset val="238"/>
      <scheme val="minor"/>
    </font>
    <font>
      <b/>
      <sz val="8"/>
      <color theme="0"/>
      <name val="Frutiger CE 45 Light"/>
      <charset val="238"/>
    </font>
    <font>
      <i/>
      <sz val="10"/>
      <color rgb="FF000000"/>
      <name val="Arial"/>
      <family val="2"/>
      <charset val="238"/>
    </font>
    <font>
      <b/>
      <i/>
      <sz val="12"/>
      <color rgb="FFFF0000"/>
      <name val="Frutiger CE 45 Light"/>
      <charset val="238"/>
    </font>
    <font>
      <i/>
      <sz val="10"/>
      <color theme="0" tint="-0.34998626667073579"/>
      <name val="Frutiger CE 45 Light"/>
      <charset val="238"/>
    </font>
    <font>
      <b/>
      <u/>
      <sz val="10"/>
      <color theme="1"/>
      <name val="Frutiger CE 45 Light"/>
      <charset val="238"/>
    </font>
    <font>
      <b/>
      <sz val="9"/>
      <name val="Frutiger CE 45 Light"/>
      <charset val="238"/>
    </font>
  </fonts>
  <fills count="26">
    <fill>
      <patternFill patternType="none"/>
    </fill>
    <fill>
      <patternFill patternType="gray125"/>
    </fill>
    <fill>
      <patternFill patternType="solid">
        <fgColor indexed="13"/>
        <bgColor indexed="64"/>
      </patternFill>
    </fill>
    <fill>
      <patternFill patternType="solid">
        <fgColor indexed="23"/>
        <bgColor indexed="64"/>
      </patternFill>
    </fill>
    <fill>
      <patternFill patternType="solid">
        <fgColor indexed="9"/>
        <bgColor indexed="64"/>
      </patternFill>
    </fill>
    <fill>
      <patternFill patternType="solid">
        <fgColor indexed="10"/>
        <bgColor indexed="64"/>
      </patternFill>
    </fill>
    <fill>
      <patternFill patternType="solid">
        <fgColor indexed="15"/>
        <bgColor indexed="64"/>
      </patternFill>
    </fill>
    <fill>
      <patternFill patternType="solid">
        <fgColor indexed="22"/>
        <bgColor indexed="64"/>
      </patternFill>
    </fill>
    <fill>
      <patternFill patternType="solid">
        <fgColor indexed="4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indexed="43"/>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92D050"/>
        <bgColor indexed="64"/>
      </patternFill>
    </fill>
    <fill>
      <patternFill patternType="solid">
        <fgColor rgb="FF00B0F0"/>
        <bgColor indexed="64"/>
      </patternFill>
    </fill>
    <fill>
      <patternFill patternType="solid">
        <fgColor theme="6"/>
        <bgColor theme="6"/>
      </patternFill>
    </fill>
    <fill>
      <patternFill patternType="solid">
        <fgColor rgb="FF00B050"/>
        <bgColor indexed="64"/>
      </patternFill>
    </fill>
    <fill>
      <patternFill patternType="solid">
        <fgColor theme="8" tint="0.39997558519241921"/>
        <bgColor indexed="64"/>
      </patternFill>
    </fill>
    <fill>
      <patternFill patternType="solid">
        <fgColor rgb="FFFFCC99"/>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99"/>
        <bgColor indexed="64"/>
      </patternFill>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auto="1"/>
      </left>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top/>
      <bottom style="medium">
        <color auto="1"/>
      </bottom>
      <diagonal/>
    </border>
    <border>
      <left style="thin">
        <color rgb="FF7F7F7F"/>
      </left>
      <right style="thin">
        <color rgb="FF7F7F7F"/>
      </right>
      <top style="thin">
        <color rgb="FF7F7F7F"/>
      </top>
      <bottom style="thin">
        <color rgb="FF7F7F7F"/>
      </bottom>
      <diagonal/>
    </border>
  </borders>
  <cellStyleXfs count="2611">
    <xf numFmtId="0" fontId="0" fillId="0" borderId="0"/>
    <xf numFmtId="4" fontId="12" fillId="0" borderId="0"/>
    <xf numFmtId="164" fontId="10" fillId="0" borderId="0" applyFont="0" applyFill="0" applyBorder="0" applyAlignment="0" applyProtection="0"/>
    <xf numFmtId="0" fontId="1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6" fillId="0" borderId="0"/>
    <xf numFmtId="0" fontId="12" fillId="0" borderId="0"/>
    <xf numFmtId="0" fontId="16" fillId="0" borderId="0"/>
    <xf numFmtId="4" fontId="25" fillId="0" borderId="0">
      <alignment horizontal="justify" vertical="top" wrapText="1"/>
    </xf>
    <xf numFmtId="0" fontId="16" fillId="0" borderId="0"/>
    <xf numFmtId="49" fontId="16" fillId="0" borderId="0"/>
    <xf numFmtId="0" fontId="16" fillId="0" borderId="0"/>
    <xf numFmtId="9" fontId="10" fillId="0" borderId="0" applyFont="0" applyFill="0" applyBorder="0" applyAlignment="0" applyProtection="0"/>
    <xf numFmtId="0" fontId="10" fillId="0" borderId="0"/>
    <xf numFmtId="0" fontId="32" fillId="0" borderId="0"/>
    <xf numFmtId="0" fontId="10" fillId="0" borderId="0"/>
    <xf numFmtId="164" fontId="10" fillId="0" borderId="0" applyFont="0" applyFill="0" applyBorder="0" applyAlignment="0" applyProtection="0"/>
    <xf numFmtId="169" fontId="33"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6" fillId="0" borderId="0" applyFont="0" applyFill="0" applyBorder="0" applyAlignment="0" applyProtection="0"/>
    <xf numFmtId="164" fontId="35"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6"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10" fillId="0" borderId="0" applyFont="0" applyFill="0" applyBorder="0" applyAlignment="0" applyProtection="0"/>
    <xf numFmtId="164" fontId="36" fillId="0" borderId="0" applyFont="0" applyFill="0" applyBorder="0" applyAlignment="0" applyProtection="0"/>
    <xf numFmtId="164" fontId="35"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35" fillId="0" borderId="0"/>
    <xf numFmtId="0" fontId="10" fillId="0" borderId="0"/>
    <xf numFmtId="0" fontId="35"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7" fillId="0" borderId="0"/>
    <xf numFmtId="0" fontId="16" fillId="0" borderId="0"/>
    <xf numFmtId="0" fontId="10" fillId="0" borderId="0"/>
    <xf numFmtId="0" fontId="37" fillId="0" borderId="0"/>
    <xf numFmtId="0" fontId="10"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8" fillId="0" borderId="0"/>
    <xf numFmtId="0" fontId="35" fillId="0" borderId="0"/>
    <xf numFmtId="0" fontId="35" fillId="0" borderId="0"/>
    <xf numFmtId="0" fontId="34" fillId="0" borderId="0"/>
    <xf numFmtId="0" fontId="10" fillId="0" borderId="0"/>
    <xf numFmtId="0" fontId="32" fillId="0" borderId="0"/>
    <xf numFmtId="0" fontId="16" fillId="0" borderId="0"/>
    <xf numFmtId="0" fontId="32" fillId="0" borderId="0"/>
    <xf numFmtId="0" fontId="32"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32" fillId="0" borderId="0"/>
    <xf numFmtId="0" fontId="32" fillId="0" borderId="0"/>
    <xf numFmtId="0" fontId="10" fillId="0" borderId="0"/>
    <xf numFmtId="0" fontId="32" fillId="0" borderId="0"/>
    <xf numFmtId="0" fontId="32" fillId="0" borderId="0"/>
    <xf numFmtId="0" fontId="1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6" fillId="0" borderId="0"/>
    <xf numFmtId="0" fontId="36" fillId="0" borderId="0"/>
    <xf numFmtId="0" fontId="36" fillId="0" borderId="0"/>
    <xf numFmtId="0" fontId="36" fillId="0" borderId="0"/>
    <xf numFmtId="0" fontId="32" fillId="0" borderId="0"/>
    <xf numFmtId="0" fontId="35" fillId="0" borderId="0"/>
    <xf numFmtId="0" fontId="32" fillId="0" borderId="0"/>
    <xf numFmtId="0" fontId="32" fillId="0" borderId="0"/>
    <xf numFmtId="0" fontId="32" fillId="0" borderId="0"/>
    <xf numFmtId="0" fontId="32" fillId="0" borderId="0"/>
    <xf numFmtId="0" fontId="3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4" fillId="0" borderId="0"/>
    <xf numFmtId="0" fontId="10"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 fontId="13" fillId="0" borderId="0">
      <alignment horizontal="justify" vertical="top" wrapText="1"/>
    </xf>
    <xf numFmtId="0" fontId="8" fillId="0" borderId="0"/>
    <xf numFmtId="0" fontId="73" fillId="0" borderId="0"/>
    <xf numFmtId="0" fontId="7" fillId="0" borderId="0"/>
    <xf numFmtId="0" fontId="6" fillId="0" borderId="0"/>
    <xf numFmtId="0" fontId="73"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4" fillId="0" borderId="0"/>
    <xf numFmtId="0" fontId="4" fillId="0" borderId="0"/>
    <xf numFmtId="0" fontId="3" fillId="0" borderId="0" applyNumberFormat="0" applyFont="0" applyFill="0" applyBorder="0" applyAlignment="0" applyProtection="0"/>
    <xf numFmtId="0" fontId="2" fillId="0" borderId="0"/>
    <xf numFmtId="0" fontId="2" fillId="0" borderId="0"/>
    <xf numFmtId="0" fontId="103" fillId="22" borderId="40" applyNumberFormat="0" applyAlignment="0" applyProtection="0"/>
    <xf numFmtId="0" fontId="1" fillId="0" borderId="0"/>
    <xf numFmtId="0" fontId="11" fillId="0" borderId="0" applyNumberFormat="0" applyFill="0" applyBorder="0" applyAlignment="0" applyProtection="0">
      <alignment vertical="top"/>
      <protection locked="0"/>
    </xf>
  </cellStyleXfs>
  <cellXfs count="1203">
    <xf numFmtId="0" fontId="0" fillId="0" borderId="0" xfId="0"/>
    <xf numFmtId="0" fontId="21" fillId="0" borderId="0" xfId="0" applyFont="1" applyProtection="1">
      <protection locked="0"/>
    </xf>
    <xf numFmtId="0" fontId="21" fillId="0" borderId="0" xfId="0" applyFont="1" applyAlignment="1" applyProtection="1">
      <alignment vertical="center"/>
      <protection locked="0"/>
    </xf>
    <xf numFmtId="0" fontId="21" fillId="0" borderId="0" xfId="0" applyFont="1" applyAlignment="1" applyProtection="1">
      <alignment vertical="top"/>
      <protection locked="0"/>
    </xf>
    <xf numFmtId="0" fontId="22" fillId="0" borderId="8" xfId="0" applyFont="1" applyBorder="1" applyProtection="1">
      <protection locked="0"/>
    </xf>
    <xf numFmtId="0" fontId="22" fillId="0" borderId="8" xfId="0" applyFont="1" applyBorder="1" applyAlignment="1" applyProtection="1">
      <alignment horizontal="center"/>
      <protection locked="0"/>
    </xf>
    <xf numFmtId="4" fontId="22" fillId="6" borderId="0" xfId="0" applyNumberFormat="1" applyFont="1" applyFill="1" applyAlignment="1" applyProtection="1">
      <alignment vertical="center"/>
      <protection locked="0"/>
    </xf>
    <xf numFmtId="4" fontId="22" fillId="0" borderId="0" xfId="0" applyNumberFormat="1" applyFont="1" applyAlignment="1" applyProtection="1">
      <alignment vertical="center"/>
      <protection locked="0"/>
    </xf>
    <xf numFmtId="4" fontId="22" fillId="2" borderId="0" xfId="0" applyNumberFormat="1" applyFont="1" applyFill="1" applyAlignment="1" applyProtection="1">
      <alignment vertical="center"/>
      <protection locked="0"/>
    </xf>
    <xf numFmtId="4" fontId="21" fillId="2" borderId="0" xfId="0" applyNumberFormat="1" applyFont="1" applyFill="1" applyAlignment="1" applyProtection="1">
      <alignment vertical="center"/>
      <protection locked="0"/>
    </xf>
    <xf numFmtId="4" fontId="21" fillId="6" borderId="0" xfId="0" applyNumberFormat="1" applyFont="1" applyFill="1" applyAlignment="1" applyProtection="1">
      <alignment vertical="center"/>
      <protection locked="0"/>
    </xf>
    <xf numFmtId="4" fontId="21" fillId="0" borderId="0" xfId="0" applyNumberFormat="1" applyFont="1" applyAlignment="1" applyProtection="1">
      <alignment vertical="center"/>
      <protection locked="0"/>
    </xf>
    <xf numFmtId="4" fontId="21" fillId="0" borderId="0" xfId="0" applyNumberFormat="1" applyFont="1" applyProtection="1">
      <protection locked="0"/>
    </xf>
    <xf numFmtId="4" fontId="21" fillId="0" borderId="8" xfId="0" applyNumberFormat="1" applyFont="1" applyBorder="1" applyProtection="1">
      <protection locked="0"/>
    </xf>
    <xf numFmtId="4" fontId="22" fillId="0" borderId="9" xfId="0" applyNumberFormat="1" applyFont="1" applyBorder="1" applyAlignment="1" applyProtection="1">
      <alignment vertical="center"/>
      <protection locked="0"/>
    </xf>
    <xf numFmtId="4" fontId="22" fillId="0" borderId="8" xfId="0" applyNumberFormat="1" applyFont="1" applyBorder="1" applyAlignment="1" applyProtection="1">
      <alignment vertical="center"/>
      <protection locked="0"/>
    </xf>
    <xf numFmtId="4" fontId="21" fillId="0" borderId="0" xfId="0" applyNumberFormat="1" applyFont="1" applyAlignment="1" applyProtection="1">
      <alignment horizontal="center" vertical="center"/>
      <protection locked="0"/>
    </xf>
    <xf numFmtId="4" fontId="13" fillId="2" borderId="0" xfId="6" applyNumberFormat="1" applyFont="1" applyFill="1" applyAlignment="1" applyProtection="1">
      <alignment vertical="top"/>
      <protection locked="0"/>
    </xf>
    <xf numFmtId="4" fontId="13" fillId="7" borderId="0" xfId="6" applyNumberFormat="1" applyFont="1" applyFill="1" applyAlignment="1" applyProtection="1">
      <alignment vertical="top"/>
      <protection locked="0"/>
    </xf>
    <xf numFmtId="4" fontId="13" fillId="5" borderId="0" xfId="6" applyNumberFormat="1" applyFont="1" applyFill="1" applyAlignment="1" applyProtection="1">
      <alignment vertical="top"/>
      <protection locked="0"/>
    </xf>
    <xf numFmtId="4" fontId="13" fillId="6" borderId="0" xfId="6" applyNumberFormat="1" applyFont="1" applyFill="1" applyAlignment="1" applyProtection="1">
      <alignment vertical="top"/>
      <protection locked="0"/>
    </xf>
    <xf numFmtId="4" fontId="13" fillId="0" borderId="0" xfId="6" applyNumberFormat="1" applyFont="1" applyAlignment="1" applyProtection="1">
      <alignment vertical="top"/>
      <protection locked="0"/>
    </xf>
    <xf numFmtId="0" fontId="13" fillId="0" borderId="0" xfId="6" applyFont="1" applyProtection="1">
      <protection locked="0"/>
    </xf>
    <xf numFmtId="0" fontId="14" fillId="0" borderId="0" xfId="6" applyFont="1" applyAlignment="1" applyProtection="1">
      <alignment horizontal="center"/>
      <protection locked="0"/>
    </xf>
    <xf numFmtId="1" fontId="14" fillId="2" borderId="0" xfId="6" applyNumberFormat="1" applyFont="1" applyFill="1" applyAlignment="1" applyProtection="1">
      <alignment horizontal="center" vertical="top"/>
      <protection locked="0"/>
    </xf>
    <xf numFmtId="166" fontId="13" fillId="4" borderId="0" xfId="6" applyNumberFormat="1" applyFont="1" applyFill="1" applyAlignment="1" applyProtection="1">
      <alignment horizontal="right" vertical="top"/>
      <protection locked="0"/>
    </xf>
    <xf numFmtId="1" fontId="13" fillId="2" borderId="0" xfId="6" applyNumberFormat="1" applyFont="1" applyFill="1" applyAlignment="1" applyProtection="1">
      <alignment vertical="top"/>
      <protection locked="0"/>
    </xf>
    <xf numFmtId="3" fontId="13" fillId="2" borderId="0" xfId="6" applyNumberFormat="1" applyFont="1" applyFill="1" applyAlignment="1" applyProtection="1">
      <alignment horizontal="right" vertical="top"/>
      <protection locked="0"/>
    </xf>
    <xf numFmtId="1" fontId="13" fillId="0" borderId="0" xfId="6" applyNumberFormat="1" applyFont="1" applyAlignment="1" applyProtection="1">
      <alignment vertical="top"/>
      <protection locked="0"/>
    </xf>
    <xf numFmtId="1" fontId="13" fillId="8" borderId="0" xfId="6" applyNumberFormat="1" applyFont="1" applyFill="1" applyAlignment="1" applyProtection="1">
      <alignment vertical="top"/>
      <protection locked="0"/>
    </xf>
    <xf numFmtId="3" fontId="13" fillId="8" borderId="0" xfId="6" applyNumberFormat="1" applyFont="1" applyFill="1" applyAlignment="1" applyProtection="1">
      <alignment horizontal="right" vertical="top"/>
      <protection locked="0"/>
    </xf>
    <xf numFmtId="1" fontId="13" fillId="8" borderId="0" xfId="6" applyNumberFormat="1" applyFont="1" applyFill="1" applyProtection="1">
      <protection locked="0"/>
    </xf>
    <xf numFmtId="3" fontId="13" fillId="8" borderId="0" xfId="6" applyNumberFormat="1" applyFont="1" applyFill="1" applyProtection="1">
      <protection locked="0"/>
    </xf>
    <xf numFmtId="0" fontId="13" fillId="2" borderId="0" xfId="6" applyFont="1" applyFill="1" applyProtection="1">
      <protection locked="0"/>
    </xf>
    <xf numFmtId="167" fontId="14" fillId="0" borderId="0" xfId="9" applyNumberFormat="1" applyFont="1" applyAlignment="1" applyProtection="1">
      <alignment vertical="center"/>
      <protection locked="0"/>
    </xf>
    <xf numFmtId="0" fontId="14" fillId="0" borderId="0" xfId="9" applyFont="1" applyAlignment="1" applyProtection="1">
      <alignment horizontal="left" vertical="center"/>
      <protection locked="0"/>
    </xf>
    <xf numFmtId="0" fontId="14" fillId="0" borderId="0" xfId="9" applyFont="1" applyAlignment="1" applyProtection="1">
      <alignment horizontal="left"/>
      <protection locked="0"/>
    </xf>
    <xf numFmtId="3" fontId="13" fillId="0" borderId="0" xfId="0" applyNumberFormat="1" applyFont="1" applyProtection="1">
      <protection locked="0"/>
    </xf>
    <xf numFmtId="4" fontId="13" fillId="0" borderId="0" xfId="0" applyNumberFormat="1" applyFont="1" applyProtection="1">
      <protection locked="0"/>
    </xf>
    <xf numFmtId="9" fontId="13" fillId="0" borderId="0" xfId="12" applyFont="1" applyAlignment="1" applyProtection="1">
      <protection locked="0"/>
    </xf>
    <xf numFmtId="4" fontId="22" fillId="9" borderId="0" xfId="0" applyNumberFormat="1" applyFont="1" applyFill="1" applyAlignment="1" applyProtection="1">
      <alignment vertical="center"/>
      <protection locked="0"/>
    </xf>
    <xf numFmtId="4" fontId="14" fillId="0" borderId="0" xfId="2225" applyFont="1" applyAlignment="1" applyProtection="1">
      <alignment horizontal="right" wrapText="1"/>
      <protection locked="0"/>
    </xf>
    <xf numFmtId="4" fontId="13" fillId="0" borderId="0" xfId="2225" applyAlignment="1" applyProtection="1">
      <alignment horizontal="right" vertical="top" wrapText="1"/>
      <protection locked="0"/>
    </xf>
    <xf numFmtId="4" fontId="60" fillId="0" borderId="0" xfId="2225" applyFont="1" applyAlignment="1" applyProtection="1">
      <alignment horizontal="right" vertical="top" wrapText="1"/>
      <protection locked="0"/>
    </xf>
    <xf numFmtId="0" fontId="61" fillId="0" borderId="0" xfId="1507" applyFont="1" applyAlignment="1" applyProtection="1">
      <alignment horizontal="left"/>
      <protection locked="0"/>
    </xf>
    <xf numFmtId="4" fontId="61" fillId="0" borderId="0" xfId="1507" applyNumberFormat="1" applyFont="1" applyAlignment="1" applyProtection="1">
      <alignment horizontal="left"/>
      <protection locked="0"/>
    </xf>
    <xf numFmtId="0" fontId="61" fillId="0" borderId="0" xfId="1507" applyFont="1" applyProtection="1">
      <protection locked="0"/>
    </xf>
    <xf numFmtId="4" fontId="61" fillId="0" borderId="0" xfId="1507" applyNumberFormat="1" applyFont="1" applyProtection="1">
      <protection locked="0"/>
    </xf>
    <xf numFmtId="0" fontId="51" fillId="0" borderId="0" xfId="1507" applyFont="1" applyProtection="1">
      <protection locked="0"/>
    </xf>
    <xf numFmtId="0" fontId="45" fillId="0" borderId="0" xfId="1507" applyFont="1" applyProtection="1">
      <protection locked="0"/>
    </xf>
    <xf numFmtId="0" fontId="14" fillId="0" borderId="0" xfId="1507" applyFont="1" applyProtection="1">
      <protection locked="0"/>
    </xf>
    <xf numFmtId="0" fontId="13" fillId="0" borderId="0" xfId="1507" applyFont="1" applyAlignment="1" applyProtection="1">
      <alignment horizontal="left"/>
      <protection locked="0"/>
    </xf>
    <xf numFmtId="0" fontId="13" fillId="0" borderId="0" xfId="1507" applyFont="1" applyProtection="1">
      <protection locked="0"/>
    </xf>
    <xf numFmtId="4" fontId="61" fillId="14" borderId="0" xfId="1507" applyNumberFormat="1" applyFont="1" applyFill="1" applyProtection="1">
      <protection locked="0"/>
    </xf>
    <xf numFmtId="0" fontId="61" fillId="14" borderId="0" xfId="1507" applyFont="1" applyFill="1" applyProtection="1">
      <protection locked="0"/>
    </xf>
    <xf numFmtId="0" fontId="61" fillId="0" borderId="0" xfId="1507" quotePrefix="1" applyFont="1" applyProtection="1">
      <protection locked="0"/>
    </xf>
    <xf numFmtId="4" fontId="13" fillId="0" borderId="0" xfId="1507" applyNumberFormat="1" applyFont="1" applyAlignment="1" applyProtection="1">
      <alignment horizontal="left"/>
      <protection locked="0"/>
    </xf>
    <xf numFmtId="4" fontId="13" fillId="0" borderId="0" xfId="1507" applyNumberFormat="1" applyFont="1" applyAlignment="1" applyProtection="1">
      <alignment horizontal="right"/>
      <protection locked="0"/>
    </xf>
    <xf numFmtId="4" fontId="13" fillId="0" borderId="0" xfId="1507" applyNumberFormat="1" applyFont="1" applyProtection="1">
      <protection locked="0"/>
    </xf>
    <xf numFmtId="0" fontId="13" fillId="14" borderId="0" xfId="1507" applyFont="1" applyFill="1" applyAlignment="1" applyProtection="1">
      <alignment horizontal="left"/>
      <protection locked="0"/>
    </xf>
    <xf numFmtId="0" fontId="61" fillId="14" borderId="0" xfId="1507" applyFont="1" applyFill="1" applyAlignment="1" applyProtection="1">
      <alignment horizontal="left"/>
      <protection locked="0"/>
    </xf>
    <xf numFmtId="4" fontId="61" fillId="14" borderId="0" xfId="1507" applyNumberFormat="1" applyFont="1" applyFill="1" applyAlignment="1" applyProtection="1">
      <alignment horizontal="left"/>
      <protection locked="0"/>
    </xf>
    <xf numFmtId="0" fontId="14" fillId="14" borderId="0" xfId="1507" applyFont="1" applyFill="1" applyProtection="1">
      <protection locked="0"/>
    </xf>
    <xf numFmtId="0" fontId="65" fillId="14" borderId="0" xfId="1507" applyFont="1" applyFill="1" applyAlignment="1" applyProtection="1">
      <alignment horizontal="left"/>
      <protection locked="0"/>
    </xf>
    <xf numFmtId="0" fontId="14" fillId="9" borderId="0" xfId="6" applyFont="1" applyFill="1" applyAlignment="1" applyProtection="1">
      <alignment horizontal="center"/>
      <protection locked="0"/>
    </xf>
    <xf numFmtId="0" fontId="13" fillId="0" borderId="3" xfId="0" applyFont="1" applyBorder="1" applyProtection="1">
      <protection locked="0"/>
    </xf>
    <xf numFmtId="0" fontId="13" fillId="0" borderId="0" xfId="0" applyFont="1" applyProtection="1">
      <protection locked="0"/>
    </xf>
    <xf numFmtId="0" fontId="0" fillId="0" borderId="0" xfId="0" applyProtection="1">
      <protection locked="0"/>
    </xf>
    <xf numFmtId="1" fontId="13" fillId="8" borderId="0" xfId="6" applyNumberFormat="1" applyFont="1" applyFill="1" applyAlignment="1" applyProtection="1">
      <alignment horizontal="right" vertical="top"/>
      <protection locked="0"/>
    </xf>
    <xf numFmtId="0" fontId="13" fillId="0" borderId="0" xfId="9" applyFont="1" applyAlignment="1" applyProtection="1">
      <alignment horizontal="left" vertical="top"/>
      <protection locked="0"/>
    </xf>
    <xf numFmtId="0" fontId="13" fillId="0" borderId="0" xfId="9" applyFont="1" applyAlignment="1" applyProtection="1">
      <alignment horizontal="left" vertical="top" wrapText="1"/>
      <protection locked="0"/>
    </xf>
    <xf numFmtId="4" fontId="13" fillId="18" borderId="0" xfId="6" applyNumberFormat="1" applyFont="1" applyFill="1" applyAlignment="1" applyProtection="1">
      <alignment vertical="top"/>
      <protection locked="0"/>
    </xf>
    <xf numFmtId="0" fontId="13" fillId="0" borderId="0" xfId="0" applyFont="1" applyAlignment="1" applyProtection="1">
      <alignment vertical="top"/>
      <protection locked="0"/>
    </xf>
    <xf numFmtId="0" fontId="13" fillId="9" borderId="0" xfId="6" applyFont="1" applyFill="1" applyProtection="1">
      <protection locked="0"/>
    </xf>
    <xf numFmtId="0" fontId="13" fillId="6" borderId="0" xfId="6" applyFont="1" applyFill="1" applyAlignment="1" applyProtection="1">
      <alignment vertical="top"/>
      <protection locked="0"/>
    </xf>
    <xf numFmtId="0" fontId="13" fillId="3" borderId="0" xfId="0" applyFont="1" applyFill="1" applyAlignment="1" applyProtection="1">
      <alignment vertical="top"/>
      <protection locked="0"/>
    </xf>
    <xf numFmtId="16" fontId="14" fillId="0" borderId="0" xfId="0" quotePrefix="1" applyNumberFormat="1" applyFont="1" applyAlignment="1" applyProtection="1">
      <alignment horizontal="right" vertical="top"/>
      <protection locked="0"/>
    </xf>
    <xf numFmtId="0" fontId="44" fillId="0" borderId="0" xfId="0" applyFont="1" applyAlignment="1" applyProtection="1">
      <alignment vertical="top"/>
      <protection locked="0"/>
    </xf>
    <xf numFmtId="0" fontId="86" fillId="3" borderId="0" xfId="0" applyFont="1" applyFill="1" applyAlignment="1" applyProtection="1">
      <alignment vertical="top"/>
      <protection locked="0"/>
    </xf>
    <xf numFmtId="0" fontId="43" fillId="0" borderId="0" xfId="0" applyFont="1" applyAlignment="1" applyProtection="1">
      <alignment vertical="top"/>
      <protection locked="0"/>
    </xf>
    <xf numFmtId="0" fontId="14" fillId="0" borderId="0" xfId="0" applyFont="1" applyAlignment="1" applyProtection="1">
      <alignment horizontal="right" vertical="top"/>
      <protection locked="0"/>
    </xf>
    <xf numFmtId="0" fontId="54" fillId="3" borderId="0" xfId="0" applyFont="1" applyFill="1" applyAlignment="1" applyProtection="1">
      <alignment vertical="top"/>
      <protection locked="0"/>
    </xf>
    <xf numFmtId="0" fontId="82" fillId="0" borderId="0" xfId="0" applyFont="1" applyAlignment="1" applyProtection="1">
      <alignment vertical="top"/>
      <protection locked="0"/>
    </xf>
    <xf numFmtId="0" fontId="13" fillId="2" borderId="0" xfId="0" applyFont="1" applyFill="1" applyAlignment="1" applyProtection="1">
      <alignment vertical="top" wrapText="1"/>
      <protection locked="0"/>
    </xf>
    <xf numFmtId="0" fontId="13" fillId="0" borderId="0" xfId="0" applyFont="1" applyAlignment="1" applyProtection="1">
      <alignment horizontal="left" vertical="top"/>
      <protection locked="0"/>
    </xf>
    <xf numFmtId="0" fontId="39" fillId="3" borderId="0" xfId="3" applyFont="1" applyFill="1" applyAlignment="1" applyProtection="1">
      <alignment vertical="top"/>
      <protection locked="0"/>
    </xf>
    <xf numFmtId="0" fontId="68" fillId="0" borderId="0" xfId="0" applyFont="1" applyAlignment="1" applyProtection="1">
      <alignment vertical="top"/>
      <protection locked="0"/>
    </xf>
    <xf numFmtId="0" fontId="68" fillId="0" borderId="0" xfId="0" applyFont="1" applyAlignment="1" applyProtection="1">
      <alignment horizontal="left" vertical="top" wrapText="1"/>
      <protection locked="0"/>
    </xf>
    <xf numFmtId="0" fontId="13" fillId="0" borderId="0" xfId="0" applyFont="1" applyAlignment="1" applyProtection="1">
      <alignment horizontal="right" vertical="top"/>
      <protection locked="0"/>
    </xf>
    <xf numFmtId="0" fontId="46" fillId="0" borderId="0" xfId="0" applyFont="1" applyAlignment="1" applyProtection="1">
      <alignment vertical="top"/>
      <protection locked="0"/>
    </xf>
    <xf numFmtId="0" fontId="54" fillId="0" borderId="0" xfId="0" applyFont="1" applyAlignment="1" applyProtection="1">
      <alignment vertical="top"/>
      <protection locked="0"/>
    </xf>
    <xf numFmtId="4" fontId="54" fillId="0" borderId="0" xfId="0" applyNumberFormat="1" applyFont="1" applyAlignment="1" applyProtection="1">
      <alignment vertical="top"/>
      <protection locked="0"/>
    </xf>
    <xf numFmtId="4" fontId="13" fillId="0" borderId="0" xfId="0" applyNumberFormat="1" applyFont="1" applyAlignment="1" applyProtection="1">
      <alignment vertical="top"/>
      <protection locked="0"/>
    </xf>
    <xf numFmtId="4" fontId="54" fillId="12" borderId="0" xfId="0" applyNumberFormat="1" applyFont="1" applyFill="1" applyAlignment="1" applyProtection="1">
      <alignment vertical="top"/>
      <protection locked="0"/>
    </xf>
    <xf numFmtId="0" fontId="54" fillId="12" borderId="0" xfId="0" applyFont="1" applyFill="1" applyAlignment="1" applyProtection="1">
      <alignment vertical="top"/>
      <protection locked="0"/>
    </xf>
    <xf numFmtId="4" fontId="27" fillId="0" borderId="0" xfId="6" applyNumberFormat="1" applyFont="1" applyAlignment="1" applyProtection="1">
      <alignment vertical="top" wrapText="1"/>
      <protection locked="0"/>
    </xf>
    <xf numFmtId="0" fontId="13" fillId="12" borderId="0" xfId="0" applyFont="1" applyFill="1" applyAlignment="1" applyProtection="1">
      <alignment vertical="top"/>
      <protection locked="0"/>
    </xf>
    <xf numFmtId="0" fontId="54" fillId="0" borderId="11" xfId="0" applyFont="1" applyBorder="1" applyAlignment="1" applyProtection="1">
      <alignment vertical="top"/>
      <protection locked="0"/>
    </xf>
    <xf numFmtId="0" fontId="46" fillId="3" borderId="0" xfId="0" applyFont="1" applyFill="1" applyAlignment="1" applyProtection="1">
      <alignment vertical="top"/>
      <protection locked="0"/>
    </xf>
    <xf numFmtId="0" fontId="13" fillId="0" borderId="0" xfId="0" applyFont="1" applyAlignment="1" applyProtection="1">
      <alignment vertical="top" wrapText="1"/>
      <protection locked="0"/>
    </xf>
    <xf numFmtId="0" fontId="68" fillId="0" borderId="0" xfId="0" applyFont="1" applyAlignment="1" applyProtection="1">
      <alignment horizontal="justify" vertical="top" wrapText="1"/>
      <protection locked="0"/>
    </xf>
    <xf numFmtId="0" fontId="13" fillId="0" borderId="0" xfId="0" applyFont="1" applyAlignment="1" applyProtection="1">
      <alignment horizontal="center" vertical="top"/>
      <protection locked="0"/>
    </xf>
    <xf numFmtId="0" fontId="87" fillId="0" borderId="0" xfId="0" applyFont="1" applyAlignment="1" applyProtection="1">
      <alignment horizontal="center" vertical="top"/>
      <protection locked="0"/>
    </xf>
    <xf numFmtId="0" fontId="13" fillId="9" borderId="0" xfId="0" applyFont="1" applyFill="1" applyAlignment="1" applyProtection="1">
      <alignment vertical="top"/>
      <protection locked="0"/>
    </xf>
    <xf numFmtId="0" fontId="99" fillId="0" borderId="0" xfId="0" applyFont="1" applyAlignment="1" applyProtection="1">
      <alignment vertical="center" wrapText="1"/>
      <protection locked="0"/>
    </xf>
    <xf numFmtId="0" fontId="46" fillId="11" borderId="0" xfId="0" applyFont="1" applyFill="1" applyProtection="1">
      <protection locked="0"/>
    </xf>
    <xf numFmtId="0" fontId="13" fillId="0" borderId="0" xfId="0" applyFont="1" applyAlignment="1" applyProtection="1">
      <alignment horizontal="left"/>
      <protection locked="0"/>
    </xf>
    <xf numFmtId="0" fontId="14" fillId="0" borderId="9" xfId="0" applyFont="1" applyBorder="1" applyAlignment="1" applyProtection="1">
      <alignment horizontal="center" vertical="top"/>
      <protection locked="0"/>
    </xf>
    <xf numFmtId="4" fontId="13" fillId="0" borderId="0" xfId="0" applyNumberFormat="1" applyFont="1" applyAlignment="1" applyProtection="1">
      <alignment horizontal="center" vertical="top"/>
      <protection locked="0"/>
    </xf>
    <xf numFmtId="0" fontId="13" fillId="0" borderId="9" xfId="0" applyFont="1" applyBorder="1" applyAlignment="1" applyProtection="1">
      <alignment vertical="top"/>
      <protection locked="0"/>
    </xf>
    <xf numFmtId="0" fontId="13" fillId="0" borderId="9" xfId="0" applyFont="1" applyBorder="1" applyAlignment="1" applyProtection="1">
      <alignment horizontal="center" vertical="top"/>
      <protection locked="0"/>
    </xf>
    <xf numFmtId="0" fontId="14" fillId="0" borderId="0" xfId="0" applyFont="1" applyAlignment="1" applyProtection="1">
      <alignment vertical="top"/>
      <protection locked="0"/>
    </xf>
    <xf numFmtId="4" fontId="14" fillId="6" borderId="0" xfId="0" applyNumberFormat="1" applyFont="1" applyFill="1" applyAlignment="1" applyProtection="1">
      <alignment vertical="top"/>
      <protection locked="0"/>
    </xf>
    <xf numFmtId="4" fontId="14" fillId="2" borderId="0" xfId="0" applyNumberFormat="1" applyFont="1" applyFill="1" applyAlignment="1" applyProtection="1">
      <alignment vertical="top"/>
      <protection locked="0"/>
    </xf>
    <xf numFmtId="0" fontId="48" fillId="0" borderId="0" xfId="0" applyFont="1" applyAlignment="1" applyProtection="1">
      <alignment vertical="top"/>
      <protection locked="0"/>
    </xf>
    <xf numFmtId="4" fontId="13" fillId="2" borderId="0" xfId="0" applyNumberFormat="1" applyFont="1" applyFill="1" applyAlignment="1" applyProtection="1">
      <alignment vertical="top"/>
      <protection locked="0"/>
    </xf>
    <xf numFmtId="4" fontId="13" fillId="6" borderId="0" xfId="0" applyNumberFormat="1" applyFont="1" applyFill="1" applyAlignment="1" applyProtection="1">
      <alignment vertical="top"/>
      <protection locked="0"/>
    </xf>
    <xf numFmtId="0" fontId="14" fillId="0" borderId="0" xfId="0" applyFont="1" applyAlignment="1" applyProtection="1">
      <alignment vertical="top" wrapText="1"/>
      <protection locked="0"/>
    </xf>
    <xf numFmtId="4" fontId="14" fillId="0" borderId="0" xfId="0" applyNumberFormat="1" applyFont="1" applyAlignment="1" applyProtection="1">
      <alignment vertical="top"/>
      <protection locked="0"/>
    </xf>
    <xf numFmtId="4" fontId="13" fillId="9" borderId="0" xfId="0" applyNumberFormat="1" applyFont="1" applyFill="1" applyAlignment="1" applyProtection="1">
      <alignment vertical="top"/>
      <protection locked="0"/>
    </xf>
    <xf numFmtId="0" fontId="14" fillId="0" borderId="0" xfId="0" applyFont="1" applyAlignment="1" applyProtection="1">
      <alignment horizontal="left" vertical="top"/>
      <protection locked="0"/>
    </xf>
    <xf numFmtId="0" fontId="13" fillId="0" borderId="3" xfId="0" applyFont="1" applyBorder="1" applyAlignment="1" applyProtection="1">
      <alignment horizontal="center" vertical="top"/>
      <protection locked="0"/>
    </xf>
    <xf numFmtId="4" fontId="13" fillId="0" borderId="3" xfId="0" applyNumberFormat="1" applyFont="1" applyBorder="1" applyAlignment="1" applyProtection="1">
      <alignment horizontal="center" vertical="top"/>
      <protection locked="0"/>
    </xf>
    <xf numFmtId="4" fontId="14" fillId="5" borderId="3" xfId="0" applyNumberFormat="1" applyFont="1" applyFill="1" applyBorder="1" applyAlignment="1" applyProtection="1">
      <alignment vertical="top"/>
      <protection locked="0"/>
    </xf>
    <xf numFmtId="0" fontId="47" fillId="0" borderId="0" xfId="0" applyFont="1" applyAlignment="1" applyProtection="1">
      <alignment vertical="top"/>
      <protection locked="0"/>
    </xf>
    <xf numFmtId="0" fontId="14" fillId="0" borderId="9" xfId="0" applyFont="1" applyBorder="1" applyAlignment="1" applyProtection="1">
      <alignment vertical="top"/>
      <protection locked="0"/>
    </xf>
    <xf numFmtId="4" fontId="13" fillId="0" borderId="9" xfId="0" applyNumberFormat="1" applyFont="1" applyBorder="1" applyAlignment="1" applyProtection="1">
      <alignment vertical="top"/>
      <protection locked="0"/>
    </xf>
    <xf numFmtId="4" fontId="14" fillId="9" borderId="0" xfId="0" applyNumberFormat="1" applyFont="1" applyFill="1" applyAlignment="1" applyProtection="1">
      <alignment vertical="top"/>
      <protection locked="0"/>
    </xf>
    <xf numFmtId="4" fontId="13" fillId="0" borderId="0" xfId="0" applyNumberFormat="1" applyFont="1" applyAlignment="1" applyProtection="1">
      <alignment horizontal="right" vertical="top"/>
      <protection locked="0"/>
    </xf>
    <xf numFmtId="0" fontId="43" fillId="0" borderId="0" xfId="3" applyFont="1" applyAlignment="1" applyProtection="1">
      <alignment vertical="top"/>
      <protection locked="0"/>
    </xf>
    <xf numFmtId="0" fontId="54" fillId="0" borderId="0" xfId="0" applyFont="1" applyProtection="1">
      <protection locked="0"/>
    </xf>
    <xf numFmtId="2" fontId="13" fillId="9" borderId="3" xfId="0" applyNumberFormat="1" applyFont="1" applyFill="1" applyBorder="1" applyAlignment="1" applyProtection="1">
      <alignment vertical="center"/>
      <protection locked="0"/>
    </xf>
    <xf numFmtId="0" fontId="13" fillId="9" borderId="3" xfId="0" applyFont="1" applyFill="1" applyBorder="1" applyAlignment="1" applyProtection="1">
      <alignment vertical="center"/>
      <protection locked="0"/>
    </xf>
    <xf numFmtId="0" fontId="13" fillId="0" borderId="0" xfId="0" applyFont="1" applyAlignment="1" applyProtection="1">
      <alignment horizontal="center" wrapText="1"/>
      <protection locked="0"/>
    </xf>
    <xf numFmtId="0" fontId="13" fillId="0" borderId="0" xfId="11" applyFont="1" applyAlignment="1" applyProtection="1">
      <alignment horizontal="left" vertical="center" wrapText="1"/>
      <protection locked="0"/>
    </xf>
    <xf numFmtId="4" fontId="13" fillId="0" borderId="0" xfId="11" applyNumberFormat="1" applyFont="1" applyAlignment="1" applyProtection="1">
      <alignment vertical="center" wrapText="1"/>
      <protection locked="0"/>
    </xf>
    <xf numFmtId="165" fontId="13" fillId="6" borderId="3" xfId="12" applyNumberFormat="1" applyFont="1" applyFill="1" applyBorder="1" applyAlignment="1" applyProtection="1">
      <alignment horizontal="center" vertical="center"/>
      <protection locked="0"/>
    </xf>
    <xf numFmtId="4" fontId="13" fillId="0" borderId="28" xfId="0" applyNumberFormat="1" applyFont="1" applyBorder="1" applyAlignment="1" applyProtection="1">
      <alignment horizontal="right" vertical="center"/>
      <protection locked="0"/>
    </xf>
    <xf numFmtId="4" fontId="13" fillId="0" borderId="0" xfId="0" applyNumberFormat="1" applyFont="1" applyAlignment="1" applyProtection="1">
      <alignment horizontal="right" vertical="center"/>
      <protection locked="0"/>
    </xf>
    <xf numFmtId="165" fontId="13" fillId="0" borderId="0" xfId="12" applyNumberFormat="1" applyFont="1" applyFill="1" applyBorder="1" applyAlignment="1" applyProtection="1">
      <alignment horizontal="center" vertical="center"/>
      <protection locked="0"/>
    </xf>
    <xf numFmtId="0" fontId="53" fillId="0" borderId="0" xfId="0" applyFont="1" applyAlignment="1" applyProtection="1">
      <alignment horizontal="left" wrapText="1"/>
      <protection locked="0"/>
    </xf>
    <xf numFmtId="0" fontId="82" fillId="3" borderId="0" xfId="3" applyFont="1" applyFill="1" applyBorder="1" applyAlignment="1" applyProtection="1">
      <alignment vertical="center"/>
      <protection locked="0"/>
    </xf>
    <xf numFmtId="0" fontId="13" fillId="0" borderId="3" xfId="0" applyFont="1" applyBorder="1" applyAlignment="1" applyProtection="1">
      <alignment horizontal="right"/>
      <protection locked="0"/>
    </xf>
    <xf numFmtId="4" fontId="13" fillId="2" borderId="0" xfId="0" applyNumberFormat="1" applyFont="1" applyFill="1" applyAlignment="1" applyProtection="1">
      <alignment horizontal="right" vertical="center"/>
      <protection locked="0"/>
    </xf>
    <xf numFmtId="4" fontId="13" fillId="2" borderId="3" xfId="0" applyNumberFormat="1" applyFont="1" applyFill="1" applyBorder="1" applyAlignment="1" applyProtection="1">
      <alignment horizontal="right" vertical="center" wrapText="1"/>
      <protection locked="0"/>
    </xf>
    <xf numFmtId="4" fontId="13" fillId="6" borderId="3" xfId="0" applyNumberFormat="1" applyFont="1" applyFill="1" applyBorder="1" applyAlignment="1" applyProtection="1">
      <alignment horizontal="right" vertical="center" wrapText="1"/>
      <protection locked="0"/>
    </xf>
    <xf numFmtId="4" fontId="13" fillId="0" borderId="3" xfId="0" applyNumberFormat="1" applyFont="1" applyBorder="1" applyProtection="1">
      <protection locked="0"/>
    </xf>
    <xf numFmtId="0" fontId="54" fillId="0" borderId="0" xfId="0" applyFont="1" applyAlignment="1" applyProtection="1">
      <alignment vertical="center"/>
      <protection locked="0"/>
    </xf>
    <xf numFmtId="0" fontId="85" fillId="3" borderId="0" xfId="3"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4" fontId="13" fillId="0" borderId="0" xfId="0" applyNumberFormat="1" applyFont="1" applyAlignment="1" applyProtection="1">
      <alignment vertical="center"/>
      <protection locked="0"/>
    </xf>
    <xf numFmtId="49" fontId="78" fillId="0" borderId="9" xfId="0" applyNumberFormat="1" applyFont="1" applyBorder="1" applyAlignment="1" applyProtection="1">
      <alignment horizontal="left" vertical="center"/>
      <protection locked="0"/>
    </xf>
    <xf numFmtId="0" fontId="13" fillId="0" borderId="9" xfId="0" applyFont="1" applyBorder="1" applyProtection="1">
      <protection locked="0"/>
    </xf>
    <xf numFmtId="0" fontId="13" fillId="0" borderId="14" xfId="0" applyFont="1" applyBorder="1" applyProtection="1">
      <protection locked="0"/>
    </xf>
    <xf numFmtId="4" fontId="13" fillId="0" borderId="16" xfId="0" applyNumberFormat="1" applyFont="1" applyBorder="1" applyAlignment="1" applyProtection="1">
      <alignment vertical="center"/>
      <protection locked="0"/>
    </xf>
    <xf numFmtId="4" fontId="13" fillId="0" borderId="8" xfId="0" applyNumberFormat="1" applyFont="1" applyBorder="1" applyAlignment="1" applyProtection="1">
      <alignment vertical="center"/>
      <protection locked="0"/>
    </xf>
    <xf numFmtId="4" fontId="13" fillId="0" borderId="0" xfId="0" applyNumberFormat="1" applyFont="1" applyAlignment="1" applyProtection="1">
      <alignment wrapText="1"/>
      <protection locked="0"/>
    </xf>
    <xf numFmtId="0" fontId="49" fillId="0" borderId="0" xfId="0" applyFont="1" applyProtection="1">
      <protection locked="0"/>
    </xf>
    <xf numFmtId="0" fontId="41" fillId="0" borderId="0" xfId="0" applyFont="1" applyProtection="1">
      <protection locked="0"/>
    </xf>
    <xf numFmtId="0" fontId="41" fillId="0" borderId="0" xfId="0" applyFont="1" applyAlignment="1" applyProtection="1">
      <alignment horizontal="center" vertical="top"/>
      <protection locked="0"/>
    </xf>
    <xf numFmtId="0" fontId="43" fillId="0" borderId="0" xfId="0" applyFont="1" applyProtection="1">
      <protection locked="0"/>
    </xf>
    <xf numFmtId="4" fontId="13" fillId="0" borderId="3" xfId="0" applyNumberFormat="1" applyFont="1" applyBorder="1" applyAlignment="1" applyProtection="1">
      <alignment horizontal="center" vertical="center" wrapText="1"/>
      <protection locked="0"/>
    </xf>
    <xf numFmtId="0" fontId="13" fillId="0" borderId="0" xfId="11" applyFont="1" applyProtection="1">
      <protection locked="0"/>
    </xf>
    <xf numFmtId="4" fontId="13" fillId="9" borderId="28" xfId="0" applyNumberFormat="1" applyFont="1" applyFill="1" applyBorder="1" applyAlignment="1" applyProtection="1">
      <alignment horizontal="right" vertical="center"/>
      <protection locked="0"/>
    </xf>
    <xf numFmtId="4" fontId="13" fillId="0" borderId="15" xfId="0" applyNumberFormat="1" applyFont="1" applyBorder="1" applyAlignment="1" applyProtection="1">
      <alignment vertical="center"/>
      <protection locked="0"/>
    </xf>
    <xf numFmtId="4" fontId="13" fillId="0" borderId="4" xfId="0" applyNumberFormat="1" applyFont="1" applyBorder="1" applyAlignment="1" applyProtection="1">
      <alignment vertical="center"/>
      <protection locked="0"/>
    </xf>
    <xf numFmtId="4" fontId="13" fillId="9" borderId="2" xfId="0" applyNumberFormat="1" applyFont="1" applyFill="1" applyBorder="1" applyAlignment="1" applyProtection="1">
      <alignment horizontal="right" vertical="center"/>
      <protection locked="0"/>
    </xf>
    <xf numFmtId="0" fontId="13" fillId="0" borderId="0" xfId="11" applyFont="1" applyAlignment="1" applyProtection="1">
      <alignment horizontal="center" vertical="center" wrapText="1"/>
      <protection locked="0"/>
    </xf>
    <xf numFmtId="0" fontId="13" fillId="0" borderId="0" xfId="11" applyFont="1" applyAlignment="1" applyProtection="1">
      <alignment vertical="top"/>
      <protection locked="0"/>
    </xf>
    <xf numFmtId="0" fontId="13" fillId="0" borderId="0" xfId="11" applyFont="1" applyAlignment="1" applyProtection="1">
      <alignment vertical="top" wrapText="1"/>
      <protection locked="0"/>
    </xf>
    <xf numFmtId="0" fontId="13" fillId="0" borderId="0" xfId="11" applyFont="1" applyAlignment="1" applyProtection="1">
      <alignment vertical="center" wrapText="1"/>
      <protection locked="0"/>
    </xf>
    <xf numFmtId="0" fontId="14" fillId="0" borderId="0" xfId="0" quotePrefix="1" applyFont="1" applyAlignment="1" applyProtection="1">
      <alignment vertical="top"/>
      <protection locked="0"/>
    </xf>
    <xf numFmtId="0" fontId="13" fillId="12" borderId="0" xfId="11" applyFont="1" applyFill="1" applyProtection="1">
      <protection locked="0"/>
    </xf>
    <xf numFmtId="0" fontId="13" fillId="12" borderId="0" xfId="11" applyFont="1" applyFill="1" applyAlignment="1" applyProtection="1">
      <alignment vertical="top"/>
      <protection locked="0"/>
    </xf>
    <xf numFmtId="0" fontId="13" fillId="12" borderId="0" xfId="0" applyFont="1" applyFill="1" applyAlignment="1" applyProtection="1">
      <alignment horizontal="left"/>
      <protection locked="0"/>
    </xf>
    <xf numFmtId="0" fontId="54" fillId="12" borderId="0" xfId="0" applyFont="1" applyFill="1" applyProtection="1">
      <protection locked="0"/>
    </xf>
    <xf numFmtId="17" fontId="14" fillId="0" borderId="0" xfId="0" quotePrefix="1" applyNumberFormat="1" applyFont="1" applyAlignment="1" applyProtection="1">
      <alignment vertical="top"/>
      <protection locked="0"/>
    </xf>
    <xf numFmtId="0" fontId="59" fillId="0" borderId="0" xfId="0" applyFont="1" applyAlignment="1" applyProtection="1">
      <alignment horizontal="left" wrapText="1"/>
      <protection locked="0"/>
    </xf>
    <xf numFmtId="0" fontId="42" fillId="0" borderId="0" xfId="0" applyFont="1" applyProtection="1">
      <protection locked="0"/>
    </xf>
    <xf numFmtId="4" fontId="13" fillId="5" borderId="3" xfId="0" applyNumberFormat="1" applyFont="1" applyFill="1" applyBorder="1" applyProtection="1">
      <protection locked="0"/>
    </xf>
    <xf numFmtId="4" fontId="14" fillId="0" borderId="0" xfId="0" applyNumberFormat="1" applyFont="1" applyProtection="1">
      <protection locked="0"/>
    </xf>
    <xf numFmtId="0" fontId="13" fillId="0" borderId="10" xfId="0" applyFont="1" applyBorder="1" applyAlignment="1" applyProtection="1">
      <alignment vertical="center"/>
      <protection locked="0"/>
    </xf>
    <xf numFmtId="0" fontId="13" fillId="12" borderId="0" xfId="0" applyFont="1" applyFill="1" applyAlignment="1" applyProtection="1">
      <alignment horizontal="left" wrapText="1"/>
      <protection locked="0"/>
    </xf>
    <xf numFmtId="0" fontId="13" fillId="12" borderId="0" xfId="0" applyFont="1" applyFill="1" applyAlignment="1" applyProtection="1">
      <alignment horizontal="left" vertical="center" wrapText="1"/>
      <protection locked="0"/>
    </xf>
    <xf numFmtId="0" fontId="13" fillId="12" borderId="0" xfId="0" applyFont="1" applyFill="1" applyProtection="1">
      <protection locked="0"/>
    </xf>
    <xf numFmtId="0" fontId="13" fillId="0" borderId="0" xfId="0" applyFont="1" applyAlignment="1" applyProtection="1">
      <alignment horizontal="left" vertical="center" wrapText="1"/>
      <protection locked="0"/>
    </xf>
    <xf numFmtId="4" fontId="13" fillId="0" borderId="0" xfId="11" applyNumberFormat="1" applyFont="1" applyAlignment="1" applyProtection="1">
      <alignment horizontal="center" vertical="center" wrapText="1"/>
      <protection locked="0"/>
    </xf>
    <xf numFmtId="4" fontId="14" fillId="0" borderId="0" xfId="0" applyNumberFormat="1" applyFont="1" applyAlignment="1" applyProtection="1">
      <alignment horizontal="center" vertical="center"/>
      <protection locked="0"/>
    </xf>
    <xf numFmtId="4" fontId="13" fillId="0" borderId="0" xfId="11" applyNumberFormat="1" applyFont="1" applyAlignment="1" applyProtection="1">
      <alignment horizontal="right" vertical="center" wrapText="1"/>
      <protection locked="0"/>
    </xf>
    <xf numFmtId="4" fontId="14" fillId="0" borderId="0" xfId="0" applyNumberFormat="1" applyFont="1" applyAlignment="1" applyProtection="1">
      <alignment horizontal="right" vertical="center"/>
      <protection locked="0"/>
    </xf>
    <xf numFmtId="0" fontId="13" fillId="0" borderId="0" xfId="5" applyFont="1" applyAlignment="1" applyProtection="1">
      <alignment vertical="top"/>
      <protection locked="0"/>
    </xf>
    <xf numFmtId="0" fontId="14" fillId="0" borderId="3" xfId="0" applyFont="1" applyBorder="1" applyAlignment="1" applyProtection="1">
      <alignment horizontal="center" vertical="top" wrapText="1"/>
      <protection locked="0"/>
    </xf>
    <xf numFmtId="0" fontId="14" fillId="0" borderId="3" xfId="0" applyFont="1" applyBorder="1" applyAlignment="1" applyProtection="1">
      <alignment horizontal="right" vertical="top"/>
      <protection locked="0"/>
    </xf>
    <xf numFmtId="0" fontId="63" fillId="0" borderId="0" xfId="0" applyFont="1" applyAlignment="1" applyProtection="1">
      <alignment vertical="top"/>
      <protection locked="0"/>
    </xf>
    <xf numFmtId="0" fontId="64" fillId="0" borderId="0" xfId="5" applyFont="1" applyAlignment="1" applyProtection="1">
      <alignment vertical="top"/>
      <protection locked="0"/>
    </xf>
    <xf numFmtId="0" fontId="64" fillId="0" borderId="0" xfId="0" applyFont="1" applyAlignment="1" applyProtection="1">
      <alignment vertical="top"/>
      <protection locked="0"/>
    </xf>
    <xf numFmtId="4" fontId="13" fillId="9" borderId="3" xfId="0" applyNumberFormat="1" applyFont="1" applyFill="1" applyBorder="1" applyAlignment="1" applyProtection="1">
      <alignment horizontal="right" vertical="top"/>
      <protection locked="0"/>
    </xf>
    <xf numFmtId="4" fontId="14" fillId="6" borderId="3" xfId="5" applyNumberFormat="1" applyFont="1" applyFill="1" applyBorder="1" applyAlignment="1" applyProtection="1">
      <alignment horizontal="right" vertical="top"/>
      <protection locked="0"/>
    </xf>
    <xf numFmtId="4" fontId="64" fillId="0" borderId="0" xfId="5" applyNumberFormat="1" applyFont="1" applyAlignment="1" applyProtection="1">
      <alignment vertical="top"/>
      <protection locked="0"/>
    </xf>
    <xf numFmtId="4" fontId="14" fillId="0" borderId="0" xfId="5" applyNumberFormat="1" applyFont="1" applyAlignment="1" applyProtection="1">
      <alignment horizontal="right" vertical="top"/>
      <protection locked="0"/>
    </xf>
    <xf numFmtId="4" fontId="13" fillId="2" borderId="3" xfId="5" applyNumberFormat="1" applyFont="1" applyFill="1" applyBorder="1" applyAlignment="1" applyProtection="1">
      <alignment vertical="top"/>
      <protection locked="0"/>
    </xf>
    <xf numFmtId="4" fontId="13" fillId="6" borderId="3" xfId="5" applyNumberFormat="1" applyFont="1" applyFill="1" applyBorder="1" applyAlignment="1" applyProtection="1">
      <alignment horizontal="right" vertical="top"/>
      <protection locked="0"/>
    </xf>
    <xf numFmtId="0" fontId="81" fillId="3" borderId="0" xfId="3" applyFont="1" applyFill="1" applyAlignment="1" applyProtection="1">
      <protection locked="0"/>
    </xf>
    <xf numFmtId="0" fontId="63" fillId="0" borderId="0" xfId="5" applyFont="1" applyAlignment="1" applyProtection="1">
      <alignment vertical="top"/>
      <protection locked="0"/>
    </xf>
    <xf numFmtId="0" fontId="14" fillId="0" borderId="3" xfId="0" applyFont="1" applyBorder="1" applyAlignment="1" applyProtection="1">
      <alignment horizontal="center" vertical="top"/>
      <protection locked="0"/>
    </xf>
    <xf numFmtId="4" fontId="63" fillId="0" borderId="0" xfId="0" applyNumberFormat="1" applyFont="1" applyAlignment="1" applyProtection="1">
      <alignment vertical="top"/>
      <protection locked="0"/>
    </xf>
    <xf numFmtId="0" fontId="14" fillId="0" borderId="0" xfId="5" applyFont="1" applyAlignment="1" applyProtection="1">
      <alignment vertical="top"/>
      <protection locked="0"/>
    </xf>
    <xf numFmtId="4" fontId="14" fillId="0" borderId="0" xfId="5" applyNumberFormat="1" applyFont="1" applyAlignment="1" applyProtection="1">
      <alignment vertical="top"/>
      <protection locked="0"/>
    </xf>
    <xf numFmtId="4" fontId="13" fillId="0" borderId="0" xfId="5" applyNumberFormat="1" applyFont="1" applyAlignment="1" applyProtection="1">
      <alignment horizontal="right" vertical="top"/>
      <protection locked="0"/>
    </xf>
    <xf numFmtId="0" fontId="13" fillId="0" borderId="0" xfId="5" applyFont="1" applyProtection="1">
      <protection locked="0"/>
    </xf>
    <xf numFmtId="4" fontId="13" fillId="0" borderId="0" xfId="5" applyNumberFormat="1" applyFont="1" applyProtection="1">
      <protection locked="0"/>
    </xf>
    <xf numFmtId="4" fontId="13" fillId="9" borderId="3" xfId="0" applyNumberFormat="1" applyFont="1" applyFill="1" applyBorder="1" applyAlignment="1" applyProtection="1">
      <alignment vertical="top"/>
      <protection locked="0"/>
    </xf>
    <xf numFmtId="0" fontId="82" fillId="0" borderId="0" xfId="0" applyFont="1" applyProtection="1">
      <protection locked="0"/>
    </xf>
    <xf numFmtId="4" fontId="13" fillId="5" borderId="0" xfId="0" applyNumberFormat="1" applyFont="1" applyFill="1" applyProtection="1">
      <protection locked="0"/>
    </xf>
    <xf numFmtId="4" fontId="14" fillId="0" borderId="0" xfId="0" applyNumberFormat="1" applyFont="1" applyAlignment="1" applyProtection="1">
      <alignment horizontal="right"/>
      <protection locked="0"/>
    </xf>
    <xf numFmtId="0" fontId="68" fillId="12" borderId="0" xfId="0" applyFont="1" applyFill="1" applyAlignment="1" applyProtection="1">
      <alignment vertical="top"/>
      <protection locked="0"/>
    </xf>
    <xf numFmtId="0" fontId="68" fillId="12" borderId="0" xfId="0" applyFont="1" applyFill="1" applyAlignment="1" applyProtection="1">
      <alignment horizontal="left"/>
      <protection locked="0"/>
    </xf>
    <xf numFmtId="0" fontId="68" fillId="12" borderId="0" xfId="0" applyFont="1" applyFill="1" applyProtection="1">
      <protection locked="0"/>
    </xf>
    <xf numFmtId="0" fontId="55" fillId="9" borderId="0" xfId="0" applyFont="1" applyFill="1" applyAlignment="1" applyProtection="1">
      <alignment vertical="top" wrapText="1"/>
      <protection locked="0"/>
    </xf>
    <xf numFmtId="0" fontId="52" fillId="9" borderId="0" xfId="0" applyFont="1" applyFill="1" applyAlignment="1" applyProtection="1">
      <alignment vertical="top" wrapText="1"/>
      <protection locked="0"/>
    </xf>
    <xf numFmtId="0" fontId="52" fillId="0" borderId="0" xfId="0" applyFont="1" applyAlignment="1" applyProtection="1">
      <alignment vertical="top" wrapText="1"/>
      <protection locked="0"/>
    </xf>
    <xf numFmtId="4" fontId="13" fillId="2" borderId="0" xfId="0" applyNumberFormat="1" applyFont="1" applyFill="1" applyAlignment="1" applyProtection="1">
      <alignment vertical="center"/>
      <protection locked="0"/>
    </xf>
    <xf numFmtId="164" fontId="13" fillId="0" borderId="3" xfId="0" applyNumberFormat="1" applyFont="1" applyBorder="1" applyProtection="1">
      <protection locked="0"/>
    </xf>
    <xf numFmtId="0" fontId="13" fillId="0" borderId="0" xfId="9" applyFont="1" applyAlignment="1" applyProtection="1">
      <alignment horizontal="left"/>
      <protection locked="0"/>
    </xf>
    <xf numFmtId="164" fontId="13" fillId="0" borderId="0" xfId="9" applyNumberFormat="1" applyFont="1" applyProtection="1">
      <protection locked="0"/>
    </xf>
    <xf numFmtId="164" fontId="13" fillId="0" borderId="0" xfId="0" applyNumberFormat="1" applyFont="1" applyProtection="1">
      <protection locked="0"/>
    </xf>
    <xf numFmtId="0" fontId="39" fillId="3" borderId="0" xfId="3" applyFont="1" applyFill="1" applyAlignment="1" applyProtection="1">
      <alignment vertical="center"/>
      <protection locked="0"/>
    </xf>
    <xf numFmtId="3" fontId="13" fillId="2" borderId="3" xfId="0" applyNumberFormat="1" applyFont="1" applyFill="1" applyBorder="1" applyAlignment="1" applyProtection="1">
      <alignment horizontal="right" vertical="center"/>
      <protection locked="0"/>
    </xf>
    <xf numFmtId="0" fontId="68" fillId="0" borderId="0" xfId="0" applyFont="1" applyAlignment="1" applyProtection="1">
      <alignment vertical="center"/>
      <protection locked="0"/>
    </xf>
    <xf numFmtId="3" fontId="13" fillId="6" borderId="3" xfId="0" applyNumberFormat="1" applyFont="1" applyFill="1" applyBorder="1" applyAlignment="1" applyProtection="1">
      <alignment horizontal="right" vertical="center"/>
      <protection locked="0"/>
    </xf>
    <xf numFmtId="0" fontId="39" fillId="3" borderId="0" xfId="3" applyFont="1" applyFill="1" applyAlignment="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wrapText="1"/>
      <protection locked="0"/>
    </xf>
    <xf numFmtId="0" fontId="43" fillId="0" borderId="0" xfId="0" applyFont="1" applyAlignment="1" applyProtection="1">
      <alignment horizontal="left" vertical="center" wrapText="1"/>
      <protection locked="0"/>
    </xf>
    <xf numFmtId="0" fontId="48" fillId="0" borderId="0" xfId="0" applyFont="1" applyAlignment="1" applyProtection="1">
      <alignment horizontal="left" vertical="top"/>
      <protection locked="0"/>
    </xf>
    <xf numFmtId="4" fontId="13" fillId="0" borderId="30" xfId="0" applyNumberFormat="1" applyFont="1" applyBorder="1" applyAlignment="1" applyProtection="1">
      <alignment vertical="top"/>
      <protection locked="0"/>
    </xf>
    <xf numFmtId="4" fontId="13" fillId="0" borderId="13" xfId="0" applyNumberFormat="1" applyFont="1" applyBorder="1" applyAlignment="1" applyProtection="1">
      <alignment vertical="top"/>
      <protection locked="0"/>
    </xf>
    <xf numFmtId="4" fontId="13" fillId="0" borderId="30" xfId="0" applyNumberFormat="1" applyFont="1" applyBorder="1" applyProtection="1">
      <protection locked="0"/>
    </xf>
    <xf numFmtId="4" fontId="13" fillId="0" borderId="13" xfId="0" applyNumberFormat="1" applyFont="1" applyBorder="1" applyProtection="1">
      <protection locked="0"/>
    </xf>
    <xf numFmtId="0" fontId="14" fillId="0" borderId="0" xfId="0" applyFont="1" applyAlignment="1" applyProtection="1">
      <alignment horizontal="left" vertical="center"/>
      <protection locked="0"/>
    </xf>
    <xf numFmtId="0" fontId="13" fillId="2" borderId="3" xfId="0" applyFont="1" applyFill="1" applyBorder="1" applyAlignment="1" applyProtection="1">
      <alignment horizontal="center" vertical="center"/>
      <protection locked="0"/>
    </xf>
    <xf numFmtId="0" fontId="14" fillId="0" borderId="0" xfId="0" applyFont="1" applyProtection="1">
      <protection locked="0"/>
    </xf>
    <xf numFmtId="0" fontId="13" fillId="0" borderId="16" xfId="0" applyFont="1" applyBorder="1" applyProtection="1">
      <protection locked="0"/>
    </xf>
    <xf numFmtId="0" fontId="13" fillId="0" borderId="8" xfId="0" applyFont="1" applyBorder="1" applyProtection="1">
      <protection locked="0"/>
    </xf>
    <xf numFmtId="4" fontId="13" fillId="0" borderId="8" xfId="0" applyNumberFormat="1" applyFont="1" applyBorder="1" applyProtection="1">
      <protection locked="0"/>
    </xf>
    <xf numFmtId="4" fontId="13" fillId="0" borderId="17" xfId="0" applyNumberFormat="1" applyFont="1" applyBorder="1" applyProtection="1">
      <protection locked="0"/>
    </xf>
    <xf numFmtId="0" fontId="13" fillId="0" borderId="30" xfId="0" applyFont="1" applyBorder="1" applyProtection="1">
      <protection locked="0"/>
    </xf>
    <xf numFmtId="0" fontId="13" fillId="0" borderId="18" xfId="0" applyFont="1" applyBorder="1" applyProtection="1">
      <protection locked="0"/>
    </xf>
    <xf numFmtId="4" fontId="13" fillId="0" borderId="9" xfId="0" applyNumberFormat="1" applyFont="1" applyBorder="1" applyProtection="1">
      <protection locked="0"/>
    </xf>
    <xf numFmtId="4" fontId="13" fillId="0" borderId="14" xfId="0" applyNumberFormat="1" applyFont="1" applyBorder="1" applyProtection="1">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protection locked="0"/>
    </xf>
    <xf numFmtId="0" fontId="13" fillId="9" borderId="3" xfId="0" applyFont="1" applyFill="1" applyBorder="1" applyAlignment="1" applyProtection="1">
      <alignment horizontal="right" vertical="center"/>
      <protection locked="0"/>
    </xf>
    <xf numFmtId="0" fontId="43" fillId="9" borderId="0" xfId="0" applyFont="1" applyFill="1" applyAlignment="1" applyProtection="1">
      <alignment vertical="top"/>
      <protection locked="0"/>
    </xf>
    <xf numFmtId="0" fontId="68" fillId="0" borderId="0" xfId="0" applyFont="1" applyProtection="1">
      <protection locked="0"/>
    </xf>
    <xf numFmtId="0" fontId="68" fillId="0" borderId="0" xfId="0" applyFont="1" applyAlignment="1" applyProtection="1">
      <alignment horizontal="center" wrapText="1"/>
      <protection locked="0"/>
    </xf>
    <xf numFmtId="0" fontId="68" fillId="0" borderId="0" xfId="0" applyFont="1" applyAlignment="1" applyProtection="1">
      <alignment wrapText="1"/>
      <protection locked="0"/>
    </xf>
    <xf numFmtId="0" fontId="13" fillId="12" borderId="0" xfId="0" applyFont="1" applyFill="1" applyAlignment="1" applyProtection="1">
      <alignment wrapText="1"/>
      <protection locked="0"/>
    </xf>
    <xf numFmtId="4" fontId="13" fillId="12" borderId="8" xfId="0" applyNumberFormat="1" applyFont="1" applyFill="1" applyBorder="1" applyAlignment="1" applyProtection="1">
      <alignment wrapText="1"/>
      <protection locked="0"/>
    </xf>
    <xf numFmtId="4" fontId="13" fillId="12" borderId="0" xfId="0" applyNumberFormat="1" applyFont="1" applyFill="1" applyAlignment="1" applyProtection="1">
      <alignment horizontal="left"/>
      <protection locked="0"/>
    </xf>
    <xf numFmtId="0" fontId="13" fillId="10" borderId="0" xfId="0" applyFont="1" applyFill="1" applyProtection="1">
      <protection locked="0"/>
    </xf>
    <xf numFmtId="16" fontId="14" fillId="0" borderId="0" xfId="0" quotePrefix="1" applyNumberFormat="1" applyFont="1" applyAlignment="1" applyProtection="1">
      <alignment vertical="top"/>
      <protection locked="0"/>
    </xf>
    <xf numFmtId="16" fontId="14" fillId="0" borderId="0" xfId="0" quotePrefix="1" applyNumberFormat="1" applyFont="1" applyAlignment="1" applyProtection="1">
      <alignment vertical="center"/>
      <protection locked="0"/>
    </xf>
    <xf numFmtId="0" fontId="14" fillId="0" borderId="15" xfId="0" applyFont="1" applyBorder="1" applyAlignment="1" applyProtection="1">
      <alignment horizontal="left" vertical="center"/>
      <protection locked="0"/>
    </xf>
    <xf numFmtId="0" fontId="14" fillId="0" borderId="0" xfId="0" applyFont="1" applyAlignment="1" applyProtection="1">
      <alignment horizontal="right" vertical="top" wrapText="1"/>
      <protection locked="0"/>
    </xf>
    <xf numFmtId="0" fontId="13" fillId="9" borderId="3" xfId="0" applyFont="1" applyFill="1" applyBorder="1" applyAlignment="1" applyProtection="1">
      <alignment vertical="center" wrapText="1"/>
      <protection locked="0"/>
    </xf>
    <xf numFmtId="0" fontId="13" fillId="0" borderId="8" xfId="0" applyFont="1" applyBorder="1" applyAlignment="1" applyProtection="1">
      <alignment vertical="top" wrapText="1"/>
      <protection locked="0"/>
    </xf>
    <xf numFmtId="0" fontId="14" fillId="0" borderId="0" xfId="0" applyFont="1" applyAlignment="1" applyProtection="1">
      <alignment horizontal="right" vertical="center"/>
      <protection locked="0"/>
    </xf>
    <xf numFmtId="0" fontId="13" fillId="0" borderId="8" xfId="0" applyFont="1" applyBorder="1" applyAlignment="1" applyProtection="1">
      <alignment vertical="center" wrapText="1"/>
      <protection locked="0"/>
    </xf>
    <xf numFmtId="9" fontId="54" fillId="0" borderId="3" xfId="12" applyFont="1" applyFill="1" applyBorder="1" applyProtection="1">
      <protection locked="0"/>
    </xf>
    <xf numFmtId="0" fontId="14" fillId="0" borderId="0" xfId="0" quotePrefix="1" applyFont="1" applyAlignment="1" applyProtection="1">
      <alignment horizontal="right" vertical="top"/>
      <protection locked="0"/>
    </xf>
    <xf numFmtId="9" fontId="13" fillId="9" borderId="0" xfId="12" applyFont="1" applyFill="1" applyAlignment="1" applyProtection="1">
      <alignment horizontal="left" vertical="top"/>
      <protection locked="0"/>
    </xf>
    <xf numFmtId="0" fontId="13" fillId="9" borderId="0" xfId="0" applyFont="1" applyFill="1" applyProtection="1">
      <protection locked="0"/>
    </xf>
    <xf numFmtId="9" fontId="63" fillId="9" borderId="0" xfId="12" applyFont="1" applyFill="1" applyAlignment="1" applyProtection="1">
      <alignment horizontal="left" vertical="top"/>
      <protection locked="0"/>
    </xf>
    <xf numFmtId="0" fontId="42" fillId="0" borderId="0" xfId="0" applyFont="1" applyAlignment="1" applyProtection="1">
      <alignment horizontal="left"/>
      <protection locked="0"/>
    </xf>
    <xf numFmtId="0" fontId="13" fillId="0" borderId="0" xfId="11" applyFont="1" applyAlignment="1" applyProtection="1">
      <alignment horizontal="center" vertical="center"/>
      <protection locked="0"/>
    </xf>
    <xf numFmtId="0" fontId="13" fillId="9" borderId="0" xfId="0" applyFont="1" applyFill="1" applyAlignment="1" applyProtection="1">
      <alignment vertical="top" wrapText="1"/>
      <protection locked="0"/>
    </xf>
    <xf numFmtId="0" fontId="82" fillId="3" borderId="0" xfId="0" applyFont="1" applyFill="1" applyAlignment="1" applyProtection="1">
      <alignment vertical="top"/>
      <protection locked="0"/>
    </xf>
    <xf numFmtId="0" fontId="13" fillId="0" borderId="39" xfId="13" applyFont="1" applyBorder="1" applyProtection="1">
      <protection locked="0"/>
    </xf>
    <xf numFmtId="0" fontId="10" fillId="0" borderId="39" xfId="13" applyBorder="1" applyProtection="1">
      <protection locked="0"/>
    </xf>
    <xf numFmtId="0" fontId="13" fillId="0" borderId="21" xfId="13" applyFont="1" applyBorder="1" applyProtection="1">
      <protection locked="0"/>
    </xf>
    <xf numFmtId="0" fontId="13" fillId="0" borderId="7" xfId="13" applyFont="1" applyBorder="1" applyProtection="1">
      <protection locked="0"/>
    </xf>
    <xf numFmtId="0" fontId="10" fillId="0" borderId="0" xfId="9" applyFont="1" applyAlignment="1" applyProtection="1">
      <alignment vertical="top" wrapText="1"/>
      <protection locked="0"/>
    </xf>
    <xf numFmtId="0" fontId="22" fillId="0" borderId="20" xfId="9" applyFont="1" applyBorder="1" applyAlignment="1" applyProtection="1">
      <alignment horizontal="left" vertical="top" wrapText="1"/>
      <protection locked="0"/>
    </xf>
    <xf numFmtId="0" fontId="17" fillId="0" borderId="0" xfId="9" applyFont="1" applyAlignment="1" applyProtection="1">
      <alignment vertical="top" wrapText="1"/>
      <protection locked="0"/>
    </xf>
    <xf numFmtId="0" fontId="13" fillId="0" borderId="3" xfId="11" applyFont="1" applyBorder="1" applyAlignment="1" applyProtection="1">
      <alignment vertical="center" wrapText="1"/>
      <protection locked="0"/>
    </xf>
    <xf numFmtId="0" fontId="51" fillId="0" borderId="3" xfId="11" applyFont="1" applyBorder="1" applyAlignment="1" applyProtection="1">
      <alignment vertical="center" wrapText="1"/>
      <protection locked="0"/>
    </xf>
    <xf numFmtId="4" fontId="51" fillId="6" borderId="3" xfId="11" applyNumberFormat="1" applyFont="1" applyFill="1" applyBorder="1" applyAlignment="1" applyProtection="1">
      <alignment vertical="center" wrapText="1"/>
      <protection locked="0"/>
    </xf>
    <xf numFmtId="4" fontId="51" fillId="2" borderId="3" xfId="11" applyNumberFormat="1" applyFont="1" applyFill="1" applyBorder="1" applyAlignment="1" applyProtection="1">
      <alignment vertical="center" wrapText="1"/>
      <protection locked="0"/>
    </xf>
    <xf numFmtId="0" fontId="27" fillId="0" borderId="0" xfId="6" applyFont="1" applyAlignment="1" applyProtection="1">
      <alignment vertical="top" wrapText="1"/>
      <protection locked="0"/>
    </xf>
    <xf numFmtId="49" fontId="10" fillId="0" borderId="0" xfId="6" applyNumberFormat="1" applyFont="1" applyAlignment="1" applyProtection="1">
      <alignment vertical="top" wrapText="1"/>
      <protection locked="0"/>
    </xf>
    <xf numFmtId="0" fontId="10" fillId="0" borderId="0" xfId="6" applyFont="1" applyAlignment="1" applyProtection="1">
      <alignment vertical="top" wrapText="1"/>
      <protection locked="0"/>
    </xf>
    <xf numFmtId="4" fontId="13" fillId="0" borderId="0" xfId="0" applyNumberFormat="1" applyFont="1" applyAlignment="1" applyProtection="1">
      <alignment horizontal="center" vertical="center" wrapText="1"/>
      <protection locked="0"/>
    </xf>
    <xf numFmtId="0" fontId="39" fillId="0" borderId="0" xfId="3" applyFont="1" applyFill="1" applyAlignment="1" applyProtection="1">
      <protection locked="0"/>
    </xf>
    <xf numFmtId="4" fontId="13" fillId="0" borderId="0" xfId="0" applyNumberFormat="1" applyFont="1" applyAlignment="1" applyProtection="1">
      <alignment horizontal="center"/>
      <protection locked="0"/>
    </xf>
    <xf numFmtId="4" fontId="13" fillId="0" borderId="0" xfId="0" applyNumberFormat="1" applyFont="1" applyAlignment="1" applyProtection="1">
      <alignment horizontal="center" wrapText="1"/>
      <protection locked="0"/>
    </xf>
    <xf numFmtId="0" fontId="14" fillId="0" borderId="8" xfId="0" applyFont="1" applyBorder="1" applyProtection="1">
      <protection locked="0"/>
    </xf>
    <xf numFmtId="0" fontId="14" fillId="0" borderId="8" xfId="0" applyFont="1" applyBorder="1" applyAlignment="1" applyProtection="1">
      <alignment vertical="top"/>
      <protection locked="0"/>
    </xf>
    <xf numFmtId="4" fontId="14" fillId="6" borderId="0" xfId="0" applyNumberFormat="1" applyFont="1" applyFill="1" applyProtection="1">
      <protection locked="0"/>
    </xf>
    <xf numFmtId="4" fontId="14" fillId="6" borderId="0" xfId="0" applyNumberFormat="1" applyFont="1" applyFill="1" applyAlignment="1" applyProtection="1">
      <alignment horizontal="right" wrapText="1"/>
      <protection locked="0"/>
    </xf>
    <xf numFmtId="4" fontId="13" fillId="2" borderId="0" xfId="0" applyNumberFormat="1" applyFont="1" applyFill="1" applyAlignment="1" applyProtection="1">
      <alignment horizontal="right" wrapText="1"/>
      <protection locked="0"/>
    </xf>
    <xf numFmtId="4" fontId="13" fillId="9" borderId="0" xfId="0" applyNumberFormat="1" applyFont="1" applyFill="1" applyProtection="1">
      <protection locked="0"/>
    </xf>
    <xf numFmtId="4" fontId="13" fillId="2" borderId="0" xfId="0" applyNumberFormat="1" applyFont="1" applyFill="1" applyAlignment="1" applyProtection="1">
      <alignment wrapText="1"/>
      <protection locked="0"/>
    </xf>
    <xf numFmtId="4" fontId="13" fillId="9" borderId="0" xfId="0" applyNumberFormat="1" applyFont="1" applyFill="1" applyAlignment="1" applyProtection="1">
      <alignment horizontal="center"/>
      <protection locked="0"/>
    </xf>
    <xf numFmtId="4" fontId="13" fillId="0" borderId="0" xfId="0" applyNumberFormat="1" applyFont="1" applyAlignment="1" applyProtection="1">
      <alignment horizontal="right" wrapText="1"/>
      <protection locked="0"/>
    </xf>
    <xf numFmtId="4" fontId="13" fillId="0" borderId="0" xfId="0" applyNumberFormat="1" applyFont="1" applyAlignment="1" applyProtection="1">
      <alignment horizontal="left" wrapText="1"/>
      <protection locked="0"/>
    </xf>
    <xf numFmtId="4" fontId="13" fillId="7" borderId="0" xfId="0" applyNumberFormat="1" applyFont="1" applyFill="1" applyProtection="1">
      <protection locked="0"/>
    </xf>
    <xf numFmtId="4" fontId="13" fillId="2" borderId="0" xfId="0" applyNumberFormat="1" applyFont="1" applyFill="1" applyProtection="1">
      <protection locked="0"/>
    </xf>
    <xf numFmtId="4" fontId="13" fillId="2" borderId="9" xfId="0" applyNumberFormat="1" applyFont="1" applyFill="1" applyBorder="1" applyProtection="1">
      <protection locked="0"/>
    </xf>
    <xf numFmtId="4" fontId="13" fillId="6" borderId="0" xfId="0" applyNumberFormat="1" applyFont="1" applyFill="1" applyAlignment="1" applyProtection="1">
      <alignment horizontal="right" wrapText="1"/>
      <protection locked="0"/>
    </xf>
    <xf numFmtId="4" fontId="14" fillId="0" borderId="0" xfId="0" applyNumberFormat="1" applyFont="1" applyAlignment="1" applyProtection="1">
      <alignment horizontal="left" wrapText="1"/>
      <protection locked="0"/>
    </xf>
    <xf numFmtId="4" fontId="13" fillId="2" borderId="0" xfId="0" applyNumberFormat="1" applyFont="1" applyFill="1" applyAlignment="1" applyProtection="1">
      <alignment vertical="top" wrapText="1"/>
      <protection locked="0"/>
    </xf>
    <xf numFmtId="4" fontId="13" fillId="6" borderId="0" xfId="0" applyNumberFormat="1" applyFont="1" applyFill="1" applyProtection="1">
      <protection locked="0"/>
    </xf>
    <xf numFmtId="4" fontId="13" fillId="2" borderId="9" xfId="0" applyNumberFormat="1" applyFont="1" applyFill="1" applyBorder="1" applyAlignment="1" applyProtection="1">
      <alignment horizontal="right" wrapText="1"/>
      <protection locked="0"/>
    </xf>
    <xf numFmtId="0" fontId="76" fillId="0" borderId="0" xfId="0" applyFont="1" applyProtection="1">
      <protection locked="0"/>
    </xf>
    <xf numFmtId="0" fontId="13" fillId="0" borderId="0" xfId="0" applyFont="1" applyAlignment="1" applyProtection="1">
      <alignment wrapText="1"/>
      <protection locked="0"/>
    </xf>
    <xf numFmtId="0" fontId="76" fillId="9" borderId="0" xfId="0" applyFont="1" applyFill="1" applyProtection="1">
      <protection locked="0"/>
    </xf>
    <xf numFmtId="4" fontId="14" fillId="2" borderId="0" xfId="0" applyNumberFormat="1" applyFont="1" applyFill="1" applyProtection="1">
      <protection locked="0"/>
    </xf>
    <xf numFmtId="0" fontId="14" fillId="0" borderId="9" xfId="0" applyFont="1" applyBorder="1" applyProtection="1">
      <protection locked="0"/>
    </xf>
    <xf numFmtId="4" fontId="14" fillId="0" borderId="9" xfId="0" applyNumberFormat="1" applyFont="1" applyBorder="1" applyAlignment="1" applyProtection="1">
      <alignment vertical="top"/>
      <protection locked="0"/>
    </xf>
    <xf numFmtId="4" fontId="47" fillId="0" borderId="0" xfId="0" applyNumberFormat="1" applyFont="1" applyProtection="1">
      <protection locked="0"/>
    </xf>
    <xf numFmtId="0" fontId="14" fillId="0" borderId="9" xfId="0" applyFont="1" applyBorder="1" applyAlignment="1" applyProtection="1">
      <alignment horizontal="centerContinuous"/>
      <protection locked="0"/>
    </xf>
    <xf numFmtId="0" fontId="13" fillId="0" borderId="9" xfId="0" applyFont="1" applyBorder="1" applyAlignment="1" applyProtection="1">
      <alignment horizontal="centerContinuous"/>
      <protection locked="0"/>
    </xf>
    <xf numFmtId="4" fontId="13" fillId="0" borderId="9" xfId="0" applyNumberFormat="1" applyFont="1" applyBorder="1" applyAlignment="1" applyProtection="1">
      <alignment horizontal="centerContinuous"/>
      <protection locked="0"/>
    </xf>
    <xf numFmtId="0" fontId="13" fillId="0" borderId="0" xfId="0" applyFont="1" applyAlignment="1" applyProtection="1">
      <alignment horizontal="right"/>
      <protection locked="0"/>
    </xf>
    <xf numFmtId="0" fontId="13" fillId="0" borderId="9" xfId="0" applyFont="1" applyBorder="1" applyAlignment="1" applyProtection="1">
      <alignment horizontal="right"/>
      <protection locked="0"/>
    </xf>
    <xf numFmtId="4" fontId="13" fillId="0" borderId="9" xfId="0" applyNumberFormat="1" applyFont="1" applyBorder="1" applyAlignment="1" applyProtection="1">
      <alignment horizontal="center" wrapText="1"/>
      <protection locked="0"/>
    </xf>
    <xf numFmtId="4" fontId="13" fillId="0" borderId="0" xfId="0" applyNumberFormat="1" applyFont="1" applyAlignment="1" applyProtection="1">
      <alignment horizontal="right"/>
      <protection locked="0"/>
    </xf>
    <xf numFmtId="4" fontId="43" fillId="2" borderId="0" xfId="0" applyNumberFormat="1" applyFont="1" applyFill="1" applyAlignment="1" applyProtection="1">
      <alignment horizontal="right"/>
      <protection locked="0"/>
    </xf>
    <xf numFmtId="4" fontId="13" fillId="2" borderId="0" xfId="0" applyNumberFormat="1" applyFont="1" applyFill="1" applyAlignment="1" applyProtection="1">
      <alignment horizontal="right"/>
      <protection locked="0"/>
    </xf>
    <xf numFmtId="4" fontId="14" fillId="6" borderId="0" xfId="0" applyNumberFormat="1" applyFont="1" applyFill="1" applyAlignment="1" applyProtection="1">
      <alignment horizontal="right"/>
      <protection locked="0"/>
    </xf>
    <xf numFmtId="4" fontId="14" fillId="0" borderId="0" xfId="0" applyNumberFormat="1" applyFont="1" applyAlignment="1" applyProtection="1">
      <alignment horizontal="left" vertical="top"/>
      <protection locked="0"/>
    </xf>
    <xf numFmtId="0" fontId="14" fillId="0" borderId="9"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4" fillId="0" borderId="0" xfId="0" applyFont="1" applyAlignment="1" applyProtection="1">
      <alignment wrapText="1"/>
      <protection locked="0"/>
    </xf>
    <xf numFmtId="4" fontId="13" fillId="0" borderId="3" xfId="0" applyNumberFormat="1" applyFont="1" applyBorder="1" applyAlignment="1" applyProtection="1">
      <alignment horizontal="center"/>
      <protection locked="0"/>
    </xf>
    <xf numFmtId="0" fontId="22" fillId="0" borderId="0" xfId="0" applyFont="1" applyProtection="1">
      <protection locked="0"/>
    </xf>
    <xf numFmtId="0" fontId="21" fillId="0" borderId="8" xfId="0" applyFont="1" applyBorder="1" applyProtection="1">
      <protection locked="0"/>
    </xf>
    <xf numFmtId="0" fontId="22" fillId="0" borderId="0" xfId="0" applyFont="1" applyAlignment="1" applyProtection="1">
      <alignment horizontal="center" vertical="center"/>
      <protection locked="0"/>
    </xf>
    <xf numFmtId="0" fontId="11" fillId="3" borderId="0" xfId="3" applyFill="1" applyAlignment="1" applyProtection="1">
      <protection locked="0"/>
    </xf>
    <xf numFmtId="0" fontId="21" fillId="0" borderId="9" xfId="0" applyFont="1" applyBorder="1" applyProtection="1">
      <protection locked="0"/>
    </xf>
    <xf numFmtId="0" fontId="22" fillId="0" borderId="9" xfId="0" applyFont="1" applyBorder="1" applyAlignment="1" applyProtection="1">
      <alignment horizontal="center" vertical="center"/>
      <protection locked="0"/>
    </xf>
    <xf numFmtId="0" fontId="22" fillId="0" borderId="0" xfId="0" applyFont="1" applyAlignment="1" applyProtection="1">
      <alignment vertical="center"/>
      <protection locked="0"/>
    </xf>
    <xf numFmtId="0" fontId="22" fillId="0" borderId="0" xfId="0" applyFont="1" applyAlignment="1" applyProtection="1">
      <alignment horizontal="left" vertical="center"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21" fillId="0" borderId="0" xfId="0" applyFont="1" applyAlignment="1" applyProtection="1">
      <alignment horizontal="left"/>
      <protection locked="0"/>
    </xf>
    <xf numFmtId="0" fontId="22" fillId="0" borderId="0" xfId="0" applyFont="1" applyAlignment="1" applyProtection="1">
      <alignment horizontal="left"/>
      <protection locked="0"/>
    </xf>
    <xf numFmtId="0" fontId="22" fillId="0" borderId="0" xfId="0" applyFont="1" applyAlignment="1" applyProtection="1">
      <alignment horizontal="left" vertical="top"/>
      <protection locked="0"/>
    </xf>
    <xf numFmtId="0" fontId="16" fillId="0" borderId="3" xfId="0" applyFont="1" applyBorder="1" applyProtection="1">
      <protection locked="0"/>
    </xf>
    <xf numFmtId="4" fontId="16" fillId="0" borderId="3" xfId="0" applyNumberFormat="1" applyFont="1" applyBorder="1" applyProtection="1">
      <protection locked="0"/>
    </xf>
    <xf numFmtId="0" fontId="22" fillId="0" borderId="8" xfId="0" applyFont="1" applyBorder="1" applyAlignment="1" applyProtection="1">
      <alignment horizontal="left"/>
      <protection locked="0"/>
    </xf>
    <xf numFmtId="0" fontId="22" fillId="0" borderId="8" xfId="0" applyFont="1" applyBorder="1" applyAlignment="1" applyProtection="1">
      <alignment horizontal="left" vertical="center"/>
      <protection locked="0"/>
    </xf>
    <xf numFmtId="0" fontId="22" fillId="0" borderId="8" xfId="0" applyFont="1" applyBorder="1" applyAlignment="1" applyProtection="1">
      <alignment horizontal="center" vertical="center"/>
      <protection locked="0"/>
    </xf>
    <xf numFmtId="0" fontId="21" fillId="0" borderId="19" xfId="0" applyFont="1" applyBorder="1" applyAlignment="1" applyProtection="1">
      <alignment horizontal="left"/>
      <protection locked="0"/>
    </xf>
    <xf numFmtId="0" fontId="21" fillId="0" borderId="19" xfId="0" applyFont="1" applyBorder="1" applyAlignment="1" applyProtection="1">
      <alignment horizontal="center"/>
      <protection locked="0"/>
    </xf>
    <xf numFmtId="4" fontId="21" fillId="0" borderId="19" xfId="0" applyNumberFormat="1" applyFont="1" applyBorder="1" applyProtection="1">
      <protection locked="0"/>
    </xf>
    <xf numFmtId="0" fontId="49" fillId="0" borderId="0" xfId="0" applyFont="1" applyAlignment="1" applyProtection="1">
      <alignment vertical="top"/>
      <protection locked="0"/>
    </xf>
    <xf numFmtId="0" fontId="13" fillId="0" borderId="0" xfId="11" applyFont="1" applyAlignment="1" applyProtection="1">
      <alignment horizontal="left" vertical="top" wrapText="1"/>
      <protection locked="0"/>
    </xf>
    <xf numFmtId="0" fontId="41" fillId="0" borderId="0" xfId="0" applyFont="1" applyAlignment="1" applyProtection="1">
      <alignment horizontal="center"/>
      <protection locked="0"/>
    </xf>
    <xf numFmtId="0" fontId="13" fillId="2" borderId="3" xfId="11" applyFont="1" applyFill="1" applyBorder="1" applyAlignment="1" applyProtection="1">
      <alignment vertical="center" wrapText="1"/>
      <protection locked="0"/>
    </xf>
    <xf numFmtId="0" fontId="13" fillId="0" borderId="0" xfId="11" applyFont="1" applyAlignment="1" applyProtection="1">
      <alignment vertical="center"/>
      <protection locked="0"/>
    </xf>
    <xf numFmtId="4" fontId="13" fillId="5" borderId="3" xfId="0" applyNumberFormat="1" applyFont="1" applyFill="1" applyBorder="1" applyAlignment="1" applyProtection="1">
      <alignment horizontal="center"/>
      <protection locked="0"/>
    </xf>
    <xf numFmtId="4" fontId="13" fillId="5" borderId="3" xfId="11" applyNumberFormat="1" applyFont="1" applyFill="1" applyBorder="1" applyProtection="1">
      <protection locked="0"/>
    </xf>
    <xf numFmtId="0" fontId="50" fillId="0" borderId="0" xfId="11" applyFont="1" applyAlignment="1" applyProtection="1">
      <alignment horizontal="center" vertical="center"/>
      <protection locked="0"/>
    </xf>
    <xf numFmtId="0" fontId="45" fillId="0" borderId="0" xfId="11" applyFont="1" applyAlignment="1" applyProtection="1">
      <alignment horizontal="right" vertical="top" wrapText="1"/>
      <protection locked="0"/>
    </xf>
    <xf numFmtId="0" fontId="14" fillId="0" borderId="0" xfId="11" applyFont="1" applyAlignment="1" applyProtection="1">
      <alignment horizontal="center" wrapText="1"/>
      <protection locked="0"/>
    </xf>
    <xf numFmtId="0" fontId="50" fillId="0" borderId="0" xfId="11" applyFont="1" applyAlignment="1" applyProtection="1">
      <alignment horizontal="center"/>
      <protection locked="0"/>
    </xf>
    <xf numFmtId="0" fontId="50" fillId="0" borderId="0" xfId="11" applyFont="1" applyAlignment="1" applyProtection="1">
      <alignment vertical="center"/>
      <protection locked="0"/>
    </xf>
    <xf numFmtId="0" fontId="52" fillId="0" borderId="0" xfId="11" applyFont="1" applyProtection="1">
      <protection locked="0"/>
    </xf>
    <xf numFmtId="0" fontId="13" fillId="0" borderId="0" xfId="11" applyFont="1" applyAlignment="1" applyProtection="1">
      <alignment horizontal="center" vertical="top"/>
      <protection locked="0"/>
    </xf>
    <xf numFmtId="0" fontId="13" fillId="0" borderId="3" xfId="11" applyFont="1" applyBorder="1" applyAlignment="1" applyProtection="1">
      <alignment horizontal="center" vertical="center" wrapText="1"/>
      <protection locked="0"/>
    </xf>
    <xf numFmtId="0" fontId="13" fillId="0" borderId="2" xfId="0" applyFont="1" applyBorder="1" applyProtection="1">
      <protection locked="0"/>
    </xf>
    <xf numFmtId="4" fontId="13" fillId="2" borderId="3" xfId="11" applyNumberFormat="1" applyFont="1" applyFill="1" applyBorder="1" applyAlignment="1" applyProtection="1">
      <alignment vertical="center" wrapText="1"/>
      <protection locked="0"/>
    </xf>
    <xf numFmtId="0" fontId="13" fillId="2" borderId="0" xfId="0" applyFont="1" applyFill="1" applyAlignment="1" applyProtection="1">
      <alignment wrapText="1"/>
      <protection locked="0"/>
    </xf>
    <xf numFmtId="0" fontId="43" fillId="0" borderId="0" xfId="0" applyFont="1" applyAlignment="1" applyProtection="1">
      <alignment wrapText="1"/>
      <protection locked="0"/>
    </xf>
    <xf numFmtId="0" fontId="13" fillId="9" borderId="3" xfId="11" applyFont="1" applyFill="1" applyBorder="1" applyAlignment="1" applyProtection="1">
      <alignment horizontal="left" vertical="center" wrapText="1"/>
      <protection locked="0"/>
    </xf>
    <xf numFmtId="14" fontId="13" fillId="0" borderId="3" xfId="0" applyNumberFormat="1" applyFont="1" applyBorder="1" applyAlignment="1" applyProtection="1">
      <alignment horizontal="center"/>
      <protection locked="0"/>
    </xf>
    <xf numFmtId="0" fontId="14" fillId="0" borderId="0" xfId="0" quotePrefix="1" applyFont="1" applyAlignment="1" applyProtection="1">
      <alignment horizontal="left" vertical="top"/>
      <protection locked="0"/>
    </xf>
    <xf numFmtId="0" fontId="50" fillId="4" borderId="0" xfId="10" applyNumberFormat="1" applyFont="1" applyFill="1" applyAlignment="1" applyProtection="1">
      <alignment vertical="center"/>
      <protection locked="0"/>
    </xf>
    <xf numFmtId="0" fontId="13" fillId="9" borderId="3" xfId="11" applyFont="1" applyFill="1" applyBorder="1" applyAlignment="1" applyProtection="1">
      <alignment vertical="center" wrapText="1"/>
      <protection locked="0"/>
    </xf>
    <xf numFmtId="4" fontId="13" fillId="14" borderId="0" xfId="1507" applyNumberFormat="1" applyFont="1" applyFill="1" applyAlignment="1" applyProtection="1">
      <alignment horizontal="left"/>
      <protection locked="0"/>
    </xf>
    <xf numFmtId="0" fontId="13" fillId="15" borderId="0" xfId="1507" applyFont="1" applyFill="1" applyAlignment="1" applyProtection="1">
      <alignment horizontal="left" vertical="top" wrapText="1"/>
      <protection locked="0"/>
    </xf>
    <xf numFmtId="0" fontId="39" fillId="0" borderId="0" xfId="3" applyFont="1" applyAlignment="1" applyProtection="1">
      <alignment horizontal="center" vertical="top"/>
      <protection locked="0"/>
    </xf>
    <xf numFmtId="0" fontId="43" fillId="0" borderId="0" xfId="3" applyFont="1" applyAlignment="1" applyProtection="1">
      <alignment horizontal="left" vertical="top"/>
      <protection locked="0"/>
    </xf>
    <xf numFmtId="0" fontId="13" fillId="9" borderId="0" xfId="0" applyFont="1" applyFill="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39" fillId="0" borderId="0" xfId="3" applyFont="1" applyAlignment="1" applyProtection="1">
      <alignment horizontal="center"/>
      <protection locked="0"/>
    </xf>
    <xf numFmtId="4" fontId="13" fillId="2" borderId="0" xfId="0" applyNumberFormat="1" applyFont="1" applyFill="1" applyAlignment="1" applyProtection="1">
      <alignment horizontal="right" vertical="top" wrapText="1"/>
      <protection locked="0"/>
    </xf>
    <xf numFmtId="0" fontId="14" fillId="0" borderId="0" xfId="0" applyFont="1" applyAlignment="1" applyProtection="1">
      <alignment horizontal="center"/>
      <protection locked="0"/>
    </xf>
    <xf numFmtId="0" fontId="14" fillId="0" borderId="0" xfId="0" applyFont="1" applyAlignment="1" applyProtection="1">
      <alignment horizontal="left" vertical="top" wrapText="1"/>
      <protection locked="0"/>
    </xf>
    <xf numFmtId="0" fontId="14" fillId="0" borderId="3" xfId="11"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43" fillId="0" borderId="0" xfId="0" applyFont="1" applyAlignment="1" applyProtection="1">
      <alignment horizontal="left" vertical="top" wrapText="1"/>
      <protection locked="0"/>
    </xf>
    <xf numFmtId="4" fontId="13" fillId="6" borderId="3" xfId="11" applyNumberFormat="1" applyFont="1" applyFill="1" applyBorder="1" applyAlignment="1" applyProtection="1">
      <alignment vertical="center" wrapText="1"/>
      <protection locked="0"/>
    </xf>
    <xf numFmtId="4" fontId="13" fillId="9" borderId="3" xfId="0" applyNumberFormat="1" applyFont="1" applyFill="1" applyBorder="1" applyAlignment="1" applyProtection="1">
      <alignment horizontal="right" vertical="center"/>
      <protection locked="0"/>
    </xf>
    <xf numFmtId="0" fontId="13" fillId="0" borderId="0" xfId="0" applyFont="1" applyAlignment="1" applyProtection="1">
      <alignment horizontal="left" wrapText="1"/>
      <protection locked="0"/>
    </xf>
    <xf numFmtId="0" fontId="13" fillId="0" borderId="3" xfId="0" applyFont="1" applyBorder="1" applyAlignment="1" applyProtection="1">
      <alignment horizontal="center" vertical="center"/>
      <protection locked="0"/>
    </xf>
    <xf numFmtId="0" fontId="13" fillId="2" borderId="3" xfId="0" applyFont="1" applyFill="1" applyBorder="1" applyAlignment="1" applyProtection="1">
      <alignment horizontal="left" vertical="center"/>
      <protection locked="0"/>
    </xf>
    <xf numFmtId="0" fontId="39" fillId="0" borderId="0" xfId="3" applyNumberFormat="1" applyFont="1" applyAlignment="1" applyProtection="1">
      <alignment horizontal="center"/>
      <protection locked="0"/>
    </xf>
    <xf numFmtId="0" fontId="43" fillId="0" borderId="0" xfId="0" applyFont="1" applyAlignment="1" applyProtection="1">
      <alignment horizontal="left" wrapText="1"/>
      <protection locked="0"/>
    </xf>
    <xf numFmtId="4" fontId="13" fillId="9" borderId="3" xfId="11" applyNumberFormat="1" applyFont="1" applyFill="1" applyBorder="1" applyAlignment="1" applyProtection="1">
      <alignment horizontal="right" vertical="center" wrapText="1"/>
      <protection locked="0"/>
    </xf>
    <xf numFmtId="0" fontId="43" fillId="0" borderId="0" xfId="0" applyFont="1" applyAlignment="1" applyProtection="1">
      <alignment horizontal="justify" vertical="top" wrapText="1"/>
      <protection locked="0"/>
    </xf>
    <xf numFmtId="4" fontId="13" fillId="2" borderId="3" xfId="0" applyNumberFormat="1" applyFont="1" applyFill="1" applyBorder="1" applyAlignment="1" applyProtection="1">
      <alignment horizontal="right" vertical="center"/>
      <protection locked="0"/>
    </xf>
    <xf numFmtId="4" fontId="13" fillId="6" borderId="10" xfId="0" applyNumberFormat="1" applyFont="1" applyFill="1" applyBorder="1" applyAlignment="1" applyProtection="1">
      <alignment horizontal="right" vertical="center"/>
      <protection locked="0"/>
    </xf>
    <xf numFmtId="4" fontId="13" fillId="9" borderId="10" xfId="0" applyNumberFormat="1" applyFont="1" applyFill="1" applyBorder="1" applyAlignment="1" applyProtection="1">
      <alignment horizontal="right" vertical="center" wrapText="1"/>
      <protection locked="0"/>
    </xf>
    <xf numFmtId="4" fontId="13" fillId="6" borderId="10" xfId="0" applyNumberFormat="1" applyFont="1" applyFill="1" applyBorder="1" applyAlignment="1" applyProtection="1">
      <alignment vertical="center"/>
      <protection locked="0"/>
    </xf>
    <xf numFmtId="0" fontId="13" fillId="0" borderId="4" xfId="0" applyFont="1" applyBorder="1" applyAlignment="1" applyProtection="1">
      <alignment horizontal="center" vertical="center"/>
      <protection locked="0"/>
    </xf>
    <xf numFmtId="4" fontId="13" fillId="9" borderId="10" xfId="0" applyNumberFormat="1" applyFont="1" applyFill="1" applyBorder="1" applyAlignment="1" applyProtection="1">
      <alignment vertical="center" wrapText="1"/>
      <protection locked="0"/>
    </xf>
    <xf numFmtId="0" fontId="63" fillId="0" borderId="0" xfId="5" applyFont="1" applyAlignment="1" applyProtection="1">
      <alignment horizontal="left" vertical="top" wrapText="1"/>
      <protection locked="0"/>
    </xf>
    <xf numFmtId="0" fontId="64" fillId="0" borderId="0" xfId="11" applyFont="1" applyAlignment="1" applyProtection="1">
      <alignment horizontal="center" vertical="center" wrapText="1"/>
      <protection locked="0"/>
    </xf>
    <xf numFmtId="0" fontId="13" fillId="0" borderId="0" xfId="9" applyFont="1" applyAlignment="1" applyProtection="1">
      <alignment horizontal="left" vertical="center"/>
      <protection locked="0"/>
    </xf>
    <xf numFmtId="167" fontId="13" fillId="6" borderId="3" xfId="9" applyNumberFormat="1" applyFont="1" applyFill="1" applyBorder="1" applyAlignment="1" applyProtection="1">
      <alignment horizontal="center" vertical="center"/>
      <protection locked="0"/>
    </xf>
    <xf numFmtId="0" fontId="13" fillId="0" borderId="0" xfId="9" applyFont="1" applyAlignment="1" applyProtection="1">
      <alignment vertical="center"/>
      <protection locked="0"/>
    </xf>
    <xf numFmtId="9" fontId="13" fillId="2" borderId="3" xfId="12" applyFont="1" applyFill="1" applyBorder="1" applyAlignment="1" applyProtection="1">
      <alignment horizontal="center" vertical="center"/>
      <protection locked="0"/>
    </xf>
    <xf numFmtId="0" fontId="43" fillId="0" borderId="0" xfId="0" applyFont="1" applyAlignment="1" applyProtection="1">
      <alignment vertical="top" wrapText="1"/>
      <protection locked="0"/>
    </xf>
    <xf numFmtId="0" fontId="59" fillId="0" borderId="0" xfId="0" applyFont="1" applyAlignment="1" applyProtection="1">
      <alignment horizontal="left" vertical="top" wrapText="1"/>
      <protection locked="0"/>
    </xf>
    <xf numFmtId="0" fontId="13" fillId="9" borderId="3" xfId="0" quotePrefix="1" applyFont="1" applyFill="1" applyBorder="1" applyAlignment="1" applyProtection="1">
      <alignment horizontal="center" vertical="center" wrapText="1"/>
      <protection locked="0"/>
    </xf>
    <xf numFmtId="4" fontId="13" fillId="6" borderId="3" xfId="0" applyNumberFormat="1" applyFont="1" applyFill="1" applyBorder="1" applyAlignment="1" applyProtection="1">
      <alignment vertical="center"/>
      <protection locked="0"/>
    </xf>
    <xf numFmtId="4" fontId="13" fillId="9" borderId="3" xfId="0" applyNumberFormat="1" applyFont="1" applyFill="1" applyBorder="1" applyAlignment="1" applyProtection="1">
      <alignment horizontal="right" vertical="center" wrapText="1"/>
      <protection locked="0"/>
    </xf>
    <xf numFmtId="0" fontId="98" fillId="19" borderId="33" xfId="0" applyFont="1" applyFill="1" applyBorder="1" applyProtection="1">
      <protection locked="0"/>
    </xf>
    <xf numFmtId="0" fontId="10" fillId="0" borderId="0" xfId="1332" applyProtection="1">
      <protection locked="0"/>
    </xf>
    <xf numFmtId="0" fontId="0" fillId="0" borderId="33" xfId="0" applyBorder="1" applyProtection="1">
      <protection locked="0"/>
    </xf>
    <xf numFmtId="0" fontId="10" fillId="0" borderId="0" xfId="0" applyFont="1" applyProtection="1">
      <protection locked="0"/>
    </xf>
    <xf numFmtId="0" fontId="0" fillId="0" borderId="36" xfId="0" applyBorder="1" applyProtection="1">
      <protection locked="0"/>
    </xf>
    <xf numFmtId="0" fontId="0" fillId="0" borderId="34" xfId="0" applyBorder="1" applyProtection="1">
      <protection locked="0"/>
    </xf>
    <xf numFmtId="0" fontId="0" fillId="0" borderId="37" xfId="0" applyBorder="1" applyProtection="1">
      <protection locked="0"/>
    </xf>
    <xf numFmtId="0" fontId="10" fillId="0" borderId="35" xfId="0" applyFont="1" applyBorder="1" applyProtection="1">
      <protection locked="0"/>
    </xf>
    <xf numFmtId="0" fontId="0" fillId="0" borderId="35" xfId="0" applyBorder="1" applyProtection="1">
      <protection locked="0"/>
    </xf>
    <xf numFmtId="0" fontId="0" fillId="0" borderId="38" xfId="0" applyBorder="1" applyProtection="1">
      <protection locked="0"/>
    </xf>
    <xf numFmtId="0" fontId="14" fillId="0" borderId="0" xfId="0" applyFont="1" applyAlignment="1" applyProtection="1">
      <alignment horizontal="justify" wrapText="1"/>
      <protection locked="0"/>
    </xf>
    <xf numFmtId="0" fontId="47" fillId="0" borderId="0" xfId="0" applyFont="1" applyAlignment="1" applyProtection="1">
      <alignment horizontal="justify" wrapText="1"/>
      <protection locked="0"/>
    </xf>
    <xf numFmtId="0" fontId="13" fillId="0" borderId="0" xfId="0" applyFont="1" applyAlignment="1" applyProtection="1">
      <alignment horizontal="justify" wrapText="1"/>
      <protection locked="0"/>
    </xf>
    <xf numFmtId="0" fontId="14" fillId="0" borderId="0" xfId="0" applyFont="1" applyAlignment="1" applyProtection="1">
      <alignment horizontal="center" wrapText="1"/>
      <protection locked="0"/>
    </xf>
    <xf numFmtId="0" fontId="102" fillId="0" borderId="0" xfId="0" applyFont="1" applyAlignment="1" applyProtection="1">
      <alignment horizontal="left" wrapText="1"/>
      <protection locked="0"/>
    </xf>
    <xf numFmtId="0" fontId="102" fillId="0" borderId="0" xfId="3" applyFont="1" applyFill="1" applyAlignment="1" applyProtection="1">
      <alignment horizontal="left" vertical="top" wrapText="1"/>
      <protection locked="0"/>
    </xf>
    <xf numFmtId="0" fontId="40" fillId="0" borderId="0" xfId="3" applyFont="1" applyAlignment="1" applyProtection="1">
      <alignment vertical="top" wrapText="1"/>
      <protection locked="0"/>
    </xf>
    <xf numFmtId="4" fontId="14" fillId="0" borderId="0" xfId="6" applyNumberFormat="1" applyFont="1" applyAlignment="1" applyProtection="1">
      <alignment vertical="top"/>
      <protection locked="0"/>
    </xf>
    <xf numFmtId="0" fontId="39" fillId="0" borderId="0" xfId="3" applyFont="1" applyBorder="1" applyAlignment="1" applyProtection="1">
      <protection locked="0"/>
    </xf>
    <xf numFmtId="0" fontId="13" fillId="0" borderId="0" xfId="6" applyFont="1" applyAlignment="1" applyProtection="1">
      <alignment vertical="top"/>
      <protection locked="0"/>
    </xf>
    <xf numFmtId="14" fontId="13" fillId="0" borderId="0" xfId="6" applyNumberFormat="1" applyFont="1" applyProtection="1">
      <protection locked="0"/>
    </xf>
    <xf numFmtId="4" fontId="13" fillId="0" borderId="0" xfId="6" applyNumberFormat="1" applyFont="1" applyProtection="1">
      <protection locked="0"/>
    </xf>
    <xf numFmtId="0" fontId="14" fillId="0" borderId="24" xfId="6" applyFont="1" applyBorder="1" applyProtection="1">
      <protection locked="0"/>
    </xf>
    <xf numFmtId="0" fontId="13" fillId="0" borderId="25" xfId="6" applyFont="1" applyBorder="1" applyProtection="1">
      <protection locked="0"/>
    </xf>
    <xf numFmtId="0" fontId="14" fillId="0" borderId="29" xfId="6" applyFont="1" applyBorder="1" applyProtection="1">
      <protection locked="0"/>
    </xf>
    <xf numFmtId="0" fontId="14" fillId="0" borderId="27" xfId="6" applyFont="1" applyBorder="1" applyProtection="1">
      <protection locked="0"/>
    </xf>
    <xf numFmtId="0" fontId="13" fillId="0" borderId="1" xfId="6" applyFont="1" applyBorder="1" applyProtection="1">
      <protection locked="0"/>
    </xf>
    <xf numFmtId="0" fontId="13" fillId="0" borderId="3" xfId="6" applyFont="1" applyBorder="1" applyProtection="1">
      <protection locked="0"/>
    </xf>
    <xf numFmtId="0" fontId="13" fillId="0" borderId="4" xfId="6" applyFont="1" applyBorder="1" applyAlignment="1" applyProtection="1">
      <alignment wrapText="1"/>
      <protection locked="0"/>
    </xf>
    <xf numFmtId="0" fontId="13" fillId="0" borderId="3" xfId="6" applyFont="1" applyBorder="1" applyAlignment="1" applyProtection="1">
      <alignment wrapText="1"/>
      <protection locked="0"/>
    </xf>
    <xf numFmtId="0" fontId="13" fillId="0" borderId="5" xfId="6" applyFont="1" applyBorder="1" applyAlignment="1" applyProtection="1">
      <alignment wrapText="1"/>
      <protection locked="0"/>
    </xf>
    <xf numFmtId="0" fontId="13" fillId="0" borderId="6" xfId="6" applyFont="1" applyBorder="1" applyAlignment="1" applyProtection="1">
      <alignment horizontal="right"/>
      <protection locked="0"/>
    </xf>
    <xf numFmtId="0" fontId="13" fillId="2" borderId="0" xfId="6" applyFont="1" applyFill="1" applyAlignment="1" applyProtection="1">
      <alignment horizontal="right"/>
      <protection locked="0"/>
    </xf>
    <xf numFmtId="0" fontId="14" fillId="9" borderId="0" xfId="6" applyFont="1" applyFill="1" applyAlignment="1" applyProtection="1">
      <alignment horizontal="left"/>
      <protection locked="0"/>
    </xf>
    <xf numFmtId="0" fontId="82" fillId="0" borderId="0" xfId="6" applyFont="1" applyProtection="1">
      <protection locked="0"/>
    </xf>
    <xf numFmtId="0" fontId="14" fillId="0" borderId="0" xfId="6" applyFont="1" applyProtection="1">
      <protection locked="0"/>
    </xf>
    <xf numFmtId="0" fontId="14" fillId="0" borderId="0" xfId="11" applyFont="1" applyProtection="1">
      <protection locked="0"/>
    </xf>
    <xf numFmtId="0" fontId="54" fillId="0" borderId="0" xfId="6" applyFont="1" applyProtection="1">
      <protection locked="0"/>
    </xf>
    <xf numFmtId="0" fontId="0" fillId="9" borderId="0" xfId="0" applyFill="1" applyProtection="1">
      <protection locked="0"/>
    </xf>
    <xf numFmtId="0" fontId="39" fillId="14" borderId="0" xfId="3" applyFont="1" applyFill="1" applyBorder="1" applyAlignment="1" applyProtection="1">
      <protection locked="0"/>
    </xf>
    <xf numFmtId="0" fontId="13" fillId="9" borderId="0" xfId="1332" applyFont="1" applyFill="1" applyProtection="1">
      <protection locked="0"/>
    </xf>
    <xf numFmtId="0" fontId="8" fillId="0" borderId="0" xfId="2226" applyProtection="1">
      <protection locked="0"/>
    </xf>
    <xf numFmtId="0" fontId="43" fillId="0" borderId="0" xfId="3" applyFont="1" applyAlignment="1" applyProtection="1">
      <alignment horizontal="left"/>
      <protection locked="0"/>
    </xf>
    <xf numFmtId="0" fontId="39" fillId="0" borderId="0" xfId="3" applyFont="1" applyBorder="1" applyAlignment="1" applyProtection="1">
      <alignment horizontal="center"/>
      <protection locked="0"/>
    </xf>
    <xf numFmtId="0" fontId="43" fillId="0" borderId="0" xfId="3" applyFont="1" applyBorder="1" applyAlignment="1" applyProtection="1">
      <alignment vertical="top"/>
      <protection locked="0"/>
    </xf>
    <xf numFmtId="0" fontId="51" fillId="0" borderId="0" xfId="11" applyFont="1" applyAlignment="1" applyProtection="1">
      <alignment vertical="center"/>
      <protection locked="0"/>
    </xf>
    <xf numFmtId="0" fontId="51" fillId="12" borderId="3" xfId="11" applyFont="1" applyFill="1" applyBorder="1" applyAlignment="1" applyProtection="1">
      <alignment vertical="center" wrapText="1"/>
      <protection locked="0"/>
    </xf>
    <xf numFmtId="4" fontId="13" fillId="0" borderId="4" xfId="0" applyNumberFormat="1" applyFont="1" applyBorder="1" applyAlignment="1" applyProtection="1">
      <alignment horizontal="center"/>
      <protection locked="0"/>
    </xf>
    <xf numFmtId="4" fontId="13" fillId="5" borderId="4" xfId="11" applyNumberFormat="1" applyFont="1" applyFill="1" applyBorder="1" applyAlignment="1" applyProtection="1">
      <alignment vertical="center" wrapText="1"/>
      <protection locked="0"/>
    </xf>
    <xf numFmtId="4" fontId="13" fillId="5" borderId="0" xfId="11" applyNumberFormat="1" applyFont="1" applyFill="1" applyAlignment="1" applyProtection="1">
      <alignment vertical="center" wrapText="1"/>
      <protection locked="0"/>
    </xf>
    <xf numFmtId="0" fontId="51" fillId="0" borderId="0" xfId="11" applyFont="1" applyProtection="1">
      <protection locked="0"/>
    </xf>
    <xf numFmtId="4" fontId="13" fillId="5" borderId="3" xfId="11" applyNumberFormat="1" applyFont="1" applyFill="1" applyBorder="1" applyAlignment="1" applyProtection="1">
      <alignment vertical="center" wrapText="1"/>
      <protection locked="0"/>
    </xf>
    <xf numFmtId="4" fontId="51" fillId="0" borderId="3" xfId="11" applyNumberFormat="1" applyFont="1" applyBorder="1" applyAlignment="1" applyProtection="1">
      <alignment vertical="center" wrapText="1"/>
      <protection locked="0"/>
    </xf>
    <xf numFmtId="4" fontId="13" fillId="0" borderId="0" xfId="11" applyNumberFormat="1" applyFont="1" applyProtection="1">
      <protection locked="0"/>
    </xf>
    <xf numFmtId="0" fontId="13" fillId="0" borderId="0" xfId="11" applyFont="1" applyAlignment="1" applyProtection="1">
      <alignment wrapText="1"/>
      <protection locked="0"/>
    </xf>
    <xf numFmtId="0" fontId="64" fillId="0" borderId="0" xfId="11" applyFont="1" applyProtection="1">
      <protection locked="0"/>
    </xf>
    <xf numFmtId="0" fontId="13" fillId="9" borderId="0" xfId="11" applyFont="1" applyFill="1" applyProtection="1">
      <protection locked="0"/>
    </xf>
    <xf numFmtId="0" fontId="51" fillId="2" borderId="3" xfId="11" applyFont="1" applyFill="1" applyBorder="1" applyAlignment="1" applyProtection="1">
      <alignment vertical="center" wrapText="1"/>
      <protection locked="0"/>
    </xf>
    <xf numFmtId="0" fontId="27" fillId="0" borderId="0" xfId="6" applyFont="1" applyAlignment="1" applyProtection="1">
      <alignment horizontal="left" vertical="top" wrapText="1"/>
      <protection locked="0"/>
    </xf>
    <xf numFmtId="0" fontId="20" fillId="0" borderId="0" xfId="6" applyFont="1" applyAlignment="1" applyProtection="1">
      <alignment vertical="top" wrapText="1"/>
      <protection locked="0"/>
    </xf>
    <xf numFmtId="0" fontId="13" fillId="0" borderId="0" xfId="2225" applyNumberFormat="1" applyAlignment="1" applyProtection="1">
      <alignment vertical="top" wrapText="1"/>
      <protection locked="0"/>
    </xf>
    <xf numFmtId="0" fontId="13" fillId="0" borderId="0" xfId="2225" applyNumberFormat="1" applyAlignment="1" applyProtection="1">
      <alignment horizontal="left" vertical="top" wrapText="1"/>
      <protection locked="0"/>
    </xf>
    <xf numFmtId="0" fontId="13" fillId="21" borderId="0" xfId="2225" applyNumberFormat="1" applyFill="1" applyAlignment="1" applyProtection="1">
      <alignment vertical="top" wrapText="1"/>
      <protection locked="0"/>
    </xf>
    <xf numFmtId="0" fontId="27" fillId="0" borderId="0" xfId="0" applyFont="1" applyAlignment="1" applyProtection="1">
      <alignment vertical="top"/>
      <protection locked="0"/>
    </xf>
    <xf numFmtId="0" fontId="66" fillId="0" borderId="0" xfId="0" applyFont="1" applyAlignment="1" applyProtection="1">
      <alignment vertical="top" wrapText="1"/>
      <protection locked="0"/>
    </xf>
    <xf numFmtId="0" fontId="10" fillId="0" borderId="0" xfId="6" applyFont="1" applyAlignment="1" applyProtection="1">
      <alignment vertical="top"/>
      <protection locked="0"/>
    </xf>
    <xf numFmtId="0" fontId="27" fillId="0" borderId="0" xfId="6" applyFont="1" applyAlignment="1" applyProtection="1">
      <alignment horizontal="right" vertical="top" wrapText="1"/>
      <protection locked="0"/>
    </xf>
    <xf numFmtId="0" fontId="75" fillId="0" borderId="0" xfId="6" applyFont="1" applyAlignment="1" applyProtection="1">
      <alignment vertical="top" wrapText="1"/>
      <protection locked="0"/>
    </xf>
    <xf numFmtId="0" fontId="27" fillId="0" borderId="0" xfId="6" applyFont="1" applyAlignment="1" applyProtection="1">
      <alignment wrapText="1"/>
      <protection locked="0"/>
    </xf>
    <xf numFmtId="0" fontId="43" fillId="0" borderId="0" xfId="0" applyFont="1" applyAlignment="1" applyProtection="1">
      <alignment horizontal="left" vertical="top"/>
      <protection locked="0"/>
    </xf>
    <xf numFmtId="0" fontId="75" fillId="0" borderId="0" xfId="6" applyFont="1" applyAlignment="1" applyProtection="1">
      <alignment wrapText="1"/>
      <protection locked="0"/>
    </xf>
    <xf numFmtId="0" fontId="10" fillId="0" borderId="0" xfId="6" applyFont="1" applyAlignment="1" applyProtection="1">
      <alignment wrapText="1"/>
      <protection locked="0"/>
    </xf>
    <xf numFmtId="0" fontId="27" fillId="0" borderId="0" xfId="6" quotePrefix="1" applyFont="1" applyAlignment="1" applyProtection="1">
      <alignment wrapText="1"/>
      <protection locked="0"/>
    </xf>
    <xf numFmtId="0" fontId="27" fillId="0" borderId="0" xfId="6" quotePrefix="1" applyFont="1" applyAlignment="1" applyProtection="1">
      <alignment vertical="top" wrapText="1"/>
      <protection locked="0"/>
    </xf>
    <xf numFmtId="0" fontId="27" fillId="21" borderId="0" xfId="6" applyFont="1" applyFill="1" applyAlignment="1" applyProtection="1">
      <alignment vertical="top" wrapText="1"/>
      <protection locked="0"/>
    </xf>
    <xf numFmtId="0" fontId="13" fillId="21" borderId="0" xfId="0" applyFont="1" applyFill="1" applyAlignment="1" applyProtection="1">
      <alignment vertical="top" wrapText="1"/>
      <protection locked="0"/>
    </xf>
    <xf numFmtId="0" fontId="0" fillId="0" borderId="0" xfId="0" applyAlignment="1" applyProtection="1">
      <alignment vertical="top"/>
      <protection locked="0"/>
    </xf>
    <xf numFmtId="0" fontId="13" fillId="0" borderId="0" xfId="0" applyFont="1" applyAlignment="1" applyProtection="1">
      <alignment horizontal="justify" vertical="top"/>
      <protection locked="0"/>
    </xf>
    <xf numFmtId="0" fontId="95" fillId="0" borderId="0" xfId="6" applyFont="1" applyAlignment="1" applyProtection="1">
      <alignment vertical="top" wrapText="1"/>
      <protection locked="0"/>
    </xf>
    <xf numFmtId="0" fontId="13" fillId="0" borderId="0" xfId="0" applyFont="1" applyAlignment="1" applyProtection="1">
      <alignment horizontal="justify" vertical="top" wrapText="1"/>
      <protection locked="0"/>
    </xf>
    <xf numFmtId="9" fontId="13" fillId="0" borderId="0" xfId="0" applyNumberFormat="1" applyFont="1" applyAlignment="1" applyProtection="1">
      <alignment horizontal="justify" vertical="top" wrapText="1"/>
      <protection locked="0"/>
    </xf>
    <xf numFmtId="4" fontId="10" fillId="0" borderId="0" xfId="6" applyNumberFormat="1" applyFont="1" applyAlignment="1" applyProtection="1">
      <alignment vertical="top" wrapText="1"/>
      <protection locked="0"/>
    </xf>
    <xf numFmtId="4" fontId="27" fillId="0" borderId="0" xfId="6" quotePrefix="1" applyNumberFormat="1" applyFont="1" applyAlignment="1" applyProtection="1">
      <alignment vertical="top" wrapText="1"/>
      <protection locked="0"/>
    </xf>
    <xf numFmtId="0" fontId="14" fillId="0" borderId="0" xfId="0" applyFont="1" applyAlignment="1" applyProtection="1">
      <alignment horizontal="justify" vertical="top"/>
      <protection locked="0"/>
    </xf>
    <xf numFmtId="0" fontId="27" fillId="9" borderId="0" xfId="6" applyFont="1" applyFill="1" applyAlignment="1" applyProtection="1">
      <alignment vertical="top" wrapText="1"/>
      <protection locked="0"/>
    </xf>
    <xf numFmtId="0" fontId="66" fillId="0" borderId="0" xfId="0" applyFont="1" applyProtection="1">
      <protection locked="0"/>
    </xf>
    <xf numFmtId="0" fontId="27" fillId="18" borderId="0" xfId="6" applyFont="1" applyFill="1" applyAlignment="1" applyProtection="1">
      <alignment vertical="top" wrapText="1"/>
      <protection locked="0"/>
    </xf>
    <xf numFmtId="0" fontId="10" fillId="18" borderId="0" xfId="6" applyFont="1" applyFill="1" applyAlignment="1" applyProtection="1">
      <alignment vertical="top" wrapText="1"/>
      <protection locked="0"/>
    </xf>
    <xf numFmtId="49" fontId="27" fillId="0" borderId="0" xfId="6" applyNumberFormat="1" applyFont="1" applyAlignment="1" applyProtection="1">
      <alignment vertical="top" wrapText="1"/>
      <protection locked="0"/>
    </xf>
    <xf numFmtId="49" fontId="30" fillId="0" borderId="0" xfId="6" applyNumberFormat="1" applyFont="1" applyAlignment="1" applyProtection="1">
      <alignment vertical="top" wrapText="1"/>
      <protection locked="0"/>
    </xf>
    <xf numFmtId="0" fontId="30" fillId="0" borderId="0" xfId="6" applyFont="1" applyAlignment="1" applyProtection="1">
      <alignment vertical="top" wrapText="1"/>
      <protection locked="0"/>
    </xf>
    <xf numFmtId="0" fontId="10" fillId="0" borderId="0" xfId="0" applyFont="1" applyAlignment="1" applyProtection="1">
      <alignment vertical="top" wrapText="1"/>
      <protection locked="0"/>
    </xf>
    <xf numFmtId="0" fontId="10" fillId="0" borderId="0" xfId="0" quotePrefix="1" applyFont="1" applyAlignment="1" applyProtection="1">
      <alignment vertical="top" wrapText="1"/>
      <protection locked="0"/>
    </xf>
    <xf numFmtId="4" fontId="30" fillId="0" borderId="0" xfId="6" applyNumberFormat="1" applyFont="1" applyAlignment="1" applyProtection="1">
      <alignment vertical="top" wrapText="1"/>
      <protection locked="0"/>
    </xf>
    <xf numFmtId="0" fontId="64" fillId="0" borderId="32" xfId="0" applyFont="1" applyBorder="1" applyAlignment="1" applyProtection="1">
      <alignment horizontal="left" vertical="top" wrapText="1"/>
      <protection locked="0"/>
    </xf>
    <xf numFmtId="0" fontId="10" fillId="0" borderId="0" xfId="6" applyFont="1" applyAlignment="1" applyProtection="1">
      <alignment horizontal="left" vertical="top" wrapText="1"/>
      <protection locked="0"/>
    </xf>
    <xf numFmtId="0" fontId="94" fillId="0" borderId="0" xfId="2230" applyFont="1" applyAlignment="1" applyProtection="1">
      <alignment vertical="top" wrapText="1"/>
      <protection locked="0"/>
    </xf>
    <xf numFmtId="0" fontId="94" fillId="0" borderId="0" xfId="2230" applyFont="1" applyAlignment="1" applyProtection="1">
      <alignment horizontal="justify" vertical="top" wrapText="1"/>
      <protection locked="0"/>
    </xf>
    <xf numFmtId="0" fontId="74" fillId="0" borderId="0" xfId="6" applyFont="1" applyAlignment="1" applyProtection="1">
      <alignment vertical="top" wrapText="1"/>
      <protection locked="0"/>
    </xf>
    <xf numFmtId="0" fontId="64" fillId="0" borderId="32" xfId="0" applyFont="1" applyBorder="1" applyAlignment="1" applyProtection="1">
      <alignment horizontal="left" vertical="center" wrapText="1"/>
      <protection locked="0"/>
    </xf>
    <xf numFmtId="0" fontId="59" fillId="0" borderId="0" xfId="0" applyFont="1" applyAlignment="1" applyProtection="1">
      <alignment vertical="top" wrapText="1"/>
      <protection locked="0"/>
    </xf>
    <xf numFmtId="4" fontId="47" fillId="0" borderId="0" xfId="0" applyNumberFormat="1" applyFont="1" applyAlignment="1" applyProtection="1">
      <alignment vertical="top" wrapText="1"/>
      <protection locked="0"/>
    </xf>
    <xf numFmtId="4" fontId="47" fillId="0" borderId="13" xfId="0" applyNumberFormat="1" applyFont="1" applyBorder="1" applyAlignment="1" applyProtection="1">
      <alignment vertical="top" wrapText="1"/>
      <protection locked="0"/>
    </xf>
    <xf numFmtId="0" fontId="66" fillId="0" borderId="0" xfId="0" applyFont="1" applyAlignment="1" applyProtection="1">
      <alignment wrapText="1"/>
      <protection locked="0"/>
    </xf>
    <xf numFmtId="0" fontId="27" fillId="0" borderId="0" xfId="6" applyFont="1" applyAlignment="1" applyProtection="1">
      <alignment horizontal="left" wrapText="1"/>
      <protection locked="0"/>
    </xf>
    <xf numFmtId="0" fontId="6" fillId="0" borderId="0" xfId="6" applyFont="1" applyAlignment="1" applyProtection="1">
      <alignment vertical="top" wrapText="1"/>
      <protection locked="0"/>
    </xf>
    <xf numFmtId="0" fontId="10" fillId="0" borderId="0" xfId="6" quotePrefix="1" applyFont="1" applyAlignment="1" applyProtection="1">
      <alignment vertical="top" wrapText="1"/>
      <protection locked="0"/>
    </xf>
    <xf numFmtId="0" fontId="27"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95" fillId="0" borderId="0" xfId="0" applyFont="1" applyAlignment="1" applyProtection="1">
      <alignment vertical="top" wrapText="1"/>
      <protection locked="0"/>
    </xf>
    <xf numFmtId="172" fontId="88" fillId="0" borderId="0" xfId="2230" applyNumberFormat="1" applyFont="1" applyAlignment="1" applyProtection="1">
      <alignment vertical="top"/>
      <protection locked="0"/>
    </xf>
    <xf numFmtId="172" fontId="89" fillId="0" borderId="0" xfId="2230" applyNumberFormat="1" applyFont="1" applyAlignment="1" applyProtection="1">
      <alignment vertical="top"/>
      <protection locked="0"/>
    </xf>
    <xf numFmtId="172" fontId="90" fillId="0" borderId="0" xfId="2230" applyNumberFormat="1" applyFont="1" applyAlignment="1" applyProtection="1">
      <alignment vertical="top"/>
      <protection locked="0"/>
    </xf>
    <xf numFmtId="172" fontId="91" fillId="0" borderId="0" xfId="2230" applyNumberFormat="1" applyFont="1" applyAlignment="1" applyProtection="1">
      <alignment vertical="top"/>
      <protection locked="0"/>
    </xf>
    <xf numFmtId="172" fontId="92" fillId="0" borderId="0" xfId="2230" applyNumberFormat="1" applyFont="1" applyAlignment="1" applyProtection="1">
      <alignment vertical="top" wrapText="1"/>
      <protection locked="0"/>
    </xf>
    <xf numFmtId="172" fontId="92" fillId="0" borderId="0" xfId="2230" applyNumberFormat="1" applyFont="1" applyAlignment="1" applyProtection="1">
      <alignment horizontal="left" vertical="top" wrapText="1"/>
      <protection locked="0"/>
    </xf>
    <xf numFmtId="0" fontId="93" fillId="0" borderId="0" xfId="0" applyFont="1" applyAlignment="1" applyProtection="1">
      <alignment vertical="top" wrapText="1"/>
      <protection locked="0"/>
    </xf>
    <xf numFmtId="0" fontId="93" fillId="0" borderId="0" xfId="0" applyFont="1" applyAlignment="1" applyProtection="1">
      <alignment horizontal="justify" vertical="top" wrapText="1"/>
      <protection locked="0"/>
    </xf>
    <xf numFmtId="0" fontId="66" fillId="0" borderId="0" xfId="0" applyFont="1" applyAlignment="1" applyProtection="1">
      <alignment horizontal="justify" vertical="center"/>
      <protection locked="0"/>
    </xf>
    <xf numFmtId="0" fontId="66" fillId="0" borderId="0" xfId="0" quotePrefix="1" applyFont="1" applyAlignment="1" applyProtection="1">
      <alignment horizontal="justify" vertical="center"/>
      <protection locked="0"/>
    </xf>
    <xf numFmtId="0" fontId="6" fillId="0" borderId="0" xfId="6" quotePrefix="1" applyFont="1" applyAlignment="1" applyProtection="1">
      <alignment vertical="top" wrapText="1"/>
      <protection locked="0"/>
    </xf>
    <xf numFmtId="0" fontId="66" fillId="0" borderId="0" xfId="0" applyFont="1" applyAlignment="1" applyProtection="1">
      <alignment vertical="top"/>
      <protection locked="0"/>
    </xf>
    <xf numFmtId="0" fontId="66" fillId="0" borderId="0" xfId="0" quotePrefix="1" applyFont="1" applyAlignment="1" applyProtection="1">
      <alignment wrapText="1"/>
      <protection locked="0"/>
    </xf>
    <xf numFmtId="0" fontId="72" fillId="0" borderId="0" xfId="6" applyFont="1" applyAlignment="1" applyProtection="1">
      <alignment vertical="top" wrapText="1"/>
      <protection locked="0"/>
    </xf>
    <xf numFmtId="4" fontId="27" fillId="0" borderId="0" xfId="6" applyNumberFormat="1" applyFont="1" applyAlignment="1" applyProtection="1">
      <alignment vertical="top"/>
      <protection locked="0"/>
    </xf>
    <xf numFmtId="49" fontId="10" fillId="0" borderId="0" xfId="6" applyNumberFormat="1" applyFont="1" applyAlignment="1" applyProtection="1">
      <alignment vertical="top"/>
      <protection locked="0"/>
    </xf>
    <xf numFmtId="0" fontId="27" fillId="0" borderId="0" xfId="6" applyFont="1" applyAlignment="1" applyProtection="1">
      <alignment vertical="top"/>
      <protection locked="0"/>
    </xf>
    <xf numFmtId="0" fontId="24" fillId="0" borderId="0" xfId="6" applyFont="1" applyAlignment="1" applyProtection="1">
      <alignment vertical="top" wrapText="1"/>
      <protection locked="0"/>
    </xf>
    <xf numFmtId="0" fontId="21" fillId="0" borderId="20" xfId="9" applyFont="1" applyBorder="1" applyAlignment="1" applyProtection="1">
      <alignment horizontal="left" vertical="top" wrapText="1"/>
      <protection locked="0"/>
    </xf>
    <xf numFmtId="0" fontId="22" fillId="0" borderId="0" xfId="9" applyFont="1" applyAlignment="1" applyProtection="1">
      <alignment horizontal="left" vertical="top" wrapText="1"/>
      <protection locked="0"/>
    </xf>
    <xf numFmtId="0" fontId="21" fillId="0" borderId="0" xfId="9" applyFont="1" applyAlignment="1" applyProtection="1">
      <alignment horizontal="left" vertical="top" wrapText="1"/>
      <protection locked="0"/>
    </xf>
    <xf numFmtId="0" fontId="24" fillId="0" borderId="0" xfId="0" applyFont="1" applyAlignment="1" applyProtection="1">
      <alignment vertical="top"/>
      <protection locked="0"/>
    </xf>
    <xf numFmtId="0" fontId="31" fillId="0" borderId="0" xfId="0" applyFont="1" applyAlignment="1" applyProtection="1">
      <alignment vertical="top" wrapText="1"/>
      <protection locked="0"/>
    </xf>
    <xf numFmtId="0" fontId="31" fillId="0" borderId="0" xfId="0" applyFont="1" applyAlignment="1" applyProtection="1">
      <alignment vertical="top"/>
      <protection locked="0"/>
    </xf>
    <xf numFmtId="0" fontId="0" fillId="0" borderId="0" xfId="0" applyAlignment="1" applyProtection="1">
      <alignment vertical="top" wrapText="1"/>
      <protection locked="0"/>
    </xf>
    <xf numFmtId="0" fontId="72" fillId="0" borderId="0" xfId="0" applyFont="1" applyAlignment="1" applyProtection="1">
      <alignment vertical="top" wrapText="1"/>
      <protection locked="0"/>
    </xf>
    <xf numFmtId="4" fontId="14" fillId="0" borderId="0" xfId="8" applyFont="1" applyAlignment="1" applyProtection="1">
      <alignment horizontal="right" vertical="top" wrapText="1"/>
      <protection locked="0"/>
    </xf>
    <xf numFmtId="4" fontId="14" fillId="0" borderId="0" xfId="8" applyFont="1" applyAlignment="1" applyProtection="1">
      <alignment horizontal="right" wrapText="1"/>
      <protection locked="0"/>
    </xf>
    <xf numFmtId="4" fontId="13" fillId="0" borderId="0" xfId="8" applyFont="1" applyAlignment="1" applyProtection="1">
      <alignment horizontal="right" vertical="top" wrapText="1"/>
      <protection locked="0"/>
    </xf>
    <xf numFmtId="0" fontId="13" fillId="0" borderId="0" xfId="7" applyFont="1" applyAlignment="1" applyProtection="1">
      <alignment horizontal="left" vertical="top"/>
      <protection locked="0"/>
    </xf>
    <xf numFmtId="0" fontId="13" fillId="0" borderId="0" xfId="7" applyFont="1" applyAlignment="1" applyProtection="1">
      <alignment horizontal="left"/>
      <protection locked="0"/>
    </xf>
    <xf numFmtId="4" fontId="13" fillId="0" borderId="0" xfId="7" applyNumberFormat="1" applyFont="1" applyAlignment="1" applyProtection="1">
      <alignment horizontal="left"/>
      <protection locked="0"/>
    </xf>
    <xf numFmtId="0" fontId="13" fillId="0" borderId="0" xfId="7" applyFont="1" applyProtection="1">
      <protection locked="0"/>
    </xf>
    <xf numFmtId="4" fontId="13" fillId="0" borderId="0" xfId="7" applyNumberFormat="1" applyFont="1" applyProtection="1">
      <protection locked="0"/>
    </xf>
    <xf numFmtId="49" fontId="40" fillId="0" borderId="0" xfId="4" applyNumberFormat="1" applyFont="1" applyAlignment="1" applyProtection="1">
      <protection locked="0"/>
    </xf>
    <xf numFmtId="0" fontId="14" fillId="0" borderId="0" xfId="7" applyFont="1" applyAlignment="1" applyProtection="1">
      <alignment vertical="center" wrapText="1"/>
      <protection locked="0"/>
    </xf>
    <xf numFmtId="49" fontId="13" fillId="0" borderId="0" xfId="7" applyNumberFormat="1" applyFont="1" applyProtection="1">
      <protection locked="0"/>
    </xf>
    <xf numFmtId="0" fontId="14" fillId="0" borderId="0" xfId="7" applyFont="1" applyAlignment="1" applyProtection="1">
      <alignment vertical="top"/>
      <protection locked="0"/>
    </xf>
    <xf numFmtId="0" fontId="14" fillId="0" borderId="0" xfId="7" applyFont="1" applyAlignment="1" applyProtection="1">
      <alignment horizontal="right"/>
      <protection locked="0"/>
    </xf>
    <xf numFmtId="49" fontId="13" fillId="2" borderId="0" xfId="7" applyNumberFormat="1" applyFont="1" applyFill="1" applyProtection="1">
      <protection locked="0"/>
    </xf>
    <xf numFmtId="0" fontId="14" fillId="0" borderId="0" xfId="7" applyFont="1" applyAlignment="1" applyProtection="1">
      <alignment horizontal="left"/>
      <protection locked="0"/>
    </xf>
    <xf numFmtId="0" fontId="14" fillId="0" borderId="0" xfId="4" applyNumberFormat="1" applyFont="1" applyAlignment="1" applyProtection="1">
      <protection locked="0"/>
    </xf>
    <xf numFmtId="0" fontId="14" fillId="0" borderId="0" xfId="4" applyNumberFormat="1" applyFont="1" applyFill="1" applyAlignment="1" applyProtection="1">
      <alignment horizontal="right"/>
      <protection locked="0"/>
    </xf>
    <xf numFmtId="0" fontId="56" fillId="0" borderId="0" xfId="4" applyNumberFormat="1" applyFont="1" applyAlignment="1" applyProtection="1">
      <protection locked="0"/>
    </xf>
    <xf numFmtId="0" fontId="14" fillId="0" borderId="0" xfId="3" applyNumberFormat="1" applyFont="1" applyAlignment="1" applyProtection="1">
      <protection locked="0"/>
    </xf>
    <xf numFmtId="0" fontId="14" fillId="0" borderId="0" xfId="3" applyNumberFormat="1" applyFont="1" applyFill="1" applyAlignment="1" applyProtection="1">
      <protection locked="0"/>
    </xf>
    <xf numFmtId="0" fontId="14" fillId="0" borderId="0" xfId="4" applyNumberFormat="1" applyFont="1" applyFill="1" applyAlignment="1" applyProtection="1">
      <protection locked="0"/>
    </xf>
    <xf numFmtId="0" fontId="56" fillId="0" borderId="0" xfId="4" applyNumberFormat="1" applyFont="1" applyFill="1" applyAlignment="1" applyProtection="1">
      <protection locked="0"/>
    </xf>
    <xf numFmtId="0" fontId="14" fillId="0" borderId="0" xfId="4" applyNumberFormat="1" applyFont="1" applyAlignment="1" applyProtection="1">
      <alignment horizontal="left"/>
      <protection locked="0"/>
    </xf>
    <xf numFmtId="0" fontId="14" fillId="0" borderId="0" xfId="4" applyNumberFormat="1" applyFont="1" applyFill="1" applyAlignment="1" applyProtection="1">
      <alignment horizontal="left"/>
      <protection locked="0"/>
    </xf>
    <xf numFmtId="0" fontId="56" fillId="0" borderId="0" xfId="4" applyNumberFormat="1" applyFont="1" applyFill="1" applyAlignment="1" applyProtection="1">
      <alignment horizontal="left"/>
      <protection locked="0"/>
    </xf>
    <xf numFmtId="0" fontId="14" fillId="0" borderId="0" xfId="7" applyFont="1" applyAlignment="1" applyProtection="1">
      <alignment horizontal="left" vertical="top"/>
      <protection locked="0"/>
    </xf>
    <xf numFmtId="0" fontId="14" fillId="0" borderId="0" xfId="7" applyFont="1" applyProtection="1">
      <protection locked="0"/>
    </xf>
    <xf numFmtId="0" fontId="26" fillId="0" borderId="0" xfId="7" applyFont="1" applyProtection="1">
      <protection locked="0"/>
    </xf>
    <xf numFmtId="4" fontId="13" fillId="2" borderId="0" xfId="7" applyNumberFormat="1" applyFont="1" applyFill="1" applyProtection="1">
      <protection locked="0"/>
    </xf>
    <xf numFmtId="0" fontId="13" fillId="2" borderId="0" xfId="7" applyFont="1" applyFill="1" applyProtection="1">
      <protection locked="0"/>
    </xf>
    <xf numFmtId="0" fontId="13" fillId="0" borderId="0" xfId="7" applyFont="1" applyAlignment="1" applyProtection="1">
      <alignment horizontal="right"/>
      <protection locked="0"/>
    </xf>
    <xf numFmtId="0" fontId="15" fillId="0" borderId="0" xfId="7" applyFont="1" applyProtection="1">
      <protection locked="0"/>
    </xf>
    <xf numFmtId="0" fontId="13" fillId="0" borderId="0" xfId="7" applyFont="1" applyAlignment="1" applyProtection="1">
      <alignment horizontal="justify" vertical="top" wrapText="1"/>
      <protection locked="0"/>
    </xf>
    <xf numFmtId="0" fontId="13" fillId="0" borderId="0" xfId="7" applyFont="1" applyAlignment="1" applyProtection="1">
      <alignment horizontal="center"/>
      <protection locked="0"/>
    </xf>
    <xf numFmtId="0" fontId="13" fillId="0" borderId="0" xfId="7" applyFont="1" applyAlignment="1" applyProtection="1">
      <alignment horizontal="center" vertical="center"/>
      <protection locked="0"/>
    </xf>
    <xf numFmtId="0" fontId="13" fillId="0" borderId="0" xfId="7" applyFont="1" applyAlignment="1" applyProtection="1">
      <alignment vertical="top" wrapText="1"/>
      <protection locked="0"/>
    </xf>
    <xf numFmtId="4" fontId="13" fillId="0" borderId="0" xfId="7" applyNumberFormat="1" applyFont="1" applyAlignment="1" applyProtection="1">
      <alignment horizontal="right"/>
      <protection locked="0"/>
    </xf>
    <xf numFmtId="0" fontId="13" fillId="0" borderId="0" xfId="7" applyFont="1" applyAlignment="1" applyProtection="1">
      <alignment horizontal="left" vertical="top" wrapText="1"/>
      <protection locked="0"/>
    </xf>
    <xf numFmtId="0" fontId="13" fillId="0" borderId="0" xfId="7" applyFont="1" applyAlignment="1" applyProtection="1">
      <alignment horizontal="center" vertical="top" wrapText="1"/>
      <protection locked="0"/>
    </xf>
    <xf numFmtId="168" fontId="13" fillId="0" borderId="0" xfId="7" applyNumberFormat="1" applyFont="1" applyAlignment="1" applyProtection="1">
      <alignment horizontal="center" vertical="top" wrapText="1"/>
      <protection locked="0"/>
    </xf>
    <xf numFmtId="0" fontId="13" fillId="2" borderId="0" xfId="7" applyFont="1" applyFill="1" applyAlignment="1" applyProtection="1">
      <alignment horizontal="left" vertical="top" wrapText="1"/>
      <protection locked="0"/>
    </xf>
    <xf numFmtId="0" fontId="13" fillId="0" borderId="0" xfId="7" applyFont="1" applyAlignment="1" applyProtection="1">
      <alignment horizontal="left" wrapText="1"/>
      <protection locked="0"/>
    </xf>
    <xf numFmtId="4" fontId="13" fillId="2" borderId="0" xfId="7" applyNumberFormat="1" applyFont="1" applyFill="1" applyAlignment="1" applyProtection="1">
      <alignment horizontal="left"/>
      <protection locked="0"/>
    </xf>
    <xf numFmtId="0" fontId="13" fillId="2" borderId="0" xfId="7" applyFont="1" applyFill="1" applyAlignment="1" applyProtection="1">
      <alignment horizontal="left"/>
      <protection locked="0"/>
    </xf>
    <xf numFmtId="0" fontId="14" fillId="0" borderId="0" xfId="7" quotePrefix="1" applyFont="1" applyAlignment="1" applyProtection="1">
      <alignment horizontal="right"/>
      <protection locked="0"/>
    </xf>
    <xf numFmtId="0" fontId="14" fillId="0" borderId="0" xfId="4" applyNumberFormat="1" applyFont="1" applyAlignment="1" applyProtection="1">
      <alignment horizontal="right"/>
      <protection locked="0"/>
    </xf>
    <xf numFmtId="0" fontId="14" fillId="0" borderId="0" xfId="4" quotePrefix="1" applyNumberFormat="1" applyFont="1" applyAlignment="1" applyProtection="1">
      <alignment horizontal="right"/>
      <protection locked="0"/>
    </xf>
    <xf numFmtId="0" fontId="14" fillId="0" borderId="0" xfId="4" quotePrefix="1" applyNumberFormat="1" applyFont="1" applyFill="1" applyAlignment="1" applyProtection="1">
      <alignment horizontal="right"/>
      <protection locked="0"/>
    </xf>
    <xf numFmtId="0" fontId="14" fillId="11" borderId="0" xfId="3" applyNumberFormat="1" applyFont="1" applyFill="1" applyAlignment="1" applyProtection="1">
      <protection locked="0"/>
    </xf>
    <xf numFmtId="0" fontId="14" fillId="11" borderId="0" xfId="4" applyNumberFormat="1" applyFont="1" applyFill="1" applyAlignment="1" applyProtection="1">
      <protection locked="0"/>
    </xf>
    <xf numFmtId="0" fontId="14" fillId="0" borderId="0" xfId="3" applyNumberFormat="1" applyFont="1" applyAlignment="1" applyProtection="1">
      <alignment horizontal="left"/>
      <protection locked="0"/>
    </xf>
    <xf numFmtId="0" fontId="56" fillId="0" borderId="0" xfId="4" applyNumberFormat="1" applyFont="1" applyAlignment="1" applyProtection="1">
      <alignment horizontal="left"/>
      <protection locked="0"/>
    </xf>
    <xf numFmtId="14" fontId="13" fillId="0" borderId="3" xfId="0" applyNumberFormat="1" applyFont="1" applyBorder="1" applyAlignment="1" applyProtection="1">
      <alignment horizontal="center" vertical="center" wrapText="1"/>
      <protection locked="0"/>
    </xf>
    <xf numFmtId="0" fontId="13" fillId="0" borderId="3" xfId="11" applyFont="1" applyBorder="1" applyAlignment="1" applyProtection="1">
      <alignment horizontal="center" vertical="center"/>
      <protection locked="0"/>
    </xf>
    <xf numFmtId="0" fontId="14" fillId="0" borderId="0" xfId="11" applyFont="1" applyAlignment="1" applyProtection="1">
      <alignment vertical="top"/>
      <protection locked="0"/>
    </xf>
    <xf numFmtId="0" fontId="68" fillId="0" borderId="0" xfId="6" applyFont="1" applyProtection="1">
      <protection locked="0"/>
    </xf>
    <xf numFmtId="0" fontId="66" fillId="0" borderId="0" xfId="0" applyFont="1"/>
    <xf numFmtId="0" fontId="105" fillId="0" borderId="0" xfId="0" applyFont="1" applyAlignment="1">
      <alignment wrapText="1"/>
    </xf>
    <xf numFmtId="0" fontId="66" fillId="0" borderId="0" xfId="0" applyFont="1" applyAlignment="1">
      <alignment vertical="center" wrapText="1"/>
    </xf>
    <xf numFmtId="0" fontId="68" fillId="0" borderId="0" xfId="11" applyFont="1" applyProtection="1">
      <protection locked="0"/>
    </xf>
    <xf numFmtId="0" fontId="27" fillId="11" borderId="0" xfId="6" applyFont="1" applyFill="1" applyAlignment="1" applyProtection="1">
      <alignment vertical="top" wrapText="1"/>
      <protection locked="0"/>
    </xf>
    <xf numFmtId="0" fontId="27" fillId="23" borderId="0" xfId="6" applyFont="1" applyFill="1" applyAlignment="1" applyProtection="1">
      <alignment vertical="top" wrapText="1"/>
      <protection locked="0"/>
    </xf>
    <xf numFmtId="0" fontId="27" fillId="16" borderId="0" xfId="6" applyFont="1" applyFill="1" applyAlignment="1" applyProtection="1">
      <alignment vertical="top" wrapText="1"/>
      <protection locked="0"/>
    </xf>
    <xf numFmtId="0" fontId="10" fillId="16" borderId="0" xfId="6" applyFont="1" applyFill="1" applyAlignment="1" applyProtection="1">
      <alignment vertical="top" wrapText="1"/>
      <protection locked="0"/>
    </xf>
    <xf numFmtId="0" fontId="105" fillId="11" borderId="0" xfId="0" applyFont="1" applyFill="1" applyAlignment="1">
      <alignment wrapText="1"/>
    </xf>
    <xf numFmtId="0" fontId="27" fillId="11" borderId="0" xfId="6" quotePrefix="1" applyFont="1" applyFill="1" applyAlignment="1" applyProtection="1">
      <alignment vertical="top" wrapText="1"/>
      <protection locked="0"/>
    </xf>
    <xf numFmtId="0" fontId="82" fillId="0" borderId="0" xfId="0" applyFont="1" applyAlignment="1" applyProtection="1">
      <alignment vertical="center"/>
      <protection locked="0"/>
    </xf>
    <xf numFmtId="0" fontId="105" fillId="11" borderId="0" xfId="0" applyFont="1" applyFill="1" applyAlignment="1">
      <alignment vertical="top" wrapText="1"/>
    </xf>
    <xf numFmtId="0" fontId="27" fillId="24" borderId="23" xfId="6" applyFont="1" applyFill="1" applyBorder="1" applyAlignment="1" applyProtection="1">
      <alignment vertical="top" wrapText="1"/>
      <protection locked="0"/>
    </xf>
    <xf numFmtId="0" fontId="27" fillId="24" borderId="12" xfId="6" applyFont="1" applyFill="1" applyBorder="1" applyAlignment="1" applyProtection="1">
      <alignment vertical="top" wrapText="1"/>
      <protection locked="0"/>
    </xf>
    <xf numFmtId="0" fontId="27" fillId="24" borderId="23" xfId="6" applyFont="1" applyFill="1" applyBorder="1" applyAlignment="1" applyProtection="1">
      <alignment horizontal="center" vertical="top" wrapText="1"/>
      <protection locked="0"/>
    </xf>
    <xf numFmtId="0" fontId="27" fillId="24" borderId="10" xfId="6" applyFont="1" applyFill="1" applyBorder="1" applyAlignment="1" applyProtection="1">
      <alignment vertical="top" wrapText="1"/>
      <protection locked="0"/>
    </xf>
    <xf numFmtId="0" fontId="27" fillId="24" borderId="15" xfId="6" applyFont="1" applyFill="1" applyBorder="1" applyAlignment="1" applyProtection="1">
      <alignment vertical="top" wrapText="1"/>
      <protection locked="0"/>
    </xf>
    <xf numFmtId="0" fontId="27" fillId="24" borderId="4" xfId="6" applyFont="1" applyFill="1" applyBorder="1" applyAlignment="1" applyProtection="1">
      <alignment vertical="top" wrapText="1"/>
      <protection locked="0"/>
    </xf>
    <xf numFmtId="0" fontId="10" fillId="24" borderId="0" xfId="6" applyFont="1" applyFill="1" applyAlignment="1" applyProtection="1">
      <alignment vertical="top" wrapText="1"/>
      <protection locked="0"/>
    </xf>
    <xf numFmtId="0" fontId="27" fillId="24" borderId="22" xfId="6" applyFont="1" applyFill="1" applyBorder="1" applyAlignment="1" applyProtection="1">
      <alignment vertical="top" wrapText="1"/>
      <protection locked="0"/>
    </xf>
    <xf numFmtId="0" fontId="105" fillId="17" borderId="0" xfId="0" applyFont="1" applyFill="1" applyAlignment="1">
      <alignment wrapText="1"/>
    </xf>
    <xf numFmtId="0" fontId="27" fillId="17" borderId="0" xfId="6" quotePrefix="1" applyFont="1" applyFill="1" applyAlignment="1" applyProtection="1">
      <alignment vertical="top" wrapText="1"/>
      <protection locked="0"/>
    </xf>
    <xf numFmtId="0" fontId="27" fillId="17" borderId="0" xfId="6" applyFont="1" applyFill="1" applyAlignment="1" applyProtection="1">
      <alignment vertical="top" wrapText="1"/>
      <protection locked="0"/>
    </xf>
    <xf numFmtId="0" fontId="6" fillId="0" borderId="0" xfId="6" applyFont="1" applyAlignment="1" applyProtection="1">
      <alignment wrapText="1"/>
      <protection locked="0"/>
    </xf>
    <xf numFmtId="0" fontId="10" fillId="9" borderId="0" xfId="6" applyFont="1" applyFill="1" applyAlignment="1" applyProtection="1">
      <alignment vertical="top" wrapText="1"/>
      <protection locked="0"/>
    </xf>
    <xf numFmtId="0" fontId="13" fillId="11" borderId="0" xfId="0" applyFont="1" applyFill="1" applyAlignment="1" applyProtection="1">
      <alignment vertical="top" wrapText="1"/>
      <protection locked="0"/>
    </xf>
    <xf numFmtId="4" fontId="43" fillId="12" borderId="15" xfId="0" applyNumberFormat="1" applyFont="1" applyFill="1" applyBorder="1" applyAlignment="1" applyProtection="1">
      <alignment horizontal="right" vertical="top" wrapText="1"/>
      <protection locked="0"/>
    </xf>
    <xf numFmtId="4" fontId="13" fillId="12" borderId="0" xfId="0" applyNumberFormat="1" applyFont="1" applyFill="1" applyProtection="1">
      <protection locked="0"/>
    </xf>
    <xf numFmtId="0" fontId="13" fillId="12" borderId="9" xfId="0" applyFont="1" applyFill="1" applyBorder="1" applyAlignment="1" applyProtection="1">
      <alignment horizontal="left" vertical="center" wrapText="1"/>
      <protection locked="0"/>
    </xf>
    <xf numFmtId="4" fontId="43" fillId="12" borderId="0" xfId="0" applyNumberFormat="1" applyFont="1" applyFill="1" applyAlignment="1" applyProtection="1">
      <alignment horizontal="right" vertical="top" wrapText="1"/>
      <protection locked="0"/>
    </xf>
    <xf numFmtId="0" fontId="13" fillId="12" borderId="8" xfId="0" applyFont="1" applyFill="1" applyBorder="1" applyAlignment="1" applyProtection="1">
      <alignment horizontal="left" vertical="center" wrapText="1"/>
      <protection locked="0"/>
    </xf>
    <xf numFmtId="4" fontId="43" fillId="12" borderId="8" xfId="0" applyNumberFormat="1" applyFont="1" applyFill="1" applyBorder="1" applyAlignment="1" applyProtection="1">
      <alignment horizontal="right" vertical="top" wrapText="1"/>
      <protection locked="0"/>
    </xf>
    <xf numFmtId="4" fontId="43" fillId="12" borderId="9" xfId="0" applyNumberFormat="1" applyFont="1" applyFill="1" applyBorder="1" applyAlignment="1" applyProtection="1">
      <alignment horizontal="right" vertical="top" wrapText="1"/>
      <protection locked="0"/>
    </xf>
    <xf numFmtId="0" fontId="10" fillId="11" borderId="0" xfId="6" applyFont="1" applyFill="1" applyAlignment="1" applyProtection="1">
      <alignment wrapText="1"/>
      <protection locked="0"/>
    </xf>
    <xf numFmtId="0" fontId="54" fillId="0" borderId="0" xfId="0" applyFont="1" applyAlignment="1" applyProtection="1">
      <alignment horizontal="left" vertical="top"/>
      <protection locked="0"/>
    </xf>
    <xf numFmtId="0" fontId="13" fillId="2" borderId="0" xfId="0" applyFont="1" applyFill="1" applyAlignment="1" applyProtection="1">
      <alignment horizontal="left" wrapText="1"/>
      <protection locked="0"/>
    </xf>
    <xf numFmtId="4" fontId="13" fillId="2" borderId="3" xfId="11" applyNumberFormat="1" applyFont="1" applyFill="1" applyBorder="1" applyAlignment="1" applyProtection="1">
      <alignment horizontal="right" vertical="center" wrapText="1"/>
      <protection locked="0"/>
    </xf>
    <xf numFmtId="4" fontId="13" fillId="6" borderId="3" xfId="11" applyNumberFormat="1" applyFont="1" applyFill="1" applyBorder="1" applyAlignment="1" applyProtection="1">
      <alignment horizontal="right" vertical="center" wrapText="1"/>
      <protection locked="0"/>
    </xf>
    <xf numFmtId="4" fontId="13" fillId="6" borderId="3" xfId="0" applyNumberFormat="1" applyFont="1" applyFill="1" applyBorder="1" applyAlignment="1" applyProtection="1">
      <alignment horizontal="right" vertical="center"/>
      <protection locked="0"/>
    </xf>
    <xf numFmtId="0" fontId="13" fillId="0" borderId="10" xfId="0" applyFont="1" applyBorder="1" applyAlignment="1" applyProtection="1">
      <alignment horizontal="center" vertical="center" wrapText="1"/>
      <protection locked="0"/>
    </xf>
    <xf numFmtId="0" fontId="14" fillId="0" borderId="0" xfId="11" applyFont="1" applyAlignment="1" applyProtection="1">
      <alignment horizontal="left" vertical="center"/>
      <protection locked="0"/>
    </xf>
    <xf numFmtId="0" fontId="13" fillId="0" borderId="28" xfId="11" applyFont="1" applyBorder="1" applyAlignment="1" applyProtection="1">
      <alignment horizontal="center" vertical="center" wrapText="1"/>
      <protection locked="0"/>
    </xf>
    <xf numFmtId="0" fontId="43" fillId="0" borderId="0" xfId="11" applyFont="1" applyAlignment="1" applyProtection="1">
      <alignment horizontal="left" vertical="top"/>
      <protection locked="0"/>
    </xf>
    <xf numFmtId="0" fontId="27" fillId="13" borderId="0" xfId="6" applyFont="1" applyFill="1" applyAlignment="1" applyProtection="1">
      <alignment vertical="top" wrapText="1"/>
      <protection locked="0"/>
    </xf>
    <xf numFmtId="0" fontId="10" fillId="13" borderId="0" xfId="6" applyFont="1" applyFill="1" applyAlignment="1" applyProtection="1">
      <alignment vertical="top" wrapText="1"/>
      <protection locked="0"/>
    </xf>
    <xf numFmtId="0" fontId="10" fillId="13" borderId="0" xfId="6" applyFont="1" applyFill="1" applyAlignment="1" applyProtection="1">
      <alignment horizontal="left" vertical="top" wrapText="1"/>
      <protection locked="0"/>
    </xf>
    <xf numFmtId="0" fontId="95" fillId="13" borderId="0" xfId="6" applyFont="1" applyFill="1" applyAlignment="1" applyProtection="1">
      <alignment vertical="top" wrapText="1"/>
      <protection locked="0"/>
    </xf>
    <xf numFmtId="0" fontId="27" fillId="13" borderId="0" xfId="6" applyFont="1" applyFill="1" applyAlignment="1" applyProtection="1">
      <alignment horizontal="left" vertical="top" wrapText="1"/>
      <protection locked="0"/>
    </xf>
    <xf numFmtId="0" fontId="6" fillId="13" borderId="0" xfId="6" applyFont="1" applyFill="1" applyAlignment="1" applyProtection="1">
      <alignment vertical="top" wrapText="1"/>
      <protection locked="0"/>
    </xf>
    <xf numFmtId="0" fontId="27" fillId="13" borderId="0" xfId="6" applyFont="1" applyFill="1" applyAlignment="1" applyProtection="1">
      <alignment wrapText="1"/>
      <protection locked="0"/>
    </xf>
    <xf numFmtId="0" fontId="6" fillId="13" borderId="0" xfId="6" applyFont="1" applyFill="1" applyAlignment="1" applyProtection="1">
      <alignment wrapText="1"/>
      <protection locked="0"/>
    </xf>
    <xf numFmtId="0" fontId="10" fillId="13" borderId="0" xfId="0" applyFont="1" applyFill="1" applyAlignment="1" applyProtection="1">
      <alignment vertical="top" wrapText="1"/>
      <protection locked="0"/>
    </xf>
    <xf numFmtId="0" fontId="66" fillId="13" borderId="0" xfId="0" applyFont="1" applyFill="1" applyAlignment="1" applyProtection="1">
      <alignment horizontal="justify" vertical="center"/>
      <protection locked="0"/>
    </xf>
    <xf numFmtId="0" fontId="14" fillId="0" borderId="26" xfId="6" applyFont="1" applyBorder="1" applyProtection="1">
      <protection locked="0"/>
    </xf>
    <xf numFmtId="0" fontId="13" fillId="0" borderId="29" xfId="6" applyFont="1" applyBorder="1" applyProtection="1">
      <protection locked="0"/>
    </xf>
    <xf numFmtId="0" fontId="13" fillId="0" borderId="27" xfId="6" applyFont="1" applyBorder="1" applyProtection="1">
      <protection locked="0"/>
    </xf>
    <xf numFmtId="0" fontId="13" fillId="0" borderId="6" xfId="6" applyFont="1" applyBorder="1" applyProtection="1">
      <protection locked="0"/>
    </xf>
    <xf numFmtId="14" fontId="27" fillId="0" borderId="0" xfId="6" quotePrefix="1" applyNumberFormat="1" applyFont="1" applyAlignment="1" applyProtection="1">
      <alignment vertical="top" wrapText="1"/>
      <protection locked="0"/>
    </xf>
    <xf numFmtId="4" fontId="13" fillId="0" borderId="0" xfId="5" applyNumberFormat="1" applyFont="1" applyAlignment="1" applyProtection="1">
      <alignment vertical="top"/>
      <protection locked="0"/>
    </xf>
    <xf numFmtId="4" fontId="13" fillId="9" borderId="3" xfId="5" applyNumberFormat="1" applyFont="1" applyFill="1" applyBorder="1" applyAlignment="1" applyProtection="1">
      <alignment horizontal="right" vertical="top"/>
      <protection locked="0"/>
    </xf>
    <xf numFmtId="14" fontId="13" fillId="9" borderId="0" xfId="6" applyNumberFormat="1" applyFont="1" applyFill="1" applyProtection="1">
      <protection locked="0"/>
    </xf>
    <xf numFmtId="170" fontId="13" fillId="2" borderId="0" xfId="0" applyNumberFormat="1" applyFont="1" applyFill="1" applyAlignment="1" applyProtection="1">
      <alignment horizontal="left" vertical="top" wrapText="1"/>
      <protection locked="0"/>
    </xf>
    <xf numFmtId="171" fontId="13" fillId="2" borderId="0" xfId="0" applyNumberFormat="1" applyFont="1" applyFill="1" applyAlignment="1" applyProtection="1">
      <alignment horizontal="left" vertical="top" wrapText="1"/>
      <protection locked="0"/>
    </xf>
    <xf numFmtId="4" fontId="43" fillId="2" borderId="0" xfId="0" applyNumberFormat="1" applyFont="1" applyFill="1" applyAlignment="1" applyProtection="1">
      <alignment horizontal="right" wrapText="1"/>
      <protection locked="0"/>
    </xf>
    <xf numFmtId="4" fontId="13" fillId="2" borderId="10" xfId="0" applyNumberFormat="1" applyFont="1" applyFill="1" applyBorder="1" applyAlignment="1" applyProtection="1">
      <alignment horizontal="right" vertical="center"/>
      <protection locked="0"/>
    </xf>
    <xf numFmtId="4" fontId="13" fillId="2" borderId="4" xfId="0" applyNumberFormat="1" applyFont="1" applyFill="1" applyBorder="1" applyAlignment="1" applyProtection="1">
      <alignment horizontal="right" vertical="center"/>
      <protection locked="0"/>
    </xf>
    <xf numFmtId="0" fontId="46" fillId="0" borderId="0" xfId="0" applyFont="1" applyAlignment="1" applyProtection="1">
      <alignment horizontal="left" vertical="top" wrapText="1"/>
      <protection locked="0"/>
    </xf>
    <xf numFmtId="0" fontId="13" fillId="2" borderId="0" xfId="0" applyFont="1" applyFill="1" applyAlignment="1" applyProtection="1">
      <alignment horizontal="left" vertical="top"/>
      <protection locked="0"/>
    </xf>
    <xf numFmtId="0" fontId="11" fillId="0" borderId="0" xfId="3" applyFill="1" applyBorder="1" applyAlignment="1" applyProtection="1">
      <alignment horizontal="center"/>
      <protection locked="0"/>
    </xf>
    <xf numFmtId="0" fontId="22" fillId="0" borderId="0" xfId="0" applyFont="1" applyAlignment="1" applyProtection="1">
      <alignment horizontal="center"/>
      <protection locked="0"/>
    </xf>
    <xf numFmtId="0" fontId="21" fillId="0" borderId="0" xfId="0" applyFont="1" applyAlignment="1" applyProtection="1">
      <alignment horizontal="center"/>
      <protection locked="0"/>
    </xf>
    <xf numFmtId="0" fontId="0" fillId="0" borderId="0" xfId="0" applyAlignment="1">
      <alignment wrapText="1"/>
    </xf>
    <xf numFmtId="14" fontId="0" fillId="0" borderId="0" xfId="0" applyNumberFormat="1"/>
    <xf numFmtId="14" fontId="13" fillId="0" borderId="0" xfId="6" quotePrefix="1" applyNumberFormat="1" applyFont="1" applyProtection="1">
      <protection locked="0"/>
    </xf>
    <xf numFmtId="0" fontId="13" fillId="0" borderId="9" xfId="6" applyFont="1" applyBorder="1" applyProtection="1">
      <protection locked="0"/>
    </xf>
    <xf numFmtId="0" fontId="10" fillId="0" borderId="9" xfId="0" applyFont="1" applyBorder="1"/>
    <xf numFmtId="0" fontId="10" fillId="0" borderId="0" xfId="0" applyFont="1" applyAlignment="1">
      <alignment wrapText="1"/>
    </xf>
    <xf numFmtId="14" fontId="13" fillId="0" borderId="3" xfId="6" applyNumberFormat="1" applyFont="1" applyBorder="1" applyProtection="1">
      <protection locked="0"/>
    </xf>
    <xf numFmtId="173" fontId="0" fillId="0" borderId="0" xfId="0" applyNumberFormat="1"/>
    <xf numFmtId="0" fontId="14" fillId="25" borderId="0" xfId="6" applyFont="1" applyFill="1" applyAlignment="1" applyProtection="1">
      <alignment vertical="top"/>
      <protection locked="0"/>
    </xf>
    <xf numFmtId="4" fontId="46" fillId="0" borderId="0" xfId="6" applyNumberFormat="1" applyFont="1" applyAlignment="1" applyProtection="1">
      <alignment vertical="top"/>
      <protection locked="0"/>
    </xf>
    <xf numFmtId="0" fontId="107" fillId="9" borderId="0" xfId="0" applyFont="1" applyFill="1" applyAlignment="1" applyProtection="1">
      <alignment vertical="top"/>
      <protection locked="0"/>
    </xf>
    <xf numFmtId="0" fontId="108" fillId="9" borderId="0" xfId="0" applyFont="1" applyFill="1" applyAlignment="1" applyProtection="1">
      <alignment horizontal="left" vertical="center"/>
      <protection locked="0"/>
    </xf>
    <xf numFmtId="0" fontId="106" fillId="9" borderId="0" xfId="0" applyFont="1" applyFill="1" applyAlignment="1" applyProtection="1">
      <alignment horizontal="center" vertical="center"/>
      <protection locked="0"/>
    </xf>
    <xf numFmtId="4" fontId="109" fillId="6" borderId="3" xfId="11" applyNumberFormat="1" applyFont="1" applyFill="1" applyBorder="1" applyAlignment="1" applyProtection="1">
      <alignment vertical="center" wrapText="1"/>
      <protection locked="0"/>
    </xf>
    <xf numFmtId="14" fontId="10" fillId="0" borderId="0" xfId="0" applyNumberFormat="1" applyFont="1"/>
    <xf numFmtId="0" fontId="14" fillId="0" borderId="9" xfId="11" applyFont="1" applyBorder="1" applyAlignment="1" applyProtection="1">
      <alignment horizontal="center" vertical="top" wrapText="1"/>
      <protection locked="0"/>
    </xf>
    <xf numFmtId="0" fontId="64" fillId="0" borderId="0" xfId="11" applyFont="1" applyAlignment="1" applyProtection="1">
      <alignment horizontal="left" vertical="center" wrapText="1"/>
      <protection locked="0"/>
    </xf>
    <xf numFmtId="4" fontId="13" fillId="9" borderId="0" xfId="0" applyNumberFormat="1" applyFont="1" applyFill="1" applyAlignment="1" applyProtection="1">
      <alignment horizontal="right"/>
      <protection locked="0"/>
    </xf>
    <xf numFmtId="4" fontId="43" fillId="9" borderId="0" xfId="0" applyNumberFormat="1" applyFont="1" applyFill="1" applyAlignment="1" applyProtection="1">
      <alignment horizontal="right"/>
      <protection locked="0"/>
    </xf>
    <xf numFmtId="0" fontId="69" fillId="0" borderId="0" xfId="0" applyFont="1" applyProtection="1">
      <protection locked="0"/>
    </xf>
    <xf numFmtId="0" fontId="70" fillId="0" borderId="0" xfId="0" applyFont="1" applyProtection="1">
      <protection locked="0"/>
    </xf>
    <xf numFmtId="0" fontId="17" fillId="0" borderId="0" xfId="0" applyFont="1" applyProtection="1">
      <protection locked="0"/>
    </xf>
    <xf numFmtId="0" fontId="54" fillId="0" borderId="0" xfId="0" applyFont="1" applyAlignment="1" applyProtection="1">
      <alignment horizontal="right" vertical="top"/>
      <protection locked="0"/>
    </xf>
    <xf numFmtId="173" fontId="13" fillId="0" borderId="0" xfId="6" applyNumberFormat="1" applyFont="1" applyProtection="1">
      <protection locked="0"/>
    </xf>
    <xf numFmtId="0" fontId="39" fillId="0" borderId="0" xfId="3" applyFont="1" applyBorder="1" applyAlignment="1" applyProtection="1">
      <alignment horizontal="center"/>
      <protection locked="0"/>
    </xf>
    <xf numFmtId="4" fontId="15" fillId="0" borderId="0" xfId="6" applyNumberFormat="1" applyFont="1" applyAlignment="1" applyProtection="1">
      <alignment horizontal="center" vertical="top"/>
      <protection locked="0"/>
    </xf>
    <xf numFmtId="4" fontId="62" fillId="14" borderId="0" xfId="1507" applyNumberFormat="1" applyFont="1" applyFill="1" applyAlignment="1" applyProtection="1">
      <alignment horizontal="left" wrapText="1"/>
      <protection locked="0"/>
    </xf>
    <xf numFmtId="4" fontId="13" fillId="14" borderId="0" xfId="1507" applyNumberFormat="1" applyFont="1" applyFill="1" applyAlignment="1" applyProtection="1">
      <alignment horizontal="left"/>
      <protection locked="0"/>
    </xf>
    <xf numFmtId="0" fontId="13" fillId="0" borderId="0" xfId="1507" applyFont="1" applyAlignment="1" applyProtection="1">
      <alignment horizontal="left"/>
      <protection locked="0"/>
    </xf>
    <xf numFmtId="0" fontId="13" fillId="15" borderId="0" xfId="1507" applyFont="1" applyFill="1" applyAlignment="1" applyProtection="1">
      <alignment vertical="top" wrapText="1"/>
      <protection locked="0"/>
    </xf>
    <xf numFmtId="0" fontId="13" fillId="15" borderId="0" xfId="1507" applyFont="1" applyFill="1" applyAlignment="1" applyProtection="1">
      <alignment horizontal="left" vertical="top" wrapText="1"/>
      <protection locked="0"/>
    </xf>
    <xf numFmtId="0" fontId="39" fillId="0" borderId="0" xfId="3" applyFont="1" applyAlignment="1" applyProtection="1">
      <alignment horizontal="center" vertical="top"/>
      <protection locked="0"/>
    </xf>
    <xf numFmtId="0" fontId="43" fillId="0" borderId="0" xfId="3" applyFont="1" applyAlignment="1" applyProtection="1">
      <alignment horizontal="left" vertical="top"/>
      <protection locked="0"/>
    </xf>
    <xf numFmtId="0" fontId="41" fillId="0" borderId="0" xfId="0" applyFont="1" applyAlignment="1" applyProtection="1">
      <alignment horizontal="center" vertical="top"/>
      <protection locked="0"/>
    </xf>
    <xf numFmtId="4" fontId="13" fillId="6" borderId="0" xfId="0" applyNumberFormat="1" applyFont="1" applyFill="1" applyAlignment="1" applyProtection="1">
      <alignment horizontal="left"/>
      <protection locked="0"/>
    </xf>
    <xf numFmtId="0" fontId="13" fillId="9" borderId="0" xfId="0" applyFont="1" applyFill="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9" borderId="0" xfId="0" applyFont="1" applyFill="1" applyAlignment="1" applyProtection="1">
      <alignment horizontal="left" vertical="top"/>
      <protection locked="0"/>
    </xf>
    <xf numFmtId="0" fontId="13" fillId="12" borderId="0" xfId="0" applyFont="1" applyFill="1" applyAlignment="1" applyProtection="1">
      <alignment horizontal="left" vertical="top" wrapText="1"/>
      <protection locked="0"/>
    </xf>
    <xf numFmtId="0" fontId="43" fillId="0" borderId="0" xfId="0" applyFont="1" applyAlignment="1" applyProtection="1">
      <alignment horizontal="justify" vertical="top" wrapText="1"/>
      <protection locked="0"/>
    </xf>
    <xf numFmtId="0" fontId="13" fillId="0" borderId="0" xfId="0" applyFont="1" applyAlignment="1" applyProtection="1">
      <alignment horizontal="center" vertical="top"/>
      <protection locked="0"/>
    </xf>
    <xf numFmtId="4" fontId="67" fillId="2" borderId="0" xfId="0" applyNumberFormat="1" applyFont="1" applyFill="1" applyAlignment="1" applyProtection="1">
      <alignment horizontal="center" vertical="top" wrapText="1"/>
      <protection locked="0"/>
    </xf>
    <xf numFmtId="0" fontId="59" fillId="2" borderId="0" xfId="0" applyFont="1" applyFill="1" applyAlignment="1" applyProtection="1">
      <alignment horizontal="left" vertical="top" wrapText="1"/>
      <protection locked="0"/>
    </xf>
    <xf numFmtId="0" fontId="13" fillId="2" borderId="0" xfId="0" applyFont="1" applyFill="1" applyAlignment="1" applyProtection="1">
      <alignment horizontal="left" vertical="top"/>
      <protection locked="0"/>
    </xf>
    <xf numFmtId="2" fontId="13" fillId="7" borderId="0" xfId="0" applyNumberFormat="1" applyFont="1" applyFill="1" applyAlignment="1" applyProtection="1">
      <alignment horizontal="center" vertical="top"/>
      <protection locked="0"/>
    </xf>
    <xf numFmtId="0" fontId="13" fillId="2" borderId="0" xfId="0" applyFont="1" applyFill="1" applyAlignment="1" applyProtection="1">
      <alignment horizontal="left" vertical="top" wrapText="1"/>
      <protection locked="0"/>
    </xf>
    <xf numFmtId="4" fontId="13" fillId="9" borderId="0" xfId="0" applyNumberFormat="1" applyFont="1" applyFill="1" applyAlignment="1" applyProtection="1">
      <alignment horizontal="left" vertical="top"/>
      <protection locked="0"/>
    </xf>
    <xf numFmtId="0" fontId="46" fillId="0" borderId="0" xfId="0" applyFont="1" applyAlignment="1" applyProtection="1">
      <alignment horizontal="left" vertical="top" wrapText="1"/>
      <protection locked="0"/>
    </xf>
    <xf numFmtId="0" fontId="13" fillId="11" borderId="0" xfId="0" applyFont="1" applyFill="1" applyAlignment="1" applyProtection="1">
      <alignment horizontal="left" vertical="top" wrapText="1"/>
      <protection locked="0"/>
    </xf>
    <xf numFmtId="171" fontId="13" fillId="2" borderId="0" xfId="0" applyNumberFormat="1" applyFont="1" applyFill="1" applyAlignment="1" applyProtection="1">
      <alignment horizontal="left" vertical="top" wrapText="1"/>
      <protection locked="0"/>
    </xf>
    <xf numFmtId="170" fontId="13" fillId="2" borderId="0" xfId="0" applyNumberFormat="1" applyFont="1" applyFill="1" applyAlignment="1" applyProtection="1">
      <alignment horizontal="left" vertical="top" wrapText="1"/>
      <protection locked="0"/>
    </xf>
    <xf numFmtId="0" fontId="13" fillId="0" borderId="0" xfId="0" applyFont="1" applyAlignment="1" applyProtection="1">
      <alignment horizontal="left" vertical="top"/>
      <protection locked="0"/>
    </xf>
    <xf numFmtId="14" fontId="13" fillId="2" borderId="0" xfId="0" applyNumberFormat="1" applyFont="1" applyFill="1" applyAlignment="1" applyProtection="1">
      <alignment horizontal="left" vertical="top"/>
      <protection locked="0"/>
    </xf>
    <xf numFmtId="0" fontId="13" fillId="11" borderId="0" xfId="0" applyFont="1" applyFill="1" applyAlignment="1" applyProtection="1">
      <alignment horizontal="left" wrapText="1"/>
      <protection locked="0"/>
    </xf>
    <xf numFmtId="0" fontId="13" fillId="11" borderId="0" xfId="0" applyFont="1" applyFill="1" applyAlignment="1" applyProtection="1">
      <alignment horizontal="left"/>
      <protection locked="0"/>
    </xf>
    <xf numFmtId="0" fontId="13" fillId="11" borderId="0" xfId="0" applyFont="1" applyFill="1" applyAlignment="1" applyProtection="1">
      <alignment horizontal="left" vertical="top"/>
      <protection locked="0"/>
    </xf>
    <xf numFmtId="0" fontId="13" fillId="20" borderId="0" xfId="0" applyFont="1" applyFill="1" applyAlignment="1" applyProtection="1">
      <alignment horizontal="left" vertical="top" wrapText="1"/>
      <protection locked="0"/>
    </xf>
    <xf numFmtId="0" fontId="13" fillId="20" borderId="0" xfId="0" applyFont="1" applyFill="1" applyAlignment="1" applyProtection="1">
      <alignment horizontal="left" vertical="top"/>
      <protection locked="0"/>
    </xf>
    <xf numFmtId="0" fontId="13" fillId="0" borderId="0" xfId="0" applyFont="1" applyAlignment="1" applyProtection="1">
      <alignment horizontal="center" vertical="top" wrapText="1"/>
      <protection locked="0"/>
    </xf>
    <xf numFmtId="0" fontId="13" fillId="9" borderId="0" xfId="0" applyFont="1" applyFill="1" applyAlignment="1" applyProtection="1">
      <alignment horizontal="center" vertical="top"/>
      <protection locked="0"/>
    </xf>
    <xf numFmtId="4" fontId="13" fillId="0" borderId="0" xfId="0" applyNumberFormat="1" applyFont="1" applyAlignment="1" applyProtection="1">
      <alignment horizontal="left" vertical="top" wrapText="1"/>
      <protection locked="0"/>
    </xf>
    <xf numFmtId="4" fontId="14" fillId="0" borderId="0" xfId="0" applyNumberFormat="1" applyFont="1" applyAlignment="1" applyProtection="1">
      <alignment horizontal="left"/>
      <protection locked="0"/>
    </xf>
    <xf numFmtId="4" fontId="14" fillId="0" borderId="0" xfId="0" applyNumberFormat="1" applyFont="1" applyAlignment="1" applyProtection="1">
      <alignment horizontal="left" vertical="top" wrapText="1"/>
      <protection locked="0"/>
    </xf>
    <xf numFmtId="0" fontId="39" fillId="0" borderId="0" xfId="3" applyFont="1" applyAlignment="1" applyProtection="1">
      <alignment horizontal="center"/>
      <protection locked="0"/>
    </xf>
    <xf numFmtId="0" fontId="14" fillId="0" borderId="0" xfId="0" applyFont="1" applyAlignment="1" applyProtection="1">
      <alignment horizontal="center"/>
      <protection locked="0"/>
    </xf>
    <xf numFmtId="0" fontId="14" fillId="0" borderId="0" xfId="0" applyFont="1" applyAlignment="1" applyProtection="1">
      <alignment horizontal="center" vertical="top"/>
      <protection locked="0"/>
    </xf>
    <xf numFmtId="0" fontId="26" fillId="0" borderId="9" xfId="0" applyFont="1" applyBorder="1" applyAlignment="1" applyProtection="1">
      <alignment horizontal="center" vertical="top"/>
      <protection locked="0"/>
    </xf>
    <xf numFmtId="4" fontId="14" fillId="0" borderId="0" xfId="0" applyNumberFormat="1" applyFont="1" applyAlignment="1" applyProtection="1">
      <alignment horizontal="center"/>
      <protection locked="0"/>
    </xf>
    <xf numFmtId="4" fontId="13" fillId="0" borderId="0" xfId="0" applyNumberFormat="1" applyFont="1" applyAlignment="1" applyProtection="1">
      <alignment horizontal="left"/>
      <protection locked="0"/>
    </xf>
    <xf numFmtId="4" fontId="14" fillId="0" borderId="0" xfId="0" applyNumberFormat="1" applyFont="1" applyAlignment="1" applyProtection="1">
      <alignment vertical="top" wrapText="1"/>
      <protection locked="0"/>
    </xf>
    <xf numFmtId="0" fontId="13" fillId="0" borderId="0" xfId="0" applyFont="1" applyAlignment="1" applyProtection="1">
      <alignment wrapText="1"/>
      <protection locked="0"/>
    </xf>
    <xf numFmtId="0" fontId="14" fillId="0" borderId="0" xfId="0" applyFont="1" applyAlignment="1" applyProtection="1">
      <alignment wrapText="1"/>
      <protection locked="0"/>
    </xf>
    <xf numFmtId="0" fontId="13" fillId="0" borderId="0" xfId="0" applyFont="1" applyAlignment="1" applyProtection="1">
      <alignment horizontal="left" wrapText="1"/>
      <protection locked="0"/>
    </xf>
    <xf numFmtId="0" fontId="11" fillId="0" borderId="0" xfId="3" applyFill="1" applyBorder="1" applyAlignment="1" applyProtection="1">
      <alignment horizontal="center"/>
      <protection locked="0"/>
    </xf>
    <xf numFmtId="0" fontId="22" fillId="0" borderId="0" xfId="0" applyFont="1" applyAlignment="1" applyProtection="1">
      <alignment horizontal="center"/>
      <protection locked="0"/>
    </xf>
    <xf numFmtId="0" fontId="21" fillId="0" borderId="0" xfId="0" applyFont="1" applyAlignment="1" applyProtection="1">
      <alignment horizontal="center"/>
      <protection locked="0"/>
    </xf>
    <xf numFmtId="0" fontId="21" fillId="0" borderId="0" xfId="0" applyFont="1" applyAlignment="1" applyProtection="1">
      <alignment horizontal="center" vertical="top"/>
      <protection locked="0"/>
    </xf>
    <xf numFmtId="0" fontId="22" fillId="0" borderId="0" xfId="0" applyFont="1" applyAlignment="1" applyProtection="1">
      <alignment horizontal="left" vertical="center" wrapText="1"/>
      <protection locked="0"/>
    </xf>
    <xf numFmtId="0" fontId="21" fillId="0" borderId="0" xfId="0" applyFont="1" applyAlignment="1" applyProtection="1">
      <alignment horizontal="left" wrapText="1"/>
      <protection locked="0"/>
    </xf>
    <xf numFmtId="0" fontId="0" fillId="0" borderId="0" xfId="0" applyAlignment="1" applyProtection="1">
      <alignment wrapText="1"/>
      <protection locked="0"/>
    </xf>
    <xf numFmtId="0" fontId="14" fillId="0" borderId="0" xfId="0" applyFont="1" applyAlignment="1" applyProtection="1">
      <alignment horizontal="left" vertical="top" wrapText="1"/>
      <protection locked="0"/>
    </xf>
    <xf numFmtId="0" fontId="13" fillId="0" borderId="0" xfId="0" applyFont="1" applyAlignment="1" applyProtection="1">
      <alignment vertical="top" wrapText="1"/>
      <protection locked="0"/>
    </xf>
    <xf numFmtId="4" fontId="14" fillId="0" borderId="0" xfId="0" applyNumberFormat="1" applyFont="1" applyAlignment="1" applyProtection="1">
      <alignment horizontal="center" vertical="top"/>
      <protection locked="0"/>
    </xf>
    <xf numFmtId="0" fontId="14" fillId="0" borderId="0" xfId="0" applyFont="1" applyAlignment="1" applyProtection="1">
      <alignment vertical="top" wrapText="1"/>
      <protection locked="0"/>
    </xf>
    <xf numFmtId="0" fontId="13" fillId="0" borderId="0" xfId="1507" applyFont="1" applyAlignment="1" applyProtection="1">
      <alignment horizontal="right"/>
      <protection locked="0"/>
    </xf>
    <xf numFmtId="0" fontId="13" fillId="14" borderId="0" xfId="1507" applyFont="1" applyFill="1" applyAlignment="1" applyProtection="1">
      <alignment horizontal="right"/>
      <protection locked="0"/>
    </xf>
    <xf numFmtId="0" fontId="61" fillId="0" borderId="0" xfId="1507" applyFont="1" applyAlignment="1" applyProtection="1">
      <alignment horizontal="right"/>
      <protection locked="0"/>
    </xf>
    <xf numFmtId="0" fontId="14" fillId="14" borderId="0" xfId="1507" applyFont="1" applyFill="1" applyAlignment="1" applyProtection="1">
      <alignment horizontal="right"/>
      <protection locked="0"/>
    </xf>
    <xf numFmtId="0" fontId="14" fillId="0" borderId="10" xfId="11" applyFont="1" applyBorder="1" applyAlignment="1" applyProtection="1">
      <alignment horizontal="center" vertical="center" wrapText="1"/>
      <protection locked="0"/>
    </xf>
    <xf numFmtId="0" fontId="14" fillId="0" borderId="4" xfId="11" applyFont="1" applyBorder="1" applyAlignment="1" applyProtection="1">
      <alignment horizontal="center" vertical="center" wrapText="1"/>
      <protection locked="0"/>
    </xf>
    <xf numFmtId="0" fontId="59" fillId="9" borderId="0" xfId="11" applyFont="1" applyFill="1" applyAlignment="1" applyProtection="1">
      <alignment horizontal="left" vertical="top" wrapText="1"/>
      <protection locked="0"/>
    </xf>
    <xf numFmtId="0" fontId="13" fillId="9" borderId="0" xfId="11" applyFont="1" applyFill="1" applyAlignment="1" applyProtection="1">
      <alignment horizontal="left" vertical="top"/>
      <protection locked="0"/>
    </xf>
    <xf numFmtId="0" fontId="51" fillId="0" borderId="28" xfId="11" applyFont="1" applyBorder="1" applyAlignment="1" applyProtection="1">
      <alignment horizontal="center" vertical="center" wrapText="1"/>
      <protection locked="0"/>
    </xf>
    <xf numFmtId="0" fontId="51" fillId="0" borderId="2" xfId="11" applyFont="1" applyBorder="1" applyAlignment="1" applyProtection="1">
      <alignment horizontal="center" vertical="center" wrapText="1"/>
      <protection locked="0"/>
    </xf>
    <xf numFmtId="0" fontId="50" fillId="0" borderId="0" xfId="11" applyFont="1" applyAlignment="1" applyProtection="1">
      <alignment horizontal="left" vertical="center" wrapText="1"/>
      <protection locked="0"/>
    </xf>
    <xf numFmtId="4" fontId="51" fillId="0" borderId="3" xfId="11" applyNumberFormat="1" applyFont="1" applyBorder="1" applyAlignment="1" applyProtection="1">
      <alignment horizontal="left" vertical="center" wrapText="1"/>
      <protection locked="0"/>
    </xf>
    <xf numFmtId="0" fontId="51" fillId="0" borderId="3" xfId="11" applyFont="1" applyBorder="1" applyAlignment="1" applyProtection="1">
      <alignment horizontal="center" vertical="center" wrapText="1"/>
      <protection locked="0"/>
    </xf>
    <xf numFmtId="0" fontId="51" fillId="12" borderId="28" xfId="11" applyFont="1" applyFill="1" applyBorder="1" applyAlignment="1" applyProtection="1">
      <alignment horizontal="center" vertical="center" wrapText="1"/>
      <protection locked="0"/>
    </xf>
    <xf numFmtId="0" fontId="51" fillId="12" borderId="2" xfId="11" applyFont="1" applyFill="1" applyBorder="1" applyAlignment="1" applyProtection="1">
      <alignment horizontal="center" vertical="center" wrapText="1"/>
      <protection locked="0"/>
    </xf>
    <xf numFmtId="0" fontId="51" fillId="0" borderId="3" xfId="11" applyFont="1" applyBorder="1" applyAlignment="1" applyProtection="1">
      <alignment horizontal="center" vertical="top" wrapText="1"/>
      <protection locked="0"/>
    </xf>
    <xf numFmtId="0" fontId="51" fillId="12" borderId="3" xfId="11" applyFont="1" applyFill="1" applyBorder="1" applyAlignment="1" applyProtection="1">
      <alignment horizontal="center" vertical="center" wrapText="1"/>
      <protection locked="0"/>
    </xf>
    <xf numFmtId="0" fontId="50" fillId="0" borderId="0" xfId="11" applyFont="1" applyAlignment="1" applyProtection="1">
      <alignment horizontal="left" vertical="center"/>
      <protection locked="0"/>
    </xf>
    <xf numFmtId="0" fontId="51" fillId="0" borderId="31" xfId="11" applyFont="1" applyBorder="1" applyAlignment="1" applyProtection="1">
      <alignment horizontal="center" vertical="center" wrapText="1"/>
      <protection locked="0"/>
    </xf>
    <xf numFmtId="0" fontId="41" fillId="0" borderId="0" xfId="0" applyFont="1" applyAlignment="1" applyProtection="1">
      <alignment horizontal="center"/>
      <protection locked="0"/>
    </xf>
    <xf numFmtId="0" fontId="13" fillId="2" borderId="0" xfId="0" applyFont="1" applyFill="1" applyAlignment="1" applyProtection="1">
      <alignment horizontal="left" wrapText="1"/>
      <protection locked="0"/>
    </xf>
    <xf numFmtId="0" fontId="51" fillId="12" borderId="16" xfId="11" applyFont="1" applyFill="1" applyBorder="1" applyAlignment="1" applyProtection="1">
      <alignment horizontal="center" vertical="center" wrapText="1"/>
      <protection locked="0"/>
    </xf>
    <xf numFmtId="0" fontId="51" fillId="12" borderId="18" xfId="11" applyFont="1" applyFill="1" applyBorder="1" applyAlignment="1" applyProtection="1">
      <alignment horizontal="center" vertical="center" wrapText="1"/>
      <protection locked="0"/>
    </xf>
    <xf numFmtId="4" fontId="51" fillId="6" borderId="3" xfId="11" applyNumberFormat="1" applyFont="1" applyFill="1" applyBorder="1" applyAlignment="1" applyProtection="1">
      <alignment horizontal="right" vertical="center" wrapText="1"/>
      <protection locked="0"/>
    </xf>
    <xf numFmtId="0" fontId="13" fillId="9" borderId="0" xfId="11" applyFont="1" applyFill="1" applyAlignment="1" applyProtection="1">
      <alignment horizontal="left"/>
      <protection locked="0"/>
    </xf>
    <xf numFmtId="0" fontId="51" fillId="0" borderId="10" xfId="11" applyFont="1" applyBorder="1" applyAlignment="1" applyProtection="1">
      <alignment horizontal="center" vertical="top" wrapText="1"/>
      <protection locked="0"/>
    </xf>
    <xf numFmtId="0" fontId="51" fillId="0" borderId="15" xfId="11" applyFont="1" applyBorder="1" applyAlignment="1" applyProtection="1">
      <alignment horizontal="center" vertical="top" wrapText="1"/>
      <protection locked="0"/>
    </xf>
    <xf numFmtId="0" fontId="51" fillId="0" borderId="4" xfId="11" applyFont="1" applyBorder="1" applyAlignment="1" applyProtection="1">
      <alignment horizontal="center" vertical="top" wrapText="1"/>
      <protection locked="0"/>
    </xf>
    <xf numFmtId="0" fontId="43" fillId="0" borderId="0" xfId="0" applyFont="1" applyAlignment="1" applyProtection="1">
      <alignment horizontal="left" wrapText="1"/>
      <protection locked="0"/>
    </xf>
    <xf numFmtId="4" fontId="13" fillId="0" borderId="10" xfId="0" applyNumberFormat="1" applyFont="1" applyBorder="1" applyAlignment="1" applyProtection="1">
      <alignment horizontal="left" vertical="center" wrapText="1"/>
      <protection locked="0"/>
    </xf>
    <xf numFmtId="4" fontId="13" fillId="0" borderId="15" xfId="0" applyNumberFormat="1" applyFont="1" applyBorder="1" applyAlignment="1" applyProtection="1">
      <alignment horizontal="left" vertical="center" wrapText="1"/>
      <protection locked="0"/>
    </xf>
    <xf numFmtId="4" fontId="13" fillId="0" borderId="4" xfId="0" applyNumberFormat="1" applyFont="1" applyBorder="1" applyAlignment="1" applyProtection="1">
      <alignment horizontal="left" vertical="center" wrapText="1"/>
      <protection locked="0"/>
    </xf>
    <xf numFmtId="4" fontId="13" fillId="0" borderId="3" xfId="0" applyNumberFormat="1" applyFont="1" applyBorder="1" applyAlignment="1" applyProtection="1">
      <alignment horizontal="left" vertical="center" wrapText="1"/>
      <protection locked="0"/>
    </xf>
    <xf numFmtId="0" fontId="14" fillId="0" borderId="3" xfId="11" applyFont="1" applyBorder="1" applyAlignment="1" applyProtection="1">
      <alignment horizontal="center" vertical="center" wrapText="1"/>
      <protection locked="0"/>
    </xf>
    <xf numFmtId="0" fontId="13" fillId="0" borderId="3" xfId="0" applyFont="1" applyBorder="1" applyAlignment="1" applyProtection="1">
      <alignment horizontal="center"/>
      <protection locked="0"/>
    </xf>
    <xf numFmtId="0" fontId="13" fillId="0" borderId="3" xfId="0" applyFont="1" applyBorder="1" applyAlignment="1" applyProtection="1">
      <alignment horizontal="center" vertical="center" wrapText="1"/>
      <protection locked="0"/>
    </xf>
    <xf numFmtId="4" fontId="13" fillId="6" borderId="3" xfId="0" applyNumberFormat="1" applyFont="1" applyFill="1" applyBorder="1" applyAlignment="1" applyProtection="1">
      <alignment horizontal="right" vertical="center"/>
      <protection locked="0"/>
    </xf>
    <xf numFmtId="4" fontId="13" fillId="2" borderId="3" xfId="11" applyNumberFormat="1" applyFont="1" applyFill="1" applyBorder="1" applyAlignment="1" applyProtection="1">
      <alignment horizontal="right" vertical="center" wrapText="1"/>
      <protection locked="0"/>
    </xf>
    <xf numFmtId="0" fontId="43" fillId="0" borderId="0" xfId="0" applyFont="1" applyAlignment="1" applyProtection="1">
      <alignment horizontal="left" vertical="top" wrapText="1"/>
      <protection locked="0"/>
    </xf>
    <xf numFmtId="0" fontId="13" fillId="0" borderId="3" xfId="11" applyFont="1" applyBorder="1" applyAlignment="1" applyProtection="1">
      <alignment horizontal="center" vertical="center" wrapText="1"/>
      <protection locked="0"/>
    </xf>
    <xf numFmtId="0" fontId="13" fillId="0" borderId="28" xfId="11" applyFont="1" applyBorder="1" applyAlignment="1" applyProtection="1">
      <alignment horizontal="center" vertical="center" wrapText="1"/>
      <protection locked="0"/>
    </xf>
    <xf numFmtId="0" fontId="13" fillId="0" borderId="2" xfId="11" applyFont="1" applyBorder="1" applyAlignment="1" applyProtection="1">
      <alignment horizontal="center" vertical="center" wrapText="1"/>
      <protection locked="0"/>
    </xf>
    <xf numFmtId="0" fontId="13" fillId="0" borderId="16" xfId="11" applyFont="1" applyBorder="1" applyAlignment="1" applyProtection="1">
      <alignment horizontal="center" vertical="center" wrapText="1"/>
      <protection locked="0"/>
    </xf>
    <xf numFmtId="0" fontId="13" fillId="0" borderId="17" xfId="11" applyFont="1" applyBorder="1" applyAlignment="1" applyProtection="1">
      <alignment horizontal="center" vertical="center" wrapText="1"/>
      <protection locked="0"/>
    </xf>
    <xf numFmtId="0" fontId="13" fillId="0" borderId="18" xfId="11" applyFont="1" applyBorder="1" applyAlignment="1" applyProtection="1">
      <alignment horizontal="center" vertical="center" wrapText="1"/>
      <protection locked="0"/>
    </xf>
    <xf numFmtId="0" fontId="13" fillId="0" borderId="14" xfId="11" applyFont="1" applyBorder="1" applyAlignment="1" applyProtection="1">
      <alignment horizontal="center" vertical="center" wrapText="1"/>
      <protection locked="0"/>
    </xf>
    <xf numFmtId="0" fontId="13" fillId="0" borderId="3" xfId="11" applyFont="1" applyBorder="1" applyAlignment="1" applyProtection="1">
      <alignment horizontal="left" vertical="center" wrapText="1"/>
      <protection locked="0"/>
    </xf>
    <xf numFmtId="0" fontId="13" fillId="9" borderId="10" xfId="0" applyFont="1" applyFill="1" applyBorder="1" applyAlignment="1" applyProtection="1">
      <alignment horizontal="left" vertical="center" wrapText="1"/>
      <protection locked="0"/>
    </xf>
    <xf numFmtId="0" fontId="13" fillId="9" borderId="15" xfId="0" applyFont="1" applyFill="1" applyBorder="1" applyAlignment="1" applyProtection="1">
      <alignment horizontal="left" vertical="center" wrapText="1"/>
      <protection locked="0"/>
    </xf>
    <xf numFmtId="0" fontId="13" fillId="9" borderId="4" xfId="0" applyFont="1" applyFill="1" applyBorder="1" applyAlignment="1" applyProtection="1">
      <alignment horizontal="left" vertical="center" wrapText="1"/>
      <protection locked="0"/>
    </xf>
    <xf numFmtId="4" fontId="13" fillId="9" borderId="3" xfId="0" applyNumberFormat="1" applyFont="1" applyFill="1" applyBorder="1" applyAlignment="1" applyProtection="1">
      <alignment horizontal="right" vertical="center"/>
      <protection locked="0"/>
    </xf>
    <xf numFmtId="0" fontId="13" fillId="0" borderId="3" xfId="0" applyFont="1" applyBorder="1" applyAlignment="1" applyProtection="1">
      <alignment horizontal="center" vertical="center"/>
      <protection locked="0"/>
    </xf>
    <xf numFmtId="0" fontId="13" fillId="0" borderId="3" xfId="0" applyFont="1" applyBorder="1" applyAlignment="1" applyProtection="1">
      <alignment horizontal="left" vertical="center" wrapText="1"/>
      <protection locked="0"/>
    </xf>
    <xf numFmtId="0" fontId="13" fillId="2" borderId="3" xfId="0" applyFont="1" applyFill="1" applyBorder="1" applyAlignment="1" applyProtection="1">
      <alignment horizontal="left" vertical="center"/>
      <protection locked="0"/>
    </xf>
    <xf numFmtId="0" fontId="13" fillId="9" borderId="0" xfId="0" applyFont="1" applyFill="1" applyAlignment="1" applyProtection="1">
      <alignment horizontal="justify" vertical="top" wrapText="1"/>
      <protection locked="0"/>
    </xf>
    <xf numFmtId="4" fontId="13" fillId="6" borderId="3" xfId="11" applyNumberFormat="1" applyFont="1" applyFill="1" applyBorder="1" applyAlignment="1" applyProtection="1">
      <alignment vertical="center" wrapText="1"/>
      <protection locked="0"/>
    </xf>
    <xf numFmtId="4" fontId="13" fillId="6" borderId="3" xfId="11" applyNumberFormat="1" applyFont="1" applyFill="1" applyBorder="1" applyAlignment="1" applyProtection="1">
      <alignment horizontal="right" vertical="center" wrapText="1"/>
      <protection locked="0"/>
    </xf>
    <xf numFmtId="0" fontId="13" fillId="0" borderId="10"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49" fontId="59" fillId="9" borderId="0" xfId="0" applyNumberFormat="1" applyFont="1" applyFill="1" applyAlignment="1" applyProtection="1">
      <alignment horizontal="left" vertical="top"/>
      <protection locked="0"/>
    </xf>
    <xf numFmtId="0" fontId="13" fillId="0" borderId="0" xfId="0" applyFont="1" applyAlignment="1" applyProtection="1">
      <alignment horizontal="left"/>
      <protection locked="0"/>
    </xf>
    <xf numFmtId="4" fontId="13" fillId="0" borderId="18" xfId="0" applyNumberFormat="1" applyFont="1" applyBorder="1" applyAlignment="1" applyProtection="1">
      <alignment horizontal="left" vertical="center" wrapText="1"/>
      <protection locked="0"/>
    </xf>
    <xf numFmtId="4" fontId="13" fillId="0" borderId="9" xfId="0" applyNumberFormat="1" applyFont="1" applyBorder="1" applyAlignment="1" applyProtection="1">
      <alignment horizontal="left" vertical="center" wrapText="1"/>
      <protection locked="0"/>
    </xf>
    <xf numFmtId="0" fontId="7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4" fontId="13" fillId="0" borderId="30" xfId="0" applyNumberFormat="1" applyFont="1" applyBorder="1" applyAlignment="1" applyProtection="1">
      <alignment horizontal="left" vertical="center" wrapText="1"/>
      <protection locked="0"/>
    </xf>
    <xf numFmtId="4" fontId="13" fillId="0" borderId="0" xfId="0" applyNumberFormat="1" applyFont="1" applyAlignment="1" applyProtection="1">
      <alignment horizontal="left" vertical="center" wrapText="1"/>
      <protection locked="0"/>
    </xf>
    <xf numFmtId="4" fontId="13" fillId="0" borderId="30" xfId="0" applyNumberFormat="1" applyFont="1" applyBorder="1" applyAlignment="1" applyProtection="1">
      <alignment horizontal="left" vertical="center"/>
      <protection locked="0"/>
    </xf>
    <xf numFmtId="4" fontId="13" fillId="0" borderId="0" xfId="0" applyNumberFormat="1" applyFont="1" applyAlignment="1" applyProtection="1">
      <alignment horizontal="left" vertical="center"/>
      <protection locked="0"/>
    </xf>
    <xf numFmtId="4" fontId="13" fillId="0" borderId="13" xfId="0" applyNumberFormat="1" applyFont="1" applyBorder="1" applyAlignment="1" applyProtection="1">
      <alignment horizontal="left" vertical="center" wrapText="1"/>
      <protection locked="0"/>
    </xf>
    <xf numFmtId="0" fontId="78" fillId="0" borderId="3" xfId="0" applyFont="1" applyBorder="1" applyAlignment="1" applyProtection="1">
      <alignment horizontal="center" vertical="center" wrapText="1"/>
      <protection locked="0"/>
    </xf>
    <xf numFmtId="4" fontId="13" fillId="6" borderId="3" xfId="0" applyNumberFormat="1" applyFont="1" applyFill="1" applyBorder="1" applyAlignment="1" applyProtection="1">
      <alignment horizontal="center" vertical="center" wrapText="1"/>
      <protection locked="0"/>
    </xf>
    <xf numFmtId="4" fontId="13" fillId="0" borderId="16" xfId="0" applyNumberFormat="1" applyFont="1" applyBorder="1" applyAlignment="1" applyProtection="1">
      <alignment horizontal="center" vertical="center"/>
      <protection locked="0"/>
    </xf>
    <xf numFmtId="4" fontId="13" fillId="0" borderId="17" xfId="0" applyNumberFormat="1" applyFont="1" applyBorder="1" applyAlignment="1" applyProtection="1">
      <alignment horizontal="center" vertical="center"/>
      <protection locked="0"/>
    </xf>
    <xf numFmtId="4" fontId="78" fillId="9" borderId="30" xfId="0" applyNumberFormat="1" applyFont="1" applyFill="1" applyBorder="1" applyAlignment="1" applyProtection="1">
      <alignment horizontal="center" vertical="center"/>
      <protection locked="0"/>
    </xf>
    <xf numFmtId="4" fontId="78" fillId="9" borderId="13" xfId="0" applyNumberFormat="1" applyFont="1" applyFill="1" applyBorder="1" applyAlignment="1" applyProtection="1">
      <alignment horizontal="center" vertical="center"/>
      <protection locked="0"/>
    </xf>
    <xf numFmtId="4" fontId="78" fillId="9" borderId="18" xfId="0" applyNumberFormat="1" applyFont="1" applyFill="1" applyBorder="1" applyAlignment="1" applyProtection="1">
      <alignment horizontal="center" vertical="center"/>
      <protection locked="0"/>
    </xf>
    <xf numFmtId="4" fontId="78" fillId="9" borderId="14" xfId="0" applyNumberFormat="1" applyFont="1" applyFill="1" applyBorder="1" applyAlignment="1" applyProtection="1">
      <alignment horizontal="center" vertical="center"/>
      <protection locked="0"/>
    </xf>
    <xf numFmtId="4" fontId="13" fillId="6" borderId="10" xfId="0" applyNumberFormat="1" applyFont="1" applyFill="1" applyBorder="1" applyAlignment="1" applyProtection="1">
      <alignment horizontal="center" vertical="center" wrapText="1"/>
      <protection locked="0"/>
    </xf>
    <xf numFmtId="4" fontId="13" fillId="6" borderId="4" xfId="0" applyNumberFormat="1" applyFont="1" applyFill="1" applyBorder="1" applyAlignment="1" applyProtection="1">
      <alignment horizontal="center" vertical="center" wrapText="1"/>
      <protection locked="0"/>
    </xf>
    <xf numFmtId="4" fontId="78" fillId="9" borderId="10" xfId="0" applyNumberFormat="1" applyFont="1" applyFill="1" applyBorder="1" applyAlignment="1" applyProtection="1">
      <alignment horizontal="center" vertical="center"/>
      <protection locked="0"/>
    </xf>
    <xf numFmtId="4" fontId="78" fillId="9" borderId="4" xfId="0" applyNumberFormat="1" applyFont="1" applyFill="1" applyBorder="1" applyAlignment="1" applyProtection="1">
      <alignment horizontal="center" vertical="center"/>
      <protection locked="0"/>
    </xf>
    <xf numFmtId="0" fontId="13" fillId="4" borderId="3" xfId="2" applyNumberFormat="1" applyFont="1" applyFill="1" applyBorder="1" applyAlignment="1" applyProtection="1">
      <alignment horizontal="center" vertical="center" wrapText="1"/>
      <protection locked="0"/>
    </xf>
    <xf numFmtId="0" fontId="43" fillId="0" borderId="0" xfId="11" applyFont="1" applyAlignment="1" applyProtection="1">
      <alignment horizontal="left" vertical="top"/>
      <protection locked="0"/>
    </xf>
    <xf numFmtId="0" fontId="13" fillId="9" borderId="10" xfId="11" applyFont="1" applyFill="1" applyBorder="1" applyAlignment="1" applyProtection="1">
      <alignment horizontal="left" vertical="center" wrapText="1"/>
      <protection locked="0"/>
    </xf>
    <xf numFmtId="0" fontId="13" fillId="9" borderId="15" xfId="11" applyFont="1" applyFill="1" applyBorder="1" applyAlignment="1" applyProtection="1">
      <alignment horizontal="left" vertical="center" wrapText="1"/>
      <protection locked="0"/>
    </xf>
    <xf numFmtId="0" fontId="13" fillId="9" borderId="4" xfId="11" applyFont="1" applyFill="1" applyBorder="1" applyAlignment="1" applyProtection="1">
      <alignment horizontal="left" vertical="center" wrapText="1"/>
      <protection locked="0"/>
    </xf>
    <xf numFmtId="0" fontId="39" fillId="0" borderId="0" xfId="3" applyNumberFormat="1" applyFont="1" applyAlignment="1" applyProtection="1">
      <alignment horizontal="center"/>
      <protection locked="0"/>
    </xf>
    <xf numFmtId="0" fontId="13" fillId="0" borderId="10" xfId="11" applyFont="1" applyBorder="1" applyAlignment="1" applyProtection="1">
      <alignment horizontal="center" vertical="center" wrapText="1"/>
      <protection locked="0"/>
    </xf>
    <xf numFmtId="0" fontId="13" fillId="0" borderId="15" xfId="11" applyFont="1" applyBorder="1" applyAlignment="1" applyProtection="1">
      <alignment horizontal="center" vertical="center" wrapText="1"/>
      <protection locked="0"/>
    </xf>
    <xf numFmtId="0" fontId="13" fillId="0" borderId="4" xfId="11" applyFont="1" applyBorder="1" applyAlignment="1" applyProtection="1">
      <alignment horizontal="center" vertical="center" wrapText="1"/>
      <protection locked="0"/>
    </xf>
    <xf numFmtId="0" fontId="13" fillId="9" borderId="0" xfId="11" applyFont="1" applyFill="1" applyAlignment="1" applyProtection="1">
      <alignment horizontal="left" vertical="top" wrapText="1"/>
      <protection locked="0"/>
    </xf>
    <xf numFmtId="0" fontId="13" fillId="0" borderId="28" xfId="11" applyFont="1" applyBorder="1" applyAlignment="1" applyProtection="1">
      <alignment horizontal="center" vertical="top" wrapText="1"/>
      <protection locked="0"/>
    </xf>
    <xf numFmtId="0" fontId="13" fillId="0" borderId="2" xfId="11" applyFont="1" applyBorder="1" applyAlignment="1" applyProtection="1">
      <alignment horizontal="center" vertical="top" wrapText="1"/>
      <protection locked="0"/>
    </xf>
    <xf numFmtId="0" fontId="13" fillId="0" borderId="3" xfId="11" applyFont="1" applyBorder="1" applyAlignment="1" applyProtection="1">
      <alignment horizontal="center" vertical="center"/>
      <protection locked="0"/>
    </xf>
    <xf numFmtId="4" fontId="13" fillId="9" borderId="10" xfId="11" applyNumberFormat="1" applyFont="1" applyFill="1" applyBorder="1" applyAlignment="1" applyProtection="1">
      <alignment horizontal="right" vertical="center"/>
      <protection locked="0"/>
    </xf>
    <xf numFmtId="4" fontId="13" fillId="9" borderId="4" xfId="11" applyNumberFormat="1" applyFont="1" applyFill="1" applyBorder="1" applyAlignment="1" applyProtection="1">
      <alignment horizontal="right" vertical="center"/>
      <protection locked="0"/>
    </xf>
    <xf numFmtId="0" fontId="14" fillId="0" borderId="0" xfId="11" applyFont="1" applyAlignment="1" applyProtection="1">
      <alignment horizontal="left" vertical="center"/>
      <protection locked="0"/>
    </xf>
    <xf numFmtId="0" fontId="13" fillId="2" borderId="3" xfId="11" applyFont="1" applyFill="1" applyBorder="1" applyAlignment="1" applyProtection="1">
      <alignment horizontal="left" vertical="center" wrapText="1"/>
      <protection locked="0"/>
    </xf>
    <xf numFmtId="4" fontId="13" fillId="9" borderId="3" xfId="11" applyNumberFormat="1" applyFont="1" applyFill="1" applyBorder="1" applyAlignment="1" applyProtection="1">
      <alignment horizontal="right" vertical="center"/>
      <protection locked="0"/>
    </xf>
    <xf numFmtId="4" fontId="13" fillId="9" borderId="3" xfId="11" applyNumberFormat="1" applyFont="1" applyFill="1" applyBorder="1" applyAlignment="1" applyProtection="1">
      <alignment horizontal="right" vertical="center" wrapText="1"/>
      <protection locked="0"/>
    </xf>
    <xf numFmtId="0" fontId="13" fillId="2" borderId="10" xfId="11" applyFont="1" applyFill="1" applyBorder="1" applyAlignment="1" applyProtection="1">
      <alignment horizontal="left" vertical="center" wrapText="1"/>
      <protection locked="0"/>
    </xf>
    <xf numFmtId="0" fontId="13" fillId="2" borderId="4" xfId="11" applyFont="1" applyFill="1" applyBorder="1" applyAlignment="1" applyProtection="1">
      <alignment horizontal="left" vertical="center" wrapText="1"/>
      <protection locked="0"/>
    </xf>
    <xf numFmtId="4" fontId="13" fillId="9" borderId="10" xfId="11" applyNumberFormat="1" applyFont="1" applyFill="1" applyBorder="1" applyAlignment="1" applyProtection="1">
      <alignment horizontal="right" vertical="center" wrapText="1"/>
      <protection locked="0"/>
    </xf>
    <xf numFmtId="4" fontId="13" fillId="9" borderId="4" xfId="11" applyNumberFormat="1" applyFont="1" applyFill="1" applyBorder="1" applyAlignment="1" applyProtection="1">
      <alignment horizontal="right" vertical="center" wrapText="1"/>
      <protection locked="0"/>
    </xf>
    <xf numFmtId="0" fontId="13" fillId="4" borderId="28" xfId="10" applyNumberFormat="1" applyFont="1" applyFill="1" applyBorder="1" applyAlignment="1" applyProtection="1">
      <alignment horizontal="center" vertical="center" wrapText="1"/>
      <protection locked="0"/>
    </xf>
    <xf numFmtId="0" fontId="13" fillId="4" borderId="2" xfId="10" applyNumberFormat="1" applyFont="1" applyFill="1" applyBorder="1" applyAlignment="1" applyProtection="1">
      <alignment horizontal="center" vertical="center" wrapText="1"/>
      <protection locked="0"/>
    </xf>
    <xf numFmtId="0" fontId="13" fillId="0" borderId="10" xfId="11" applyFont="1" applyBorder="1" applyAlignment="1" applyProtection="1">
      <alignment horizontal="left" vertical="center" wrapText="1"/>
      <protection locked="0"/>
    </xf>
    <xf numFmtId="0" fontId="13" fillId="0" borderId="4" xfId="11" applyFont="1" applyBorder="1" applyAlignment="1" applyProtection="1">
      <alignment horizontal="left" vertical="center" wrapText="1"/>
      <protection locked="0"/>
    </xf>
    <xf numFmtId="0" fontId="13" fillId="4" borderId="28" xfId="2" applyNumberFormat="1" applyFont="1" applyFill="1" applyBorder="1" applyAlignment="1" applyProtection="1">
      <alignment horizontal="center" vertical="center" wrapText="1"/>
      <protection locked="0"/>
    </xf>
    <xf numFmtId="0" fontId="13" fillId="4" borderId="2" xfId="2" applyNumberFormat="1" applyFont="1" applyFill="1" applyBorder="1" applyAlignment="1" applyProtection="1">
      <alignment horizontal="center" vertical="center" wrapText="1"/>
      <protection locked="0"/>
    </xf>
    <xf numFmtId="0" fontId="13" fillId="4" borderId="16" xfId="2" applyNumberFormat="1" applyFont="1" applyFill="1" applyBorder="1" applyAlignment="1" applyProtection="1">
      <alignment horizontal="center" vertical="center" wrapText="1"/>
      <protection locked="0"/>
    </xf>
    <xf numFmtId="0" fontId="13" fillId="4" borderId="17" xfId="2" applyNumberFormat="1" applyFont="1" applyFill="1" applyBorder="1" applyAlignment="1" applyProtection="1">
      <alignment horizontal="center" vertical="center" wrapText="1"/>
      <protection locked="0"/>
    </xf>
    <xf numFmtId="0" fontId="13" fillId="4" borderId="18" xfId="2" applyNumberFormat="1" applyFont="1" applyFill="1" applyBorder="1" applyAlignment="1" applyProtection="1">
      <alignment horizontal="center" vertical="center" wrapText="1"/>
      <protection locked="0"/>
    </xf>
    <xf numFmtId="0" fontId="13" fillId="4" borderId="14" xfId="2" applyNumberFormat="1" applyFont="1" applyFill="1" applyBorder="1" applyAlignment="1" applyProtection="1">
      <alignment horizontal="center" vertical="center" wrapText="1"/>
      <protection locked="0"/>
    </xf>
    <xf numFmtId="4" fontId="13" fillId="9" borderId="0" xfId="0" applyNumberFormat="1" applyFont="1" applyFill="1" applyAlignment="1" applyProtection="1">
      <alignment horizontal="left" vertical="center" wrapText="1"/>
      <protection locked="0"/>
    </xf>
    <xf numFmtId="4" fontId="13" fillId="9" borderId="13" xfId="0" applyNumberFormat="1" applyFont="1" applyFill="1" applyBorder="1" applyAlignment="1" applyProtection="1">
      <alignment horizontal="left" vertical="center" wrapText="1"/>
      <protection locked="0"/>
    </xf>
    <xf numFmtId="0" fontId="13" fillId="0" borderId="10"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43" fillId="0" borderId="10"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13" fillId="9" borderId="0" xfId="0" applyFont="1" applyFill="1" applyAlignment="1" applyProtection="1">
      <alignment horizontal="left" vertical="center" wrapText="1"/>
      <protection locked="0"/>
    </xf>
    <xf numFmtId="0" fontId="13" fillId="9" borderId="13" xfId="0" applyFont="1" applyFill="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4" fontId="13" fillId="9" borderId="10" xfId="0" applyNumberFormat="1" applyFont="1" applyFill="1" applyBorder="1" applyAlignment="1" applyProtection="1">
      <alignment horizontal="left" vertical="center" wrapText="1"/>
      <protection locked="0"/>
    </xf>
    <xf numFmtId="4" fontId="13" fillId="9" borderId="15" xfId="0" applyNumberFormat="1" applyFont="1" applyFill="1" applyBorder="1" applyAlignment="1" applyProtection="1">
      <alignment horizontal="left" vertical="center" wrapText="1"/>
      <protection locked="0"/>
    </xf>
    <xf numFmtId="4" fontId="13" fillId="9" borderId="4" xfId="0" applyNumberFormat="1" applyFont="1" applyFill="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43" fillId="0" borderId="10" xfId="0" applyFont="1" applyBorder="1" applyAlignment="1" applyProtection="1">
      <alignment horizontal="left" vertical="top" wrapText="1"/>
      <protection locked="0"/>
    </xf>
    <xf numFmtId="0" fontId="43" fillId="0" borderId="15" xfId="0" applyFont="1" applyBorder="1" applyAlignment="1" applyProtection="1">
      <alignment horizontal="left" vertical="top" wrapText="1"/>
      <protection locked="0"/>
    </xf>
    <xf numFmtId="0" fontId="13" fillId="0" borderId="15" xfId="11" applyFont="1" applyBorder="1" applyAlignment="1" applyProtection="1">
      <alignment horizontal="left" vertical="center" wrapText="1"/>
      <protection locked="0"/>
    </xf>
    <xf numFmtId="0" fontId="43" fillId="0" borderId="0" xfId="11" applyFont="1" applyAlignment="1" applyProtection="1">
      <alignment horizontal="justify" vertical="top" wrapText="1"/>
      <protection locked="0"/>
    </xf>
    <xf numFmtId="0" fontId="13" fillId="0" borderId="10" xfId="11" applyFont="1" applyBorder="1" applyAlignment="1" applyProtection="1">
      <alignment horizontal="left" vertical="top" wrapText="1"/>
      <protection locked="0"/>
    </xf>
    <xf numFmtId="0" fontId="13" fillId="0" borderId="15" xfId="11" applyFont="1" applyBorder="1" applyAlignment="1" applyProtection="1">
      <alignment horizontal="left" vertical="top" wrapText="1"/>
      <protection locked="0"/>
    </xf>
    <xf numFmtId="0" fontId="13" fillId="0" borderId="4" xfId="11" applyFont="1" applyBorder="1" applyAlignment="1" applyProtection="1">
      <alignment horizontal="left" vertical="top" wrapText="1"/>
      <protection locked="0"/>
    </xf>
    <xf numFmtId="0" fontId="64" fillId="9" borderId="0" xfId="5" applyFont="1" applyFill="1" applyAlignment="1" applyProtection="1">
      <alignment horizontal="left" vertical="top" wrapText="1"/>
      <protection locked="0"/>
    </xf>
    <xf numFmtId="0" fontId="64" fillId="9" borderId="13" xfId="5" applyFont="1" applyFill="1" applyBorder="1" applyAlignment="1" applyProtection="1">
      <alignment horizontal="left" vertical="top" wrapText="1"/>
      <protection locked="0"/>
    </xf>
    <xf numFmtId="0" fontId="64" fillId="9" borderId="0" xfId="5" applyFont="1" applyFill="1" applyAlignment="1" applyProtection="1">
      <alignment horizontal="left" vertical="top"/>
      <protection locked="0"/>
    </xf>
    <xf numFmtId="0" fontId="64" fillId="9" borderId="13" xfId="5" applyFont="1" applyFill="1" applyBorder="1" applyAlignment="1" applyProtection="1">
      <alignment horizontal="left" vertical="top"/>
      <protection locked="0"/>
    </xf>
    <xf numFmtId="0" fontId="13" fillId="9" borderId="10" xfId="0" applyFont="1" applyFill="1" applyBorder="1" applyAlignment="1" applyProtection="1">
      <alignment horizontal="left" vertical="center"/>
      <protection locked="0"/>
    </xf>
    <xf numFmtId="0" fontId="13" fillId="9" borderId="15" xfId="0" applyFont="1" applyFill="1" applyBorder="1" applyAlignment="1" applyProtection="1">
      <alignment horizontal="left" vertical="center"/>
      <protection locked="0"/>
    </xf>
    <xf numFmtId="0" fontId="13" fillId="9" borderId="4" xfId="0" applyFont="1" applyFill="1" applyBorder="1" applyAlignment="1" applyProtection="1">
      <alignment horizontal="left" vertical="center"/>
      <protection locked="0"/>
    </xf>
    <xf numFmtId="4" fontId="13" fillId="2" borderId="3" xfId="0" applyNumberFormat="1" applyFont="1" applyFill="1" applyBorder="1" applyAlignment="1" applyProtection="1">
      <alignment horizontal="right" vertical="center"/>
      <protection locked="0"/>
    </xf>
    <xf numFmtId="4" fontId="13" fillId="6" borderId="10" xfId="0" applyNumberFormat="1" applyFont="1" applyFill="1" applyBorder="1" applyAlignment="1" applyProtection="1">
      <alignment horizontal="right" vertical="center"/>
      <protection locked="0"/>
    </xf>
    <xf numFmtId="4" fontId="13" fillId="6" borderId="4" xfId="0" applyNumberFormat="1" applyFont="1" applyFill="1" applyBorder="1" applyAlignment="1" applyProtection="1">
      <alignment horizontal="right" vertical="center"/>
      <protection locked="0"/>
    </xf>
    <xf numFmtId="4" fontId="13" fillId="2" borderId="10" xfId="0" applyNumberFormat="1" applyFont="1" applyFill="1" applyBorder="1" applyAlignment="1" applyProtection="1">
      <alignment horizontal="right" vertical="center"/>
      <protection locked="0"/>
    </xf>
    <xf numFmtId="4" fontId="13" fillId="2" borderId="4" xfId="0" applyNumberFormat="1" applyFont="1" applyFill="1" applyBorder="1" applyAlignment="1" applyProtection="1">
      <alignment horizontal="right" vertical="center"/>
      <protection locked="0"/>
    </xf>
    <xf numFmtId="0" fontId="13" fillId="0" borderId="10"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4" fontId="63" fillId="0" borderId="0" xfId="0" applyNumberFormat="1" applyFont="1" applyAlignment="1" applyProtection="1">
      <alignment horizontal="left" vertical="top" wrapText="1"/>
      <protection locked="0"/>
    </xf>
    <xf numFmtId="4" fontId="63" fillId="0" borderId="13" xfId="0" applyNumberFormat="1" applyFont="1" applyBorder="1" applyAlignment="1" applyProtection="1">
      <alignment horizontal="left" vertical="top" wrapText="1"/>
      <protection locked="0"/>
    </xf>
    <xf numFmtId="0" fontId="13" fillId="0" borderId="16" xfId="0" applyFont="1" applyBorder="1" applyAlignment="1" applyProtection="1">
      <alignment horizontal="center" wrapText="1"/>
      <protection locked="0"/>
    </xf>
    <xf numFmtId="0" fontId="13" fillId="0" borderId="17" xfId="0" applyFont="1" applyBorder="1" applyAlignment="1" applyProtection="1">
      <alignment horizontal="center" wrapText="1"/>
      <protection locked="0"/>
    </xf>
    <xf numFmtId="0" fontId="13" fillId="0" borderId="10" xfId="0" applyFont="1" applyBorder="1" applyAlignment="1" applyProtection="1">
      <alignment horizontal="right" vertical="center" wrapText="1"/>
      <protection locked="0"/>
    </xf>
    <xf numFmtId="0" fontId="13" fillId="0" borderId="15" xfId="0" applyFont="1" applyBorder="1" applyAlignment="1" applyProtection="1">
      <alignment horizontal="right" vertical="center" wrapText="1"/>
      <protection locked="0"/>
    </xf>
    <xf numFmtId="0" fontId="13" fillId="0" borderId="4" xfId="0" applyFont="1" applyBorder="1" applyAlignment="1" applyProtection="1">
      <alignment horizontal="right" vertical="center" wrapText="1"/>
      <protection locked="0"/>
    </xf>
    <xf numFmtId="4" fontId="13" fillId="6" borderId="18" xfId="0" applyNumberFormat="1" applyFont="1" applyFill="1" applyBorder="1" applyAlignment="1" applyProtection="1">
      <alignment horizontal="right" vertical="center"/>
      <protection locked="0"/>
    </xf>
    <xf numFmtId="4" fontId="13" fillId="6" borderId="14" xfId="0" applyNumberFormat="1" applyFont="1" applyFill="1" applyBorder="1" applyAlignment="1" applyProtection="1">
      <alignment horizontal="right" vertical="center"/>
      <protection locked="0"/>
    </xf>
    <xf numFmtId="0" fontId="13" fillId="0" borderId="16"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64" fillId="0" borderId="3" xfId="11" applyFont="1" applyBorder="1" applyAlignment="1" applyProtection="1">
      <alignment horizontal="center" vertical="center" wrapText="1"/>
      <protection locked="0"/>
    </xf>
    <xf numFmtId="0" fontId="64" fillId="0" borderId="16" xfId="11" applyFont="1" applyBorder="1" applyAlignment="1" applyProtection="1">
      <alignment horizontal="center" vertical="center" wrapText="1"/>
      <protection locked="0"/>
    </xf>
    <xf numFmtId="0" fontId="64" fillId="0" borderId="17" xfId="11" applyFont="1" applyBorder="1" applyAlignment="1" applyProtection="1">
      <alignment horizontal="center" vertical="center" wrapText="1"/>
      <protection locked="0"/>
    </xf>
    <xf numFmtId="0" fontId="64" fillId="0" borderId="18" xfId="11" applyFont="1" applyBorder="1" applyAlignment="1" applyProtection="1">
      <alignment horizontal="center" vertical="center" wrapText="1"/>
      <protection locked="0"/>
    </xf>
    <xf numFmtId="0" fontId="64" fillId="0" borderId="14" xfId="11"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4" fontId="13" fillId="9" borderId="10" xfId="0" applyNumberFormat="1" applyFont="1" applyFill="1" applyBorder="1" applyAlignment="1" applyProtection="1">
      <alignment horizontal="right" vertical="center" wrapText="1"/>
      <protection locked="0"/>
    </xf>
    <xf numFmtId="4" fontId="13" fillId="9" borderId="4" xfId="0" applyNumberFormat="1" applyFont="1" applyFill="1" applyBorder="1" applyAlignment="1" applyProtection="1">
      <alignment horizontal="right" vertical="center" wrapText="1"/>
      <protection locked="0"/>
    </xf>
    <xf numFmtId="4" fontId="13" fillId="6" borderId="10" xfId="0" applyNumberFormat="1" applyFont="1" applyFill="1" applyBorder="1" applyAlignment="1" applyProtection="1">
      <alignment vertical="center"/>
      <protection locked="0"/>
    </xf>
    <xf numFmtId="4" fontId="13" fillId="6" borderId="4" xfId="0" applyNumberFormat="1" applyFont="1" applyFill="1" applyBorder="1" applyAlignment="1" applyProtection="1">
      <alignment vertical="center"/>
      <protection locked="0"/>
    </xf>
    <xf numFmtId="0" fontId="13" fillId="0" borderId="10"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4" fontId="13" fillId="9" borderId="10" xfId="0" applyNumberFormat="1" applyFont="1" applyFill="1" applyBorder="1" applyAlignment="1" applyProtection="1">
      <alignment vertical="center"/>
      <protection locked="0"/>
    </xf>
    <xf numFmtId="4" fontId="13" fillId="9" borderId="4" xfId="0" applyNumberFormat="1" applyFont="1" applyFill="1" applyBorder="1" applyAlignment="1" applyProtection="1">
      <alignment vertical="center"/>
      <protection locked="0"/>
    </xf>
    <xf numFmtId="4" fontId="14" fillId="2" borderId="3" xfId="0" applyNumberFormat="1" applyFont="1" applyFill="1" applyBorder="1" applyAlignment="1" applyProtection="1">
      <alignment vertical="center"/>
      <protection locked="0"/>
    </xf>
    <xf numFmtId="4" fontId="14" fillId="2" borderId="3" xfId="0" applyNumberFormat="1" applyFont="1" applyFill="1" applyBorder="1" applyAlignment="1" applyProtection="1">
      <alignment horizontal="right" vertical="center"/>
      <protection locked="0"/>
    </xf>
    <xf numFmtId="4" fontId="13" fillId="12" borderId="0" xfId="11" applyNumberFormat="1" applyFont="1" applyFill="1" applyAlignment="1" applyProtection="1">
      <alignment horizontal="left" vertical="top" wrapText="1"/>
      <protection locked="0"/>
    </xf>
    <xf numFmtId="0" fontId="13" fillId="0" borderId="3" xfId="0" applyFont="1" applyBorder="1" applyAlignment="1" applyProtection="1">
      <alignment horizontal="center" vertical="top" wrapText="1"/>
      <protection locked="0"/>
    </xf>
    <xf numFmtId="4" fontId="13" fillId="6" borderId="28" xfId="0" applyNumberFormat="1" applyFont="1" applyFill="1" applyBorder="1" applyAlignment="1" applyProtection="1">
      <alignment horizontal="right" vertical="center"/>
      <protection locked="0"/>
    </xf>
    <xf numFmtId="4" fontId="13" fillId="6" borderId="2" xfId="0" applyNumberFormat="1" applyFont="1" applyFill="1" applyBorder="1" applyAlignment="1" applyProtection="1">
      <alignment horizontal="right" vertical="center"/>
      <protection locked="0"/>
    </xf>
    <xf numFmtId="0" fontId="64" fillId="0" borderId="3" xfId="11" applyFont="1" applyBorder="1" applyAlignment="1" applyProtection="1">
      <alignment horizontal="left" vertical="center" wrapText="1"/>
      <protection locked="0"/>
    </xf>
    <xf numFmtId="4" fontId="13" fillId="9" borderId="10" xfId="0" applyNumberFormat="1" applyFont="1" applyFill="1" applyBorder="1" applyAlignment="1" applyProtection="1">
      <alignment horizontal="right" vertical="center"/>
      <protection locked="0"/>
    </xf>
    <xf numFmtId="4" fontId="13" fillId="9" borderId="4" xfId="0" applyNumberFormat="1" applyFont="1" applyFill="1" applyBorder="1" applyAlignment="1" applyProtection="1">
      <alignment horizontal="right" vertical="center"/>
      <protection locked="0"/>
    </xf>
    <xf numFmtId="4" fontId="13" fillId="9" borderId="10" xfId="0" applyNumberFormat="1" applyFont="1" applyFill="1" applyBorder="1" applyAlignment="1" applyProtection="1">
      <alignment vertical="center" wrapText="1"/>
      <protection locked="0"/>
    </xf>
    <xf numFmtId="4" fontId="13" fillId="9" borderId="4" xfId="0" applyNumberFormat="1" applyFont="1" applyFill="1" applyBorder="1" applyAlignment="1" applyProtection="1">
      <alignment vertical="center" wrapText="1"/>
      <protection locked="0"/>
    </xf>
    <xf numFmtId="4" fontId="13" fillId="9" borderId="0" xfId="11" applyNumberFormat="1" applyFont="1" applyFill="1" applyAlignment="1" applyProtection="1">
      <alignment horizontal="left" vertical="top" wrapText="1"/>
      <protection locked="0"/>
    </xf>
    <xf numFmtId="0" fontId="53" fillId="0" borderId="0" xfId="0" applyFont="1" applyAlignment="1" applyProtection="1">
      <alignment horizontal="left" vertical="top"/>
      <protection locked="0"/>
    </xf>
    <xf numFmtId="0" fontId="14" fillId="0" borderId="3" xfId="0" applyFont="1" applyBorder="1" applyAlignment="1" applyProtection="1">
      <alignment horizontal="center" vertical="center"/>
      <protection locked="0"/>
    </xf>
    <xf numFmtId="4" fontId="14" fillId="0" borderId="3" xfId="0" applyNumberFormat="1" applyFont="1" applyBorder="1" applyAlignment="1" applyProtection="1">
      <alignment horizontal="center" vertical="center"/>
      <protection locked="0"/>
    </xf>
    <xf numFmtId="0" fontId="13" fillId="9" borderId="10" xfId="0" applyFont="1" applyFill="1" applyBorder="1" applyAlignment="1" applyProtection="1">
      <alignment horizontal="left" vertical="top" wrapText="1"/>
      <protection locked="0"/>
    </xf>
    <xf numFmtId="0" fontId="13" fillId="9" borderId="15" xfId="0" applyFont="1" applyFill="1" applyBorder="1" applyAlignment="1" applyProtection="1">
      <alignment horizontal="left" vertical="top" wrapText="1"/>
      <protection locked="0"/>
    </xf>
    <xf numFmtId="0" fontId="13" fillId="9" borderId="4" xfId="0" applyFont="1" applyFill="1" applyBorder="1" applyAlignment="1" applyProtection="1">
      <alignment horizontal="left" vertical="top" wrapText="1"/>
      <protection locked="0"/>
    </xf>
    <xf numFmtId="0" fontId="63" fillId="0" borderId="0" xfId="5" applyFont="1" applyAlignment="1" applyProtection="1">
      <alignment horizontal="left" vertical="top" wrapText="1"/>
      <protection locked="0"/>
    </xf>
    <xf numFmtId="0" fontId="63" fillId="0" borderId="13" xfId="5" applyFont="1" applyBorder="1" applyAlignment="1" applyProtection="1">
      <alignment horizontal="left" vertical="top" wrapText="1"/>
      <protection locked="0"/>
    </xf>
    <xf numFmtId="0" fontId="13" fillId="0" borderId="0" xfId="0" applyFont="1" applyAlignment="1" applyProtection="1">
      <alignment horizontal="center"/>
      <protection locked="0"/>
    </xf>
    <xf numFmtId="4" fontId="13" fillId="6" borderId="16" xfId="0" applyNumberFormat="1" applyFont="1" applyFill="1" applyBorder="1" applyAlignment="1" applyProtection="1">
      <alignment horizontal="right" vertical="center"/>
      <protection locked="0"/>
    </xf>
    <xf numFmtId="4" fontId="13" fillId="6" borderId="17" xfId="0" applyNumberFormat="1" applyFont="1" applyFill="1" applyBorder="1" applyAlignment="1" applyProtection="1">
      <alignment horizontal="right" vertical="center"/>
      <protection locked="0"/>
    </xf>
    <xf numFmtId="4" fontId="13" fillId="9" borderId="3" xfId="11" applyNumberFormat="1" applyFont="1" applyFill="1" applyBorder="1" applyAlignment="1" applyProtection="1">
      <alignment horizontal="left" vertical="center" wrapText="1"/>
      <protection locked="0"/>
    </xf>
    <xf numFmtId="0" fontId="13" fillId="9" borderId="0" xfId="5" applyFont="1" applyFill="1" applyAlignment="1" applyProtection="1">
      <alignment horizontal="left" vertical="top" wrapText="1"/>
      <protection locked="0"/>
    </xf>
    <xf numFmtId="0" fontId="64" fillId="0" borderId="0" xfId="11" applyFont="1" applyAlignment="1" applyProtection="1">
      <alignment horizontal="center" vertical="center" wrapText="1"/>
      <protection locked="0"/>
    </xf>
    <xf numFmtId="0" fontId="14" fillId="0" borderId="3" xfId="9" applyFont="1" applyBorder="1" applyAlignment="1" applyProtection="1">
      <alignment horizontal="center" vertical="center"/>
      <protection locked="0"/>
    </xf>
    <xf numFmtId="0" fontId="13" fillId="0" borderId="10" xfId="9" applyFont="1" applyBorder="1" applyAlignment="1" applyProtection="1">
      <alignment horizontal="left" vertical="center" wrapText="1"/>
      <protection locked="0"/>
    </xf>
    <xf numFmtId="0" fontId="13" fillId="0" borderId="15" xfId="9" applyFont="1" applyBorder="1" applyAlignment="1" applyProtection="1">
      <alignment horizontal="left" vertical="center" wrapText="1"/>
      <protection locked="0"/>
    </xf>
    <xf numFmtId="0" fontId="13" fillId="0" borderId="4" xfId="9" applyFont="1" applyBorder="1" applyAlignment="1" applyProtection="1">
      <alignment horizontal="left" vertical="center" wrapText="1"/>
      <protection locked="0"/>
    </xf>
    <xf numFmtId="0" fontId="13" fillId="0" borderId="16" xfId="9" applyFont="1" applyBorder="1" applyAlignment="1" applyProtection="1">
      <alignment horizontal="left" vertical="center" wrapText="1"/>
      <protection locked="0"/>
    </xf>
    <xf numFmtId="0" fontId="13" fillId="0" borderId="8" xfId="9" applyFont="1" applyBorder="1" applyAlignment="1" applyProtection="1">
      <alignment horizontal="left" vertical="center" wrapText="1"/>
      <protection locked="0"/>
    </xf>
    <xf numFmtId="0" fontId="13" fillId="0" borderId="17" xfId="9" applyFont="1" applyBorder="1" applyAlignment="1" applyProtection="1">
      <alignment horizontal="left" vertical="center" wrapText="1"/>
      <protection locked="0"/>
    </xf>
    <xf numFmtId="0" fontId="13" fillId="0" borderId="30" xfId="9" applyFont="1" applyBorder="1" applyAlignment="1" applyProtection="1">
      <alignment horizontal="left" vertical="center" wrapText="1"/>
      <protection locked="0"/>
    </xf>
    <xf numFmtId="0" fontId="13" fillId="0" borderId="0" xfId="9" applyFont="1" applyAlignment="1" applyProtection="1">
      <alignment horizontal="left" vertical="center" wrapText="1"/>
      <protection locked="0"/>
    </xf>
    <xf numFmtId="0" fontId="13" fillId="0" borderId="13" xfId="9" applyFont="1" applyBorder="1" applyAlignment="1" applyProtection="1">
      <alignment horizontal="left" vertical="center" wrapText="1"/>
      <protection locked="0"/>
    </xf>
    <xf numFmtId="0" fontId="13" fillId="0" borderId="30" xfId="9" applyFont="1" applyBorder="1" applyAlignment="1" applyProtection="1">
      <alignment horizontal="left" vertical="center"/>
      <protection locked="0"/>
    </xf>
    <xf numFmtId="0" fontId="13" fillId="0" borderId="0" xfId="9" applyFont="1" applyAlignment="1" applyProtection="1">
      <alignment horizontal="left" vertical="center"/>
      <protection locked="0"/>
    </xf>
    <xf numFmtId="0" fontId="13" fillId="0" borderId="13" xfId="9" applyFont="1" applyBorder="1" applyAlignment="1" applyProtection="1">
      <alignment horizontal="left" vertical="center"/>
      <protection locked="0"/>
    </xf>
    <xf numFmtId="167" fontId="13" fillId="9" borderId="31" xfId="9" applyNumberFormat="1" applyFont="1" applyFill="1" applyBorder="1" applyAlignment="1" applyProtection="1">
      <alignment horizontal="center" vertical="center"/>
      <protection locked="0"/>
    </xf>
    <xf numFmtId="167" fontId="13" fillId="9" borderId="28" xfId="9" applyNumberFormat="1" applyFont="1" applyFill="1" applyBorder="1" applyAlignment="1" applyProtection="1">
      <alignment horizontal="center" vertical="center"/>
      <protection locked="0"/>
    </xf>
    <xf numFmtId="167" fontId="13" fillId="6" borderId="3" xfId="9" applyNumberFormat="1" applyFont="1" applyFill="1" applyBorder="1" applyAlignment="1" applyProtection="1">
      <alignment horizontal="center" vertical="center"/>
      <protection locked="0"/>
    </xf>
    <xf numFmtId="167" fontId="13" fillId="9" borderId="2" xfId="9" applyNumberFormat="1" applyFont="1" applyFill="1" applyBorder="1" applyAlignment="1" applyProtection="1">
      <alignment horizontal="center" vertical="center"/>
      <protection locked="0"/>
    </xf>
    <xf numFmtId="167" fontId="13" fillId="2" borderId="3" xfId="9" applyNumberFormat="1" applyFont="1" applyFill="1" applyBorder="1" applyAlignment="1" applyProtection="1">
      <alignment horizontal="center" vertical="center"/>
      <protection locked="0"/>
    </xf>
    <xf numFmtId="0" fontId="14" fillId="0" borderId="10" xfId="9" applyFont="1" applyBorder="1" applyAlignment="1" applyProtection="1">
      <alignment horizontal="left" vertical="center"/>
      <protection locked="0"/>
    </xf>
    <xf numFmtId="0" fontId="14" fillId="0" borderId="15" xfId="9" applyFont="1" applyBorder="1" applyAlignment="1" applyProtection="1">
      <alignment horizontal="left" vertical="center"/>
      <protection locked="0"/>
    </xf>
    <xf numFmtId="0" fontId="14" fillId="0" borderId="4" xfId="9" applyFont="1" applyBorder="1" applyAlignment="1" applyProtection="1">
      <alignment horizontal="left" vertical="center"/>
      <protection locked="0"/>
    </xf>
    <xf numFmtId="0" fontId="14" fillId="0" borderId="15" xfId="9" applyFont="1" applyBorder="1" applyAlignment="1" applyProtection="1">
      <alignment horizontal="center" vertical="center"/>
      <protection locked="0"/>
    </xf>
    <xf numFmtId="0" fontId="14" fillId="0" borderId="4" xfId="9" applyFont="1" applyBorder="1" applyAlignment="1" applyProtection="1">
      <alignment horizontal="center" vertical="center"/>
      <protection locked="0"/>
    </xf>
    <xf numFmtId="167" fontId="13" fillId="6" borderId="4" xfId="9" applyNumberFormat="1" applyFont="1" applyFill="1" applyBorder="1" applyAlignment="1" applyProtection="1">
      <alignment horizontal="right" vertical="center"/>
      <protection locked="0"/>
    </xf>
    <xf numFmtId="167" fontId="13" fillId="6" borderId="3" xfId="9" applyNumberFormat="1" applyFont="1" applyFill="1" applyBorder="1" applyAlignment="1" applyProtection="1">
      <alignment horizontal="right" vertical="center"/>
      <protection locked="0"/>
    </xf>
    <xf numFmtId="167" fontId="13" fillId="2" borderId="28" xfId="9" applyNumberFormat="1" applyFont="1" applyFill="1" applyBorder="1" applyAlignment="1" applyProtection="1">
      <alignment horizontal="right" vertical="center"/>
      <protection locked="0"/>
    </xf>
    <xf numFmtId="167" fontId="13" fillId="2" borderId="18" xfId="9" applyNumberFormat="1" applyFont="1" applyFill="1" applyBorder="1" applyAlignment="1" applyProtection="1">
      <alignment horizontal="right" vertical="center"/>
      <protection locked="0"/>
    </xf>
    <xf numFmtId="167" fontId="13" fillId="2" borderId="14" xfId="9" applyNumberFormat="1" applyFont="1" applyFill="1" applyBorder="1" applyAlignment="1" applyProtection="1">
      <alignment horizontal="right" vertical="center"/>
      <protection locked="0"/>
    </xf>
    <xf numFmtId="167" fontId="13" fillId="2" borderId="16" xfId="9" applyNumberFormat="1" applyFont="1" applyFill="1" applyBorder="1" applyAlignment="1" applyProtection="1">
      <alignment horizontal="right" vertical="center"/>
      <protection locked="0"/>
    </xf>
    <xf numFmtId="167" fontId="13" fillId="2" borderId="17" xfId="9" applyNumberFormat="1" applyFont="1" applyFill="1" applyBorder="1" applyAlignment="1" applyProtection="1">
      <alignment horizontal="right" vertical="center"/>
      <protection locked="0"/>
    </xf>
    <xf numFmtId="167" fontId="14" fillId="6" borderId="3" xfId="9" applyNumberFormat="1" applyFont="1" applyFill="1" applyBorder="1" applyAlignment="1" applyProtection="1">
      <alignment horizontal="right" vertical="center"/>
      <protection locked="0"/>
    </xf>
    <xf numFmtId="167" fontId="13" fillId="6" borderId="10" xfId="9" applyNumberFormat="1" applyFont="1" applyFill="1" applyBorder="1" applyAlignment="1" applyProtection="1">
      <alignment horizontal="right" vertical="center"/>
      <protection locked="0"/>
    </xf>
    <xf numFmtId="167" fontId="13" fillId="2" borderId="10" xfId="9" applyNumberFormat="1" applyFont="1" applyFill="1" applyBorder="1" applyAlignment="1" applyProtection="1">
      <alignment horizontal="right" vertical="center"/>
      <protection locked="0"/>
    </xf>
    <xf numFmtId="167" fontId="13" fillId="2" borderId="4" xfId="9" applyNumberFormat="1" applyFont="1" applyFill="1" applyBorder="1" applyAlignment="1" applyProtection="1">
      <alignment horizontal="right" vertical="center"/>
      <protection locked="0"/>
    </xf>
    <xf numFmtId="167" fontId="13" fillId="2" borderId="2" xfId="9" applyNumberFormat="1" applyFont="1" applyFill="1" applyBorder="1" applyAlignment="1" applyProtection="1">
      <alignment horizontal="center" vertical="center"/>
      <protection locked="0"/>
    </xf>
    <xf numFmtId="167" fontId="14" fillId="6" borderId="3" xfId="9" applyNumberFormat="1" applyFont="1" applyFill="1" applyBorder="1" applyAlignment="1" applyProtection="1">
      <alignment horizontal="center" vertical="center"/>
      <protection locked="0"/>
    </xf>
    <xf numFmtId="167" fontId="13" fillId="2" borderId="28" xfId="9" applyNumberFormat="1" applyFont="1" applyFill="1" applyBorder="1" applyAlignment="1" applyProtection="1">
      <alignment horizontal="center" vertical="center"/>
      <protection locked="0"/>
    </xf>
    <xf numFmtId="167" fontId="13" fillId="2" borderId="31" xfId="9" applyNumberFormat="1" applyFont="1" applyFill="1" applyBorder="1" applyAlignment="1" applyProtection="1">
      <alignment horizontal="center" vertical="center"/>
      <protection locked="0"/>
    </xf>
    <xf numFmtId="0" fontId="13" fillId="0" borderId="3" xfId="9" applyFont="1" applyBorder="1" applyAlignment="1" applyProtection="1">
      <alignment horizontal="left" vertical="center"/>
      <protection locked="0"/>
    </xf>
    <xf numFmtId="0" fontId="13" fillId="0" borderId="28" xfId="9" applyFont="1" applyBorder="1" applyAlignment="1" applyProtection="1">
      <alignment horizontal="left" vertical="center"/>
      <protection locked="0"/>
    </xf>
    <xf numFmtId="0" fontId="13" fillId="0" borderId="2" xfId="9" applyFont="1" applyBorder="1" applyAlignment="1" applyProtection="1">
      <alignment horizontal="left" vertical="center"/>
      <protection locked="0"/>
    </xf>
    <xf numFmtId="0" fontId="14" fillId="0" borderId="10" xfId="9" applyFont="1" applyBorder="1" applyAlignment="1" applyProtection="1">
      <alignment horizontal="center" vertical="center"/>
      <protection locked="0"/>
    </xf>
    <xf numFmtId="167" fontId="13" fillId="2" borderId="10" xfId="9" applyNumberFormat="1" applyFont="1" applyFill="1" applyBorder="1" applyAlignment="1" applyProtection="1">
      <alignment horizontal="center" vertical="center"/>
      <protection locked="0"/>
    </xf>
    <xf numFmtId="167" fontId="13" fillId="2" borderId="4" xfId="9" applyNumberFormat="1" applyFont="1" applyFill="1" applyBorder="1" applyAlignment="1" applyProtection="1">
      <alignment horizontal="center" vertical="center"/>
      <protection locked="0"/>
    </xf>
    <xf numFmtId="167" fontId="13" fillId="6" borderId="10" xfId="9" applyNumberFormat="1" applyFont="1" applyFill="1" applyBorder="1" applyAlignment="1" applyProtection="1">
      <alignment horizontal="center" vertical="center"/>
      <protection locked="0"/>
    </xf>
    <xf numFmtId="167" fontId="13" fillId="6" borderId="4" xfId="9" applyNumberFormat="1" applyFont="1" applyFill="1" applyBorder="1" applyAlignment="1" applyProtection="1">
      <alignment horizontal="center" vertical="center"/>
      <protection locked="0"/>
    </xf>
    <xf numFmtId="167" fontId="13" fillId="2" borderId="16" xfId="9" applyNumberFormat="1" applyFont="1" applyFill="1" applyBorder="1" applyAlignment="1" applyProtection="1">
      <alignment horizontal="center" vertical="center"/>
      <protection locked="0"/>
    </xf>
    <xf numFmtId="167" fontId="13" fillId="2" borderId="17" xfId="9" applyNumberFormat="1" applyFont="1" applyFill="1" applyBorder="1" applyAlignment="1" applyProtection="1">
      <alignment horizontal="center" vertical="center"/>
      <protection locked="0"/>
    </xf>
    <xf numFmtId="167" fontId="13" fillId="2" borderId="30" xfId="9" applyNumberFormat="1" applyFont="1" applyFill="1" applyBorder="1" applyAlignment="1" applyProtection="1">
      <alignment horizontal="center" vertical="center"/>
      <protection locked="0"/>
    </xf>
    <xf numFmtId="167" fontId="13" fillId="2" borderId="13" xfId="9" applyNumberFormat="1" applyFont="1" applyFill="1" applyBorder="1" applyAlignment="1" applyProtection="1">
      <alignment horizontal="center" vertical="center"/>
      <protection locked="0"/>
    </xf>
    <xf numFmtId="167" fontId="13" fillId="2" borderId="18" xfId="9" applyNumberFormat="1" applyFont="1" applyFill="1" applyBorder="1" applyAlignment="1" applyProtection="1">
      <alignment horizontal="center" vertical="center"/>
      <protection locked="0"/>
    </xf>
    <xf numFmtId="167" fontId="13" fillId="2" borderId="14" xfId="9" applyNumberFormat="1" applyFont="1" applyFill="1" applyBorder="1" applyAlignment="1" applyProtection="1">
      <alignment horizontal="center" vertical="center"/>
      <protection locked="0"/>
    </xf>
    <xf numFmtId="0" fontId="13" fillId="0" borderId="28" xfId="0" applyFont="1" applyBorder="1" applyAlignment="1" applyProtection="1">
      <alignment horizontal="center"/>
      <protection locked="0"/>
    </xf>
    <xf numFmtId="0" fontId="13" fillId="0" borderId="16" xfId="0" applyFont="1" applyBorder="1" applyAlignment="1" applyProtection="1">
      <alignment horizontal="center"/>
      <protection locked="0"/>
    </xf>
    <xf numFmtId="0" fontId="13" fillId="0" borderId="31" xfId="0" applyFont="1" applyBorder="1" applyAlignment="1" applyProtection="1">
      <alignment horizontal="center"/>
      <protection locked="0"/>
    </xf>
    <xf numFmtId="0" fontId="13" fillId="0" borderId="30" xfId="0" applyFont="1" applyBorder="1" applyAlignment="1" applyProtection="1">
      <alignment horizontal="center"/>
      <protection locked="0"/>
    </xf>
    <xf numFmtId="167" fontId="13" fillId="0" borderId="10" xfId="9" applyNumberFormat="1" applyFont="1" applyBorder="1" applyAlignment="1" applyProtection="1">
      <alignment horizontal="center" vertical="center"/>
      <protection locked="0"/>
    </xf>
    <xf numFmtId="167" fontId="13" fillId="0" borderId="4" xfId="9" applyNumberFormat="1" applyFont="1" applyBorder="1" applyAlignment="1" applyProtection="1">
      <alignment horizontal="center" vertical="center"/>
      <protection locked="0"/>
    </xf>
    <xf numFmtId="0" fontId="13" fillId="0" borderId="18" xfId="9" applyFont="1" applyBorder="1" applyAlignment="1" applyProtection="1">
      <alignment horizontal="left" vertical="center" wrapText="1"/>
      <protection locked="0"/>
    </xf>
    <xf numFmtId="0" fontId="13" fillId="0" borderId="9" xfId="9" applyFont="1" applyBorder="1" applyAlignment="1" applyProtection="1">
      <alignment horizontal="left" vertical="center" wrapText="1"/>
      <protection locked="0"/>
    </xf>
    <xf numFmtId="0" fontId="13" fillId="0" borderId="14" xfId="9" applyFont="1" applyBorder="1" applyAlignment="1" applyProtection="1">
      <alignment horizontal="left" vertical="center" wrapText="1"/>
      <protection locked="0"/>
    </xf>
    <xf numFmtId="0" fontId="14" fillId="0" borderId="10" xfId="9" applyFont="1" applyBorder="1" applyAlignment="1" applyProtection="1">
      <alignment horizontal="left" vertical="center" wrapText="1"/>
      <protection locked="0"/>
    </xf>
    <xf numFmtId="0" fontId="14" fillId="0" borderId="15" xfId="9" applyFont="1" applyBorder="1" applyAlignment="1" applyProtection="1">
      <alignment horizontal="left" vertical="center" wrapText="1"/>
      <protection locked="0"/>
    </xf>
    <xf numFmtId="0" fontId="14" fillId="0" borderId="4" xfId="9" applyFont="1" applyBorder="1" applyAlignment="1" applyProtection="1">
      <alignment horizontal="left" vertical="center" wrapText="1"/>
      <protection locked="0"/>
    </xf>
    <xf numFmtId="167" fontId="13" fillId="6" borderId="28" xfId="9" applyNumberFormat="1" applyFont="1" applyFill="1" applyBorder="1" applyAlignment="1" applyProtection="1">
      <alignment horizontal="center" vertical="center"/>
      <protection locked="0"/>
    </xf>
    <xf numFmtId="167" fontId="13" fillId="0" borderId="28" xfId="9" applyNumberFormat="1" applyFont="1" applyBorder="1" applyAlignment="1" applyProtection="1">
      <alignment horizontal="center" vertical="center"/>
      <protection locked="0"/>
    </xf>
    <xf numFmtId="167" fontId="13" fillId="0" borderId="16" xfId="9" applyNumberFormat="1" applyFont="1" applyBorder="1" applyAlignment="1" applyProtection="1">
      <alignment horizontal="center" vertical="center"/>
      <protection locked="0"/>
    </xf>
    <xf numFmtId="167" fontId="13" fillId="0" borderId="31" xfId="9" applyNumberFormat="1" applyFont="1" applyBorder="1" applyAlignment="1" applyProtection="1">
      <alignment horizontal="center" vertical="center"/>
      <protection locked="0"/>
    </xf>
    <xf numFmtId="167" fontId="13" fillId="0" borderId="30" xfId="9" applyNumberFormat="1" applyFont="1" applyBorder="1" applyAlignment="1" applyProtection="1">
      <alignment horizontal="center" vertical="center"/>
      <protection locked="0"/>
    </xf>
    <xf numFmtId="167" fontId="13" fillId="12" borderId="15" xfId="9" applyNumberFormat="1" applyFont="1" applyFill="1" applyBorder="1" applyAlignment="1" applyProtection="1">
      <alignment horizontal="center" vertical="center"/>
      <protection locked="0"/>
    </xf>
    <xf numFmtId="167" fontId="13" fillId="12" borderId="4" xfId="9" applyNumberFormat="1" applyFont="1" applyFill="1" applyBorder="1" applyAlignment="1" applyProtection="1">
      <alignment horizontal="center" vertical="center"/>
      <protection locked="0"/>
    </xf>
    <xf numFmtId="167" fontId="13" fillId="0" borderId="3" xfId="9" applyNumberFormat="1" applyFont="1" applyBorder="1" applyAlignment="1" applyProtection="1">
      <alignment horizontal="center" vertical="center"/>
      <protection locked="0"/>
    </xf>
    <xf numFmtId="167" fontId="13" fillId="6" borderId="2" xfId="9" applyNumberFormat="1" applyFont="1" applyFill="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4" fillId="0" borderId="3" xfId="9" applyFont="1" applyBorder="1" applyAlignment="1" applyProtection="1">
      <alignment horizontal="left" vertical="center"/>
      <protection locked="0"/>
    </xf>
    <xf numFmtId="4" fontId="13" fillId="0" borderId="10" xfId="9" applyNumberFormat="1" applyFont="1" applyBorder="1" applyAlignment="1" applyProtection="1">
      <alignment horizontal="left" vertical="center" wrapText="1"/>
      <protection locked="0"/>
    </xf>
    <xf numFmtId="0" fontId="59" fillId="9" borderId="16" xfId="9" applyFont="1" applyFill="1" applyBorder="1" applyAlignment="1" applyProtection="1">
      <alignment horizontal="left" vertical="center" wrapText="1"/>
      <protection locked="0"/>
    </xf>
    <xf numFmtId="0" fontId="59" fillId="9" borderId="8" xfId="9" applyFont="1" applyFill="1" applyBorder="1" applyAlignment="1" applyProtection="1">
      <alignment horizontal="left" vertical="center" wrapText="1"/>
      <protection locked="0"/>
    </xf>
    <xf numFmtId="0" fontId="59" fillId="9" borderId="17" xfId="9" applyFont="1" applyFill="1" applyBorder="1" applyAlignment="1" applyProtection="1">
      <alignment horizontal="left" vertical="center" wrapText="1"/>
      <protection locked="0"/>
    </xf>
    <xf numFmtId="167" fontId="13" fillId="6" borderId="3" xfId="9" applyNumberFormat="1" applyFont="1" applyFill="1" applyBorder="1" applyAlignment="1" applyProtection="1">
      <alignment horizontal="center" vertical="center" wrapText="1"/>
      <protection locked="0"/>
    </xf>
    <xf numFmtId="167" fontId="14" fillId="6" borderId="3" xfId="9" applyNumberFormat="1" applyFont="1" applyFill="1" applyBorder="1" applyAlignment="1" applyProtection="1">
      <alignment horizontal="center" vertical="center" wrapText="1"/>
      <protection locked="0"/>
    </xf>
    <xf numFmtId="167" fontId="14" fillId="0" borderId="15" xfId="9" applyNumberFormat="1" applyFont="1" applyBorder="1" applyAlignment="1" applyProtection="1">
      <alignment horizontal="center" vertical="center" wrapText="1"/>
      <protection locked="0"/>
    </xf>
    <xf numFmtId="167" fontId="14" fillId="0" borderId="4" xfId="9" applyNumberFormat="1" applyFont="1" applyBorder="1" applyAlignment="1" applyProtection="1">
      <alignment horizontal="center" vertical="center" wrapText="1"/>
      <protection locked="0"/>
    </xf>
    <xf numFmtId="167" fontId="13" fillId="2" borderId="3" xfId="9" applyNumberFormat="1" applyFont="1" applyFill="1" applyBorder="1" applyAlignment="1" applyProtection="1">
      <alignment horizontal="center" vertical="center" wrapText="1"/>
      <protection locked="0"/>
    </xf>
    <xf numFmtId="0" fontId="14" fillId="0" borderId="3" xfId="9" applyFont="1" applyBorder="1" applyAlignment="1" applyProtection="1">
      <alignment horizontal="center" vertical="center" wrapText="1"/>
      <protection locked="0"/>
    </xf>
    <xf numFmtId="167" fontId="14" fillId="0" borderId="10" xfId="9" applyNumberFormat="1" applyFont="1" applyBorder="1" applyAlignment="1" applyProtection="1">
      <alignment horizontal="center" vertical="center" wrapText="1"/>
      <protection locked="0"/>
    </xf>
    <xf numFmtId="4" fontId="13" fillId="2" borderId="3" xfId="12" applyNumberFormat="1" applyFont="1" applyFill="1" applyBorder="1" applyAlignment="1" applyProtection="1">
      <alignment horizontal="right" vertical="center"/>
      <protection locked="0"/>
    </xf>
    <xf numFmtId="9" fontId="13" fillId="2" borderId="3" xfId="12" applyFont="1" applyFill="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0" xfId="0" applyFont="1" applyBorder="1" applyAlignment="1" applyProtection="1">
      <alignment horizontal="center"/>
      <protection locked="0"/>
    </xf>
    <xf numFmtId="0" fontId="13" fillId="0" borderId="4" xfId="0" applyFont="1" applyBorder="1" applyAlignment="1" applyProtection="1">
      <alignment horizontal="center"/>
      <protection locked="0"/>
    </xf>
    <xf numFmtId="4" fontId="13" fillId="6" borderId="3" xfId="0" applyNumberFormat="1" applyFont="1" applyFill="1" applyBorder="1" applyAlignment="1" applyProtection="1">
      <alignment horizontal="right"/>
      <protection locked="0"/>
    </xf>
    <xf numFmtId="4" fontId="13" fillId="0" borderId="10" xfId="0" applyNumberFormat="1" applyFont="1" applyBorder="1" applyAlignment="1" applyProtection="1">
      <alignment horizontal="left" vertical="center"/>
      <protection locked="0"/>
    </xf>
    <xf numFmtId="4" fontId="13" fillId="0" borderId="15" xfId="0" applyNumberFormat="1" applyFont="1" applyBorder="1" applyAlignment="1" applyProtection="1">
      <alignment horizontal="left" vertical="center"/>
      <protection locked="0"/>
    </xf>
    <xf numFmtId="4" fontId="13" fillId="0" borderId="4" xfId="0" applyNumberFormat="1" applyFont="1" applyBorder="1" applyAlignment="1" applyProtection="1">
      <alignment horizontal="left" vertical="center"/>
      <protection locked="0"/>
    </xf>
    <xf numFmtId="4" fontId="13" fillId="6" borderId="3" xfId="0" applyNumberFormat="1" applyFont="1" applyFill="1" applyBorder="1" applyAlignment="1" applyProtection="1">
      <alignment horizontal="center" vertical="center"/>
      <protection locked="0"/>
    </xf>
    <xf numFmtId="4" fontId="13" fillId="9" borderId="3" xfId="0" applyNumberFormat="1" applyFont="1" applyFill="1" applyBorder="1" applyAlignment="1" applyProtection="1">
      <alignment horizontal="center" vertical="center"/>
      <protection locked="0"/>
    </xf>
    <xf numFmtId="4" fontId="13" fillId="6" borderId="18" xfId="0" applyNumberFormat="1" applyFont="1" applyFill="1" applyBorder="1" applyAlignment="1" applyProtection="1">
      <alignment horizontal="center" vertical="center"/>
      <protection locked="0"/>
    </xf>
    <xf numFmtId="4" fontId="13" fillId="6" borderId="14" xfId="0"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4" fontId="13" fillId="0" borderId="30" xfId="0" applyNumberFormat="1" applyFont="1" applyBorder="1" applyAlignment="1" applyProtection="1">
      <alignment horizontal="center" vertical="top"/>
      <protection locked="0"/>
    </xf>
    <xf numFmtId="4" fontId="13" fillId="0" borderId="13" xfId="0" applyNumberFormat="1" applyFont="1" applyBorder="1" applyAlignment="1" applyProtection="1">
      <alignment horizontal="center" vertical="top"/>
      <protection locked="0"/>
    </xf>
    <xf numFmtId="4" fontId="13" fillId="9" borderId="18" xfId="0" applyNumberFormat="1" applyFont="1" applyFill="1" applyBorder="1" applyAlignment="1" applyProtection="1">
      <alignment horizontal="left" vertical="top"/>
      <protection locked="0"/>
    </xf>
    <xf numFmtId="4" fontId="13" fillId="9" borderId="9" xfId="0" applyNumberFormat="1" applyFont="1" applyFill="1" applyBorder="1" applyAlignment="1" applyProtection="1">
      <alignment horizontal="left" vertical="top"/>
      <protection locked="0"/>
    </xf>
    <xf numFmtId="4" fontId="13" fillId="9" borderId="14" xfId="0" applyNumberFormat="1" applyFont="1" applyFill="1" applyBorder="1" applyAlignment="1" applyProtection="1">
      <alignment horizontal="left" vertical="top"/>
      <protection locked="0"/>
    </xf>
    <xf numFmtId="4" fontId="13" fillId="9" borderId="18" xfId="0" applyNumberFormat="1" applyFont="1" applyFill="1" applyBorder="1" applyAlignment="1" applyProtection="1">
      <alignment horizontal="center" vertical="top" wrapText="1"/>
      <protection locked="0"/>
    </xf>
    <xf numFmtId="0" fontId="13" fillId="9" borderId="14" xfId="0" applyFont="1" applyFill="1" applyBorder="1" applyAlignment="1" applyProtection="1">
      <alignment horizontal="center" vertical="top" wrapText="1"/>
      <protection locked="0"/>
    </xf>
    <xf numFmtId="4" fontId="13" fillId="6" borderId="18" xfId="0" applyNumberFormat="1" applyFont="1" applyFill="1" applyBorder="1" applyAlignment="1" applyProtection="1">
      <alignment horizontal="center" vertical="top"/>
      <protection locked="0"/>
    </xf>
    <xf numFmtId="4" fontId="13" fillId="6" borderId="14" xfId="0" applyNumberFormat="1" applyFont="1" applyFill="1" applyBorder="1" applyAlignment="1" applyProtection="1">
      <alignment horizontal="center" vertical="top"/>
      <protection locked="0"/>
    </xf>
    <xf numFmtId="4" fontId="13" fillId="0" borderId="16" xfId="0" applyNumberFormat="1" applyFont="1" applyBorder="1" applyAlignment="1" applyProtection="1">
      <alignment horizontal="left" vertical="top" wrapText="1"/>
      <protection locked="0"/>
    </xf>
    <xf numFmtId="4" fontId="13" fillId="0" borderId="8" xfId="0" applyNumberFormat="1" applyFont="1" applyBorder="1" applyAlignment="1" applyProtection="1">
      <alignment horizontal="left" vertical="top" wrapText="1"/>
      <protection locked="0"/>
    </xf>
    <xf numFmtId="4" fontId="13" fillId="0" borderId="17" xfId="0" applyNumberFormat="1" applyFont="1" applyBorder="1" applyAlignment="1" applyProtection="1">
      <alignment horizontal="left" vertical="top" wrapText="1"/>
      <protection locked="0"/>
    </xf>
    <xf numFmtId="4" fontId="13" fillId="6" borderId="16" xfId="0" applyNumberFormat="1" applyFont="1" applyFill="1" applyBorder="1" applyAlignment="1" applyProtection="1">
      <alignment horizontal="center" vertical="top"/>
      <protection locked="0"/>
    </xf>
    <xf numFmtId="4" fontId="13" fillId="6" borderId="17" xfId="0" applyNumberFormat="1" applyFont="1" applyFill="1" applyBorder="1" applyAlignment="1" applyProtection="1">
      <alignment horizontal="center" vertical="top"/>
      <protection locked="0"/>
    </xf>
    <xf numFmtId="4" fontId="13" fillId="9" borderId="16" xfId="0" applyNumberFormat="1" applyFont="1" applyFill="1" applyBorder="1" applyAlignment="1" applyProtection="1">
      <alignment horizontal="center" vertical="top" wrapText="1"/>
      <protection locked="0"/>
    </xf>
    <xf numFmtId="0" fontId="13" fillId="9" borderId="17" xfId="0" applyFont="1" applyFill="1" applyBorder="1" applyAlignment="1" applyProtection="1">
      <alignment horizontal="center" vertical="top" wrapText="1"/>
      <protection locked="0"/>
    </xf>
    <xf numFmtId="4" fontId="13" fillId="0" borderId="30" xfId="0" applyNumberFormat="1" applyFont="1" applyBorder="1" applyAlignment="1" applyProtection="1">
      <alignment horizontal="center" vertical="top" wrapText="1"/>
      <protection locked="0"/>
    </xf>
    <xf numFmtId="0" fontId="13" fillId="0" borderId="13" xfId="0" applyFont="1" applyBorder="1" applyAlignment="1" applyProtection="1">
      <alignment horizontal="center" vertical="top" wrapText="1"/>
      <protection locked="0"/>
    </xf>
    <xf numFmtId="4" fontId="13" fillId="0" borderId="16" xfId="0" applyNumberFormat="1" applyFont="1" applyBorder="1" applyAlignment="1" applyProtection="1">
      <alignment horizontal="left" vertical="top"/>
      <protection locked="0"/>
    </xf>
    <xf numFmtId="4" fontId="13" fillId="0" borderId="8" xfId="0" applyNumberFormat="1" applyFont="1" applyBorder="1" applyAlignment="1" applyProtection="1">
      <alignment horizontal="left" vertical="top"/>
      <protection locked="0"/>
    </xf>
    <xf numFmtId="4" fontId="13" fillId="0" borderId="17" xfId="0" applyNumberFormat="1" applyFont="1" applyBorder="1" applyAlignment="1" applyProtection="1">
      <alignment horizontal="left" vertical="top"/>
      <protection locked="0"/>
    </xf>
    <xf numFmtId="4" fontId="13" fillId="6" borderId="30" xfId="0" applyNumberFormat="1" applyFont="1" applyFill="1" applyBorder="1" applyAlignment="1" applyProtection="1">
      <alignment horizontal="center" vertical="top"/>
      <protection locked="0"/>
    </xf>
    <xf numFmtId="4" fontId="13" fillId="6" borderId="13" xfId="0" applyNumberFormat="1" applyFont="1" applyFill="1" applyBorder="1" applyAlignment="1" applyProtection="1">
      <alignment horizontal="center" vertical="top"/>
      <protection locked="0"/>
    </xf>
    <xf numFmtId="4" fontId="13" fillId="9" borderId="30" xfId="0" applyNumberFormat="1" applyFont="1" applyFill="1" applyBorder="1" applyAlignment="1" applyProtection="1">
      <alignment horizontal="left" vertical="top"/>
      <protection locked="0"/>
    </xf>
    <xf numFmtId="4" fontId="13" fillId="9" borderId="13" xfId="0" applyNumberFormat="1" applyFont="1" applyFill="1" applyBorder="1" applyAlignment="1" applyProtection="1">
      <alignment horizontal="left" vertical="top"/>
      <protection locked="0"/>
    </xf>
    <xf numFmtId="4" fontId="13" fillId="9" borderId="30" xfId="0" applyNumberFormat="1" applyFont="1" applyFill="1" applyBorder="1" applyAlignment="1" applyProtection="1">
      <alignment horizontal="center" vertical="center" wrapText="1"/>
      <protection locked="0"/>
    </xf>
    <xf numFmtId="0" fontId="13" fillId="9" borderId="13" xfId="0" applyFont="1" applyFill="1" applyBorder="1" applyAlignment="1" applyProtection="1">
      <alignment horizontal="center" vertical="center" wrapText="1"/>
      <protection locked="0"/>
    </xf>
    <xf numFmtId="4" fontId="13" fillId="0" borderId="30" xfId="0" applyNumberFormat="1" applyFont="1" applyBorder="1" applyAlignment="1" applyProtection="1">
      <alignment horizontal="left" vertical="top" wrapText="1"/>
      <protection locked="0"/>
    </xf>
    <xf numFmtId="4" fontId="13" fillId="0" borderId="13" xfId="0" applyNumberFormat="1" applyFont="1" applyBorder="1" applyAlignment="1" applyProtection="1">
      <alignment horizontal="left" vertical="top" wrapText="1"/>
      <protection locked="0"/>
    </xf>
    <xf numFmtId="4" fontId="13" fillId="0" borderId="18" xfId="0" applyNumberFormat="1" applyFont="1" applyBorder="1" applyAlignment="1" applyProtection="1">
      <alignment horizontal="left" vertical="top"/>
      <protection locked="0"/>
    </xf>
    <xf numFmtId="4" fontId="13" fillId="0" borderId="9" xfId="0" applyNumberFormat="1" applyFont="1" applyBorder="1" applyAlignment="1" applyProtection="1">
      <alignment horizontal="left" vertical="top"/>
      <protection locked="0"/>
    </xf>
    <xf numFmtId="4" fontId="13" fillId="0" borderId="14" xfId="0" applyNumberFormat="1" applyFont="1" applyBorder="1" applyAlignment="1" applyProtection="1">
      <alignment horizontal="left" vertical="top"/>
      <protection locked="0"/>
    </xf>
    <xf numFmtId="4" fontId="13" fillId="9" borderId="18" xfId="0" applyNumberFormat="1" applyFont="1" applyFill="1" applyBorder="1" applyAlignment="1" applyProtection="1">
      <alignment horizontal="center" vertical="center" wrapText="1"/>
      <protection locked="0"/>
    </xf>
    <xf numFmtId="0" fontId="13" fillId="9" borderId="14" xfId="0" applyFont="1" applyFill="1" applyBorder="1" applyAlignment="1" applyProtection="1">
      <alignment horizontal="center" vertical="center" wrapText="1"/>
      <protection locked="0"/>
    </xf>
    <xf numFmtId="4" fontId="13" fillId="0" borderId="16" xfId="0" applyNumberFormat="1" applyFont="1" applyBorder="1" applyAlignment="1" applyProtection="1">
      <alignment horizontal="left" wrapText="1"/>
      <protection locked="0"/>
    </xf>
    <xf numFmtId="4" fontId="13" fillId="0" borderId="8" xfId="0" applyNumberFormat="1" applyFont="1" applyBorder="1" applyAlignment="1" applyProtection="1">
      <alignment horizontal="left" wrapText="1"/>
      <protection locked="0"/>
    </xf>
    <xf numFmtId="4" fontId="13" fillId="0" borderId="17" xfId="0" applyNumberFormat="1" applyFont="1" applyBorder="1" applyAlignment="1" applyProtection="1">
      <alignment horizontal="left" wrapText="1"/>
      <protection locked="0"/>
    </xf>
    <xf numFmtId="4" fontId="13" fillId="9" borderId="16" xfId="0" applyNumberFormat="1" applyFont="1" applyFill="1" applyBorder="1" applyAlignment="1" applyProtection="1">
      <alignment horizontal="center" vertical="center" wrapText="1"/>
      <protection locked="0"/>
    </xf>
    <xf numFmtId="0" fontId="13" fillId="9" borderId="17" xfId="0" applyFont="1" applyFill="1" applyBorder="1" applyAlignment="1" applyProtection="1">
      <alignment horizontal="center" vertical="center" wrapText="1"/>
      <protection locked="0"/>
    </xf>
    <xf numFmtId="4" fontId="13" fillId="0" borderId="30" xfId="0" applyNumberFormat="1"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4" fontId="13" fillId="9" borderId="14" xfId="0" applyNumberFormat="1" applyFont="1" applyFill="1" applyBorder="1" applyAlignment="1" applyProtection="1">
      <alignment horizontal="center" vertical="top" wrapText="1"/>
      <protection locked="0"/>
    </xf>
    <xf numFmtId="0" fontId="48" fillId="9" borderId="0" xfId="0" applyFont="1" applyFill="1" applyAlignment="1" applyProtection="1">
      <alignment horizontal="left" vertical="top"/>
      <protection locked="0"/>
    </xf>
    <xf numFmtId="0" fontId="43" fillId="0" borderId="0" xfId="0" applyFont="1" applyAlignment="1" applyProtection="1">
      <alignment wrapText="1"/>
      <protection locked="0"/>
    </xf>
    <xf numFmtId="0" fontId="13" fillId="0" borderId="0" xfId="0" applyFont="1" applyAlignment="1" applyProtection="1">
      <alignment horizontal="center" wrapText="1"/>
      <protection locked="0"/>
    </xf>
    <xf numFmtId="4" fontId="13" fillId="2" borderId="3" xfId="0" applyNumberFormat="1" applyFont="1" applyFill="1" applyBorder="1" applyAlignment="1" applyProtection="1">
      <alignment horizontal="center" vertical="center" wrapText="1"/>
      <protection locked="0"/>
    </xf>
    <xf numFmtId="4" fontId="13" fillId="2" borderId="3" xfId="0" applyNumberFormat="1" applyFont="1" applyFill="1" applyBorder="1" applyAlignment="1" applyProtection="1">
      <alignment vertical="center" wrapText="1"/>
      <protection locked="0"/>
    </xf>
    <xf numFmtId="4" fontId="13" fillId="2" borderId="3" xfId="0" applyNumberFormat="1" applyFont="1" applyFill="1" applyBorder="1" applyAlignment="1" applyProtection="1">
      <alignment vertical="center"/>
      <protection locked="0"/>
    </xf>
    <xf numFmtId="0" fontId="13" fillId="0" borderId="0" xfId="0" applyFont="1" applyAlignment="1" applyProtection="1">
      <alignment horizontal="justify" vertical="top" wrapText="1"/>
      <protection locked="0"/>
    </xf>
    <xf numFmtId="0" fontId="13" fillId="0" borderId="3" xfId="0" applyFont="1" applyBorder="1" applyAlignment="1" applyProtection="1">
      <alignment vertical="center" wrapText="1"/>
      <protection locked="0"/>
    </xf>
    <xf numFmtId="0" fontId="13" fillId="2" borderId="3"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center"/>
      <protection locked="0"/>
    </xf>
    <xf numFmtId="0" fontId="14" fillId="0" borderId="10"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43" fillId="0" borderId="0" xfId="0" applyFont="1" applyAlignment="1" applyProtection="1">
      <alignment vertical="top" wrapText="1"/>
      <protection locked="0"/>
    </xf>
    <xf numFmtId="0" fontId="48" fillId="9" borderId="0" xfId="0" applyFont="1" applyFill="1" applyAlignment="1" applyProtection="1">
      <alignment horizontal="left" vertical="top" wrapText="1"/>
      <protection locked="0"/>
    </xf>
    <xf numFmtId="0" fontId="13" fillId="0" borderId="8"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59" fillId="9" borderId="0" xfId="0" applyFont="1" applyFill="1" applyAlignment="1" applyProtection="1">
      <alignment horizontal="left" vertical="top" wrapText="1"/>
      <protection locked="0"/>
    </xf>
    <xf numFmtId="0" fontId="59" fillId="0" borderId="0" xfId="0" applyFont="1" applyAlignment="1" applyProtection="1">
      <alignment horizontal="left" vertical="top" wrapText="1"/>
      <protection locked="0"/>
    </xf>
    <xf numFmtId="0" fontId="13" fillId="9" borderId="3" xfId="0" applyFont="1" applyFill="1" applyBorder="1" applyAlignment="1" applyProtection="1">
      <alignment horizontal="center" vertical="center" wrapText="1"/>
      <protection locked="0"/>
    </xf>
    <xf numFmtId="0" fontId="13" fillId="9" borderId="3" xfId="0" quotePrefix="1" applyFont="1" applyFill="1" applyBorder="1" applyAlignment="1" applyProtection="1">
      <alignment horizontal="center" vertical="center" wrapText="1"/>
      <protection locked="0"/>
    </xf>
    <xf numFmtId="173" fontId="13" fillId="11" borderId="0" xfId="0" applyNumberFormat="1" applyFont="1" applyFill="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30"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4" fontId="13" fillId="6" borderId="3" xfId="0" applyNumberFormat="1" applyFont="1" applyFill="1" applyBorder="1" applyAlignment="1" applyProtection="1">
      <alignment vertical="center"/>
      <protection locked="0"/>
    </xf>
    <xf numFmtId="0" fontId="13" fillId="0" borderId="8" xfId="0" applyFont="1" applyBorder="1" applyAlignment="1" applyProtection="1">
      <alignment horizontal="center" vertical="top" wrapText="1"/>
      <protection locked="0"/>
    </xf>
    <xf numFmtId="0" fontId="13" fillId="0" borderId="17" xfId="0" applyFont="1" applyBorder="1" applyAlignment="1" applyProtection="1">
      <alignment horizontal="center" vertical="top" wrapText="1"/>
      <protection locked="0"/>
    </xf>
    <xf numFmtId="0" fontId="13" fillId="9" borderId="10" xfId="0" applyFont="1" applyFill="1" applyBorder="1" applyAlignment="1" applyProtection="1">
      <alignment vertical="center" wrapText="1"/>
      <protection locked="0"/>
    </xf>
    <xf numFmtId="0" fontId="13" fillId="9" borderId="4" xfId="0" applyFont="1" applyFill="1" applyBorder="1" applyAlignment="1" applyProtection="1">
      <alignment vertical="center" wrapText="1"/>
      <protection locked="0"/>
    </xf>
    <xf numFmtId="4" fontId="13" fillId="9" borderId="3" xfId="0" applyNumberFormat="1" applyFont="1" applyFill="1" applyBorder="1" applyAlignment="1" applyProtection="1">
      <alignment horizontal="right" vertical="center" wrapText="1"/>
      <protection locked="0"/>
    </xf>
    <xf numFmtId="4" fontId="13" fillId="2" borderId="3" xfId="0" applyNumberFormat="1" applyFont="1" applyFill="1" applyBorder="1" applyAlignment="1" applyProtection="1">
      <alignment horizontal="center" vertical="center"/>
      <protection locked="0"/>
    </xf>
    <xf numFmtId="0" fontId="13" fillId="2" borderId="3" xfId="0" applyFont="1" applyFill="1" applyBorder="1" applyAlignment="1" applyProtection="1">
      <alignment horizontal="center" wrapText="1"/>
      <protection locked="0"/>
    </xf>
    <xf numFmtId="4" fontId="13" fillId="6" borderId="15" xfId="0" applyNumberFormat="1" applyFont="1" applyFill="1" applyBorder="1" applyAlignment="1" applyProtection="1">
      <alignment horizontal="right" vertical="center"/>
      <protection locked="0"/>
    </xf>
    <xf numFmtId="0" fontId="13" fillId="0" borderId="3" xfId="0" applyFont="1" applyBorder="1" applyAlignment="1" applyProtection="1">
      <alignment horizontal="center" wrapText="1"/>
      <protection locked="0"/>
    </xf>
    <xf numFmtId="4" fontId="13" fillId="2" borderId="3" xfId="0" applyNumberFormat="1" applyFont="1" applyFill="1" applyBorder="1" applyAlignment="1" applyProtection="1">
      <alignment horizontal="left" vertical="center"/>
      <protection locked="0"/>
    </xf>
    <xf numFmtId="0" fontId="14" fillId="0" borderId="15" xfId="0" applyFont="1" applyBorder="1" applyAlignment="1" applyProtection="1">
      <alignment horizontal="center" vertical="center"/>
      <protection locked="0"/>
    </xf>
    <xf numFmtId="4" fontId="43" fillId="9" borderId="3" xfId="0" applyNumberFormat="1" applyFont="1" applyFill="1" applyBorder="1" applyAlignment="1" applyProtection="1">
      <alignment horizontal="right" vertical="top" wrapText="1"/>
      <protection locked="0"/>
    </xf>
    <xf numFmtId="0" fontId="13" fillId="2" borderId="0" xfId="0" applyFont="1" applyFill="1" applyAlignment="1" applyProtection="1">
      <alignment horizontal="left" vertical="center" wrapText="1"/>
      <protection locked="0"/>
    </xf>
    <xf numFmtId="0" fontId="43" fillId="11" borderId="0" xfId="0" applyFont="1" applyFill="1" applyAlignment="1" applyProtection="1">
      <alignment horizontal="justify" vertical="top" wrapText="1"/>
      <protection locked="0"/>
    </xf>
    <xf numFmtId="0" fontId="13" fillId="12" borderId="10" xfId="0" applyFont="1" applyFill="1" applyBorder="1" applyAlignment="1" applyProtection="1">
      <alignment horizontal="left" vertical="center" wrapText="1"/>
      <protection locked="0"/>
    </xf>
    <xf numFmtId="0" fontId="13" fillId="12" borderId="15" xfId="0" applyFont="1" applyFill="1" applyBorder="1" applyAlignment="1" applyProtection="1">
      <alignment horizontal="left" vertical="center" wrapText="1"/>
      <protection locked="0"/>
    </xf>
    <xf numFmtId="0" fontId="13" fillId="12" borderId="4" xfId="0" applyFont="1" applyFill="1" applyBorder="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3" fillId="2" borderId="10" xfId="0" applyFont="1" applyFill="1" applyBorder="1" applyAlignment="1" applyProtection="1">
      <alignment vertical="center" wrapText="1"/>
      <protection locked="0"/>
    </xf>
    <xf numFmtId="0" fontId="13" fillId="2" borderId="15" xfId="0" applyFont="1" applyFill="1" applyBorder="1" applyAlignment="1" applyProtection="1">
      <alignment vertical="center" wrapText="1"/>
      <protection locked="0"/>
    </xf>
    <xf numFmtId="0" fontId="13" fillId="2" borderId="4" xfId="0" applyFont="1" applyFill="1" applyBorder="1" applyAlignment="1" applyProtection="1">
      <alignment vertical="center" wrapText="1"/>
      <protection locked="0"/>
    </xf>
    <xf numFmtId="0" fontId="27" fillId="0" borderId="23" xfId="6" applyFont="1" applyBorder="1" applyAlignment="1" applyProtection="1">
      <alignment horizontal="center" vertical="top" wrapText="1"/>
      <protection locked="0"/>
    </xf>
    <xf numFmtId="0" fontId="27" fillId="0" borderId="12" xfId="6" applyFont="1" applyBorder="1" applyAlignment="1" applyProtection="1">
      <alignment horizontal="center" vertical="top" wrapText="1"/>
      <protection locked="0"/>
    </xf>
    <xf numFmtId="0" fontId="13" fillId="0" borderId="0" xfId="7" applyFont="1" applyAlignment="1" applyProtection="1">
      <alignment horizontal="left" vertical="top" wrapText="1"/>
      <protection locked="0"/>
    </xf>
    <xf numFmtId="0" fontId="13" fillId="2" borderId="0" xfId="7" applyFont="1" applyFill="1" applyAlignment="1" applyProtection="1">
      <alignment horizontal="left"/>
      <protection locked="0"/>
    </xf>
    <xf numFmtId="0" fontId="13" fillId="2" borderId="0" xfId="7" applyFont="1" applyFill="1" applyAlignment="1" applyProtection="1">
      <alignment horizontal="left" vertical="top" wrapText="1"/>
      <protection locked="0"/>
    </xf>
    <xf numFmtId="0" fontId="14" fillId="0" borderId="0" xfId="7" applyFont="1" applyAlignment="1" applyProtection="1">
      <alignment horizontal="left" wrapText="1"/>
      <protection locked="0"/>
    </xf>
    <xf numFmtId="0" fontId="13" fillId="0" borderId="0" xfId="7" applyFont="1" applyAlignment="1" applyProtection="1">
      <alignment horizontal="justify" vertical="top" wrapText="1"/>
      <protection locked="0"/>
    </xf>
    <xf numFmtId="0" fontId="13" fillId="0" borderId="0" xfId="7" applyFont="1" applyAlignment="1" applyProtection="1">
      <alignment horizontal="center" vertical="top" wrapText="1"/>
      <protection locked="0"/>
    </xf>
    <xf numFmtId="168" fontId="13" fillId="0" borderId="0" xfId="7" applyNumberFormat="1" applyFont="1" applyAlignment="1" applyProtection="1">
      <alignment horizontal="center" vertical="top" wrapText="1"/>
      <protection locked="0"/>
    </xf>
    <xf numFmtId="0" fontId="13" fillId="2" borderId="0" xfId="7" applyFont="1" applyFill="1" applyAlignment="1" applyProtection="1">
      <alignment horizontal="center"/>
      <protection locked="0"/>
    </xf>
    <xf numFmtId="4" fontId="13" fillId="0" borderId="0" xfId="7" applyNumberFormat="1" applyFont="1" applyAlignment="1" applyProtection="1">
      <alignment horizontal="left" vertical="top" wrapText="1"/>
      <protection locked="0"/>
    </xf>
    <xf numFmtId="4" fontId="13" fillId="0" borderId="0" xfId="7" applyNumberFormat="1" applyFont="1" applyAlignment="1" applyProtection="1">
      <alignment horizontal="left" wrapText="1"/>
      <protection locked="0"/>
    </xf>
    <xf numFmtId="0" fontId="13" fillId="0" borderId="0" xfId="7" applyFont="1" applyAlignment="1" applyProtection="1">
      <alignment horizontal="left" vertical="top"/>
      <protection locked="0"/>
    </xf>
    <xf numFmtId="0" fontId="13" fillId="2" borderId="0" xfId="7" applyFont="1" applyFill="1" applyAlignment="1" applyProtection="1">
      <alignment horizontal="left" wrapText="1"/>
      <protection locked="0"/>
    </xf>
    <xf numFmtId="0" fontId="13" fillId="2" borderId="0" xfId="7" applyFont="1" applyFill="1" applyAlignment="1" applyProtection="1">
      <alignment horizontal="left" vertical="top"/>
      <protection locked="0"/>
    </xf>
    <xf numFmtId="0" fontId="14" fillId="0" borderId="0" xfId="3" applyNumberFormat="1" applyFont="1" applyFill="1" applyAlignment="1" applyProtection="1">
      <alignment horizontal="left"/>
      <protection locked="0"/>
    </xf>
    <xf numFmtId="0" fontId="14" fillId="0" borderId="0" xfId="3" applyNumberFormat="1" applyFont="1" applyAlignment="1" applyProtection="1">
      <alignment horizontal="left"/>
      <protection locked="0"/>
    </xf>
    <xf numFmtId="0" fontId="14" fillId="0" borderId="0" xfId="7" applyFont="1" applyAlignment="1" applyProtection="1">
      <alignment horizontal="center" vertical="center" wrapText="1"/>
      <protection locked="0"/>
    </xf>
    <xf numFmtId="4" fontId="14" fillId="0" borderId="0" xfId="7" applyNumberFormat="1" applyFont="1" applyAlignment="1" applyProtection="1">
      <alignment horizontal="center" vertical="center" wrapText="1"/>
      <protection locked="0"/>
    </xf>
    <xf numFmtId="0" fontId="14" fillId="0" borderId="0" xfId="3" applyNumberFormat="1" applyFont="1" applyFill="1" applyAlignment="1" applyProtection="1">
      <protection locked="0"/>
    </xf>
    <xf numFmtId="0" fontId="13" fillId="2" borderId="0" xfId="7" applyFont="1" applyFill="1" applyAlignment="1" applyProtection="1">
      <alignment horizontal="center" vertical="top" wrapText="1"/>
      <protection locked="0"/>
    </xf>
    <xf numFmtId="0" fontId="13" fillId="2" borderId="0" xfId="7" applyFont="1" applyFill="1" applyAlignment="1" applyProtection="1">
      <alignment horizontal="justify" vertical="top" wrapText="1"/>
      <protection locked="0"/>
    </xf>
    <xf numFmtId="0" fontId="39" fillId="11" borderId="0" xfId="3" applyNumberFormat="1" applyFont="1" applyFill="1" applyAlignment="1" applyProtection="1">
      <alignment horizontal="left"/>
      <protection locked="0"/>
    </xf>
    <xf numFmtId="0" fontId="13" fillId="9" borderId="0" xfId="7" applyFont="1" applyFill="1" applyAlignment="1" applyProtection="1">
      <alignment horizontal="left" wrapText="1"/>
      <protection locked="0"/>
    </xf>
    <xf numFmtId="0" fontId="13" fillId="0" borderId="39" xfId="0" applyFont="1" applyBorder="1" applyProtection="1">
      <protection locked="0"/>
    </xf>
    <xf numFmtId="4" fontId="13" fillId="0" borderId="39" xfId="0" applyNumberFormat="1" applyFont="1" applyBorder="1" applyProtection="1">
      <protection locked="0"/>
    </xf>
    <xf numFmtId="0" fontId="13" fillId="0" borderId="0" xfId="0" applyFont="1" applyAlignment="1" applyProtection="1">
      <protection locked="0"/>
    </xf>
    <xf numFmtId="0" fontId="10" fillId="0" borderId="0" xfId="0" applyFont="1" applyAlignment="1" applyProtection="1">
      <alignment horizontal="center"/>
      <protection locked="0"/>
    </xf>
    <xf numFmtId="4" fontId="10" fillId="0" borderId="0" xfId="0" applyNumberFormat="1" applyFont="1" applyAlignment="1" applyProtection="1">
      <alignment horizontal="right"/>
      <protection locked="0"/>
    </xf>
    <xf numFmtId="0" fontId="13" fillId="0" borderId="39" xfId="0" applyFont="1" applyBorder="1" applyAlignment="1" applyProtection="1">
      <alignment vertical="top"/>
      <protection locked="0"/>
    </xf>
    <xf numFmtId="0" fontId="82" fillId="3" borderId="30" xfId="3" applyFont="1" applyFill="1" applyBorder="1" applyAlignment="1" applyProtection="1">
      <alignment vertical="center"/>
      <protection locked="0"/>
    </xf>
    <xf numFmtId="0" fontId="13" fillId="0" borderId="0" xfId="11" applyFont="1" applyAlignment="1" applyProtection="1">
      <protection locked="0"/>
    </xf>
    <xf numFmtId="0" fontId="13" fillId="9" borderId="30" xfId="0" applyFont="1" applyFill="1" applyBorder="1" applyAlignment="1" applyProtection="1">
      <alignment horizontal="left" vertical="center" wrapText="1"/>
      <protection locked="0"/>
    </xf>
    <xf numFmtId="4" fontId="13" fillId="9" borderId="30" xfId="0" applyNumberFormat="1" applyFont="1" applyFill="1" applyBorder="1" applyAlignment="1" applyProtection="1">
      <alignment horizontal="left" vertical="center" wrapText="1"/>
      <protection locked="0"/>
    </xf>
    <xf numFmtId="0" fontId="42" fillId="0" borderId="0" xfId="0" applyFont="1" applyAlignment="1" applyProtection="1">
      <protection locked="0"/>
    </xf>
  </cellXfs>
  <cellStyles count="2611">
    <cellStyle name="BILANZ" xfId="1" xr:uid="{00000000-0005-0000-0000-000001000000}"/>
    <cellStyle name="Dane wejściowe 2" xfId="2608" xr:uid="{00000000-0005-0000-0000-000002000000}"/>
    <cellStyle name="Dziesi?tny 7" xfId="17" xr:uid="{00000000-0005-0000-0000-000003000000}"/>
    <cellStyle name="Dziesiętny" xfId="2" builtinId="3"/>
    <cellStyle name="Dziesiętny 10" xfId="18" xr:uid="{00000000-0005-0000-0000-000005000000}"/>
    <cellStyle name="Dziesiętny 10 2" xfId="19" xr:uid="{00000000-0005-0000-0000-000006000000}"/>
    <cellStyle name="Dziesiętny 10 2 2" xfId="20" xr:uid="{00000000-0005-0000-0000-000007000000}"/>
    <cellStyle name="Dziesiętny 10 2 2 2" xfId="21" xr:uid="{00000000-0005-0000-0000-000008000000}"/>
    <cellStyle name="Dziesiętny 10 2 2 2 2" xfId="22" xr:uid="{00000000-0005-0000-0000-000009000000}"/>
    <cellStyle name="Dziesiętny 10 2 2 2 2 2" xfId="23" xr:uid="{00000000-0005-0000-0000-00000A000000}"/>
    <cellStyle name="Dziesiętny 10 2 2 2 3" xfId="24" xr:uid="{00000000-0005-0000-0000-00000B000000}"/>
    <cellStyle name="Dziesiętny 10 2 2 2 3 2" xfId="25" xr:uid="{00000000-0005-0000-0000-00000C000000}"/>
    <cellStyle name="Dziesiętny 10 2 2 2 4" xfId="26" xr:uid="{00000000-0005-0000-0000-00000D000000}"/>
    <cellStyle name="Dziesiętny 10 2 2 3" xfId="27" xr:uid="{00000000-0005-0000-0000-00000E000000}"/>
    <cellStyle name="Dziesiętny 10 2 2 3 2" xfId="28" xr:uid="{00000000-0005-0000-0000-00000F000000}"/>
    <cellStyle name="Dziesiętny 10 2 2 4" xfId="29" xr:uid="{00000000-0005-0000-0000-000010000000}"/>
    <cellStyle name="Dziesiętny 10 2 2 4 2" xfId="30" xr:uid="{00000000-0005-0000-0000-000011000000}"/>
    <cellStyle name="Dziesiętny 10 2 2 5" xfId="31" xr:uid="{00000000-0005-0000-0000-000012000000}"/>
    <cellStyle name="Dziesiętny 10 2 3" xfId="32" xr:uid="{00000000-0005-0000-0000-000013000000}"/>
    <cellStyle name="Dziesiętny 10 2 3 2" xfId="33" xr:uid="{00000000-0005-0000-0000-000014000000}"/>
    <cellStyle name="Dziesiętny 10 2 3 2 2" xfId="34" xr:uid="{00000000-0005-0000-0000-000015000000}"/>
    <cellStyle name="Dziesiętny 10 2 3 3" xfId="35" xr:uid="{00000000-0005-0000-0000-000016000000}"/>
    <cellStyle name="Dziesiętny 10 2 3 3 2" xfId="36" xr:uid="{00000000-0005-0000-0000-000017000000}"/>
    <cellStyle name="Dziesiętny 10 2 3 4" xfId="37" xr:uid="{00000000-0005-0000-0000-000018000000}"/>
    <cellStyle name="Dziesiętny 10 2 4" xfId="38" xr:uid="{00000000-0005-0000-0000-000019000000}"/>
    <cellStyle name="Dziesiętny 10 2 4 2" xfId="39" xr:uid="{00000000-0005-0000-0000-00001A000000}"/>
    <cellStyle name="Dziesiętny 10 2 5" xfId="40" xr:uid="{00000000-0005-0000-0000-00001B000000}"/>
    <cellStyle name="Dziesiętny 10 2 5 2" xfId="41" xr:uid="{00000000-0005-0000-0000-00001C000000}"/>
    <cellStyle name="Dziesiętny 10 2 6" xfId="42" xr:uid="{00000000-0005-0000-0000-00001D000000}"/>
    <cellStyle name="Dziesiętny 10 3" xfId="43" xr:uid="{00000000-0005-0000-0000-00001E000000}"/>
    <cellStyle name="Dziesiętny 10 3 2" xfId="44" xr:uid="{00000000-0005-0000-0000-00001F000000}"/>
    <cellStyle name="Dziesiętny 10 3 2 2" xfId="45" xr:uid="{00000000-0005-0000-0000-000020000000}"/>
    <cellStyle name="Dziesiętny 10 3 2 2 2" xfId="46" xr:uid="{00000000-0005-0000-0000-000021000000}"/>
    <cellStyle name="Dziesiętny 10 3 2 3" xfId="47" xr:uid="{00000000-0005-0000-0000-000022000000}"/>
    <cellStyle name="Dziesiętny 10 3 2 3 2" xfId="48" xr:uid="{00000000-0005-0000-0000-000023000000}"/>
    <cellStyle name="Dziesiętny 10 3 2 4" xfId="49" xr:uid="{00000000-0005-0000-0000-000024000000}"/>
    <cellStyle name="Dziesiętny 10 3 3" xfId="50" xr:uid="{00000000-0005-0000-0000-000025000000}"/>
    <cellStyle name="Dziesiętny 10 3 3 2" xfId="51" xr:uid="{00000000-0005-0000-0000-000026000000}"/>
    <cellStyle name="Dziesiętny 10 3 4" xfId="52" xr:uid="{00000000-0005-0000-0000-000027000000}"/>
    <cellStyle name="Dziesiętny 10 3 4 2" xfId="53" xr:uid="{00000000-0005-0000-0000-000028000000}"/>
    <cellStyle name="Dziesiętny 10 3 5" xfId="54" xr:uid="{00000000-0005-0000-0000-000029000000}"/>
    <cellStyle name="Dziesiętny 10 4" xfId="55" xr:uid="{00000000-0005-0000-0000-00002A000000}"/>
    <cellStyle name="Dziesiętny 10 4 2" xfId="56" xr:uid="{00000000-0005-0000-0000-00002B000000}"/>
    <cellStyle name="Dziesiętny 10 4 2 2" xfId="57" xr:uid="{00000000-0005-0000-0000-00002C000000}"/>
    <cellStyle name="Dziesiętny 10 4 3" xfId="58" xr:uid="{00000000-0005-0000-0000-00002D000000}"/>
    <cellStyle name="Dziesiętny 10 4 3 2" xfId="59" xr:uid="{00000000-0005-0000-0000-00002E000000}"/>
    <cellStyle name="Dziesiętny 10 4 4" xfId="60" xr:uid="{00000000-0005-0000-0000-00002F000000}"/>
    <cellStyle name="Dziesiętny 10 5" xfId="61" xr:uid="{00000000-0005-0000-0000-000030000000}"/>
    <cellStyle name="Dziesiętny 10 5 2" xfId="62" xr:uid="{00000000-0005-0000-0000-000031000000}"/>
    <cellStyle name="Dziesiętny 10 6" xfId="63" xr:uid="{00000000-0005-0000-0000-000032000000}"/>
    <cellStyle name="Dziesiętny 10 6 2" xfId="64" xr:uid="{00000000-0005-0000-0000-000033000000}"/>
    <cellStyle name="Dziesiętny 10 7" xfId="65" xr:uid="{00000000-0005-0000-0000-000034000000}"/>
    <cellStyle name="Dziesiętny 11" xfId="66" xr:uid="{00000000-0005-0000-0000-000035000000}"/>
    <cellStyle name="Dziesiętny 11 2" xfId="67" xr:uid="{00000000-0005-0000-0000-000036000000}"/>
    <cellStyle name="Dziesiętny 11 2 2" xfId="68" xr:uid="{00000000-0005-0000-0000-000037000000}"/>
    <cellStyle name="Dziesiętny 11 2 2 2" xfId="69" xr:uid="{00000000-0005-0000-0000-000038000000}"/>
    <cellStyle name="Dziesiętny 11 2 2 2 2" xfId="70" xr:uid="{00000000-0005-0000-0000-000039000000}"/>
    <cellStyle name="Dziesiętny 11 2 2 2 2 2" xfId="71" xr:uid="{00000000-0005-0000-0000-00003A000000}"/>
    <cellStyle name="Dziesiętny 11 2 2 2 3" xfId="72" xr:uid="{00000000-0005-0000-0000-00003B000000}"/>
    <cellStyle name="Dziesiętny 11 2 2 2 3 2" xfId="73" xr:uid="{00000000-0005-0000-0000-00003C000000}"/>
    <cellStyle name="Dziesiętny 11 2 2 2 4" xfId="74" xr:uid="{00000000-0005-0000-0000-00003D000000}"/>
    <cellStyle name="Dziesiętny 11 2 2 3" xfId="75" xr:uid="{00000000-0005-0000-0000-00003E000000}"/>
    <cellStyle name="Dziesiętny 11 2 2 3 2" xfId="76" xr:uid="{00000000-0005-0000-0000-00003F000000}"/>
    <cellStyle name="Dziesiętny 11 2 2 4" xfId="77" xr:uid="{00000000-0005-0000-0000-000040000000}"/>
    <cellStyle name="Dziesiętny 11 2 2 4 2" xfId="78" xr:uid="{00000000-0005-0000-0000-000041000000}"/>
    <cellStyle name="Dziesiętny 11 2 2 5" xfId="79" xr:uid="{00000000-0005-0000-0000-000042000000}"/>
    <cellStyle name="Dziesiętny 11 2 3" xfId="80" xr:uid="{00000000-0005-0000-0000-000043000000}"/>
    <cellStyle name="Dziesiętny 11 2 3 2" xfId="81" xr:uid="{00000000-0005-0000-0000-000044000000}"/>
    <cellStyle name="Dziesiętny 11 2 3 2 2" xfId="82" xr:uid="{00000000-0005-0000-0000-000045000000}"/>
    <cellStyle name="Dziesiętny 11 2 3 3" xfId="83" xr:uid="{00000000-0005-0000-0000-000046000000}"/>
    <cellStyle name="Dziesiętny 11 2 3 3 2" xfId="84" xr:uid="{00000000-0005-0000-0000-000047000000}"/>
    <cellStyle name="Dziesiętny 11 2 3 4" xfId="85" xr:uid="{00000000-0005-0000-0000-000048000000}"/>
    <cellStyle name="Dziesiętny 11 2 4" xfId="86" xr:uid="{00000000-0005-0000-0000-000049000000}"/>
    <cellStyle name="Dziesiętny 11 2 4 2" xfId="87" xr:uid="{00000000-0005-0000-0000-00004A000000}"/>
    <cellStyle name="Dziesiętny 11 2 5" xfId="88" xr:uid="{00000000-0005-0000-0000-00004B000000}"/>
    <cellStyle name="Dziesiętny 11 2 5 2" xfId="89" xr:uid="{00000000-0005-0000-0000-00004C000000}"/>
    <cellStyle name="Dziesiętny 11 2 6" xfId="90" xr:uid="{00000000-0005-0000-0000-00004D000000}"/>
    <cellStyle name="Dziesiętny 11 3" xfId="91" xr:uid="{00000000-0005-0000-0000-00004E000000}"/>
    <cellStyle name="Dziesiętny 11 3 2" xfId="92" xr:uid="{00000000-0005-0000-0000-00004F000000}"/>
    <cellStyle name="Dziesiętny 11 3 2 2" xfId="93" xr:uid="{00000000-0005-0000-0000-000050000000}"/>
    <cellStyle name="Dziesiętny 11 3 2 2 2" xfId="94" xr:uid="{00000000-0005-0000-0000-000051000000}"/>
    <cellStyle name="Dziesiętny 11 3 2 3" xfId="95" xr:uid="{00000000-0005-0000-0000-000052000000}"/>
    <cellStyle name="Dziesiętny 11 3 2 3 2" xfId="96" xr:uid="{00000000-0005-0000-0000-000053000000}"/>
    <cellStyle name="Dziesiętny 11 3 2 4" xfId="97" xr:uid="{00000000-0005-0000-0000-000054000000}"/>
    <cellStyle name="Dziesiętny 11 3 3" xfId="98" xr:uid="{00000000-0005-0000-0000-000055000000}"/>
    <cellStyle name="Dziesiętny 11 3 3 2" xfId="99" xr:uid="{00000000-0005-0000-0000-000056000000}"/>
    <cellStyle name="Dziesiętny 11 3 4" xfId="100" xr:uid="{00000000-0005-0000-0000-000057000000}"/>
    <cellStyle name="Dziesiętny 11 3 4 2" xfId="101" xr:uid="{00000000-0005-0000-0000-000058000000}"/>
    <cellStyle name="Dziesiętny 11 3 5" xfId="102" xr:uid="{00000000-0005-0000-0000-000059000000}"/>
    <cellStyle name="Dziesiętny 11 4" xfId="103" xr:uid="{00000000-0005-0000-0000-00005A000000}"/>
    <cellStyle name="Dziesiętny 11 4 2" xfId="104" xr:uid="{00000000-0005-0000-0000-00005B000000}"/>
    <cellStyle name="Dziesiętny 11 4 2 2" xfId="105" xr:uid="{00000000-0005-0000-0000-00005C000000}"/>
    <cellStyle name="Dziesiętny 11 4 3" xfId="106" xr:uid="{00000000-0005-0000-0000-00005D000000}"/>
    <cellStyle name="Dziesiętny 11 4 3 2" xfId="107" xr:uid="{00000000-0005-0000-0000-00005E000000}"/>
    <cellStyle name="Dziesiętny 11 4 4" xfId="108" xr:uid="{00000000-0005-0000-0000-00005F000000}"/>
    <cellStyle name="Dziesiętny 11 5" xfId="109" xr:uid="{00000000-0005-0000-0000-000060000000}"/>
    <cellStyle name="Dziesiętny 11 5 2" xfId="110" xr:uid="{00000000-0005-0000-0000-000061000000}"/>
    <cellStyle name="Dziesiętny 11 6" xfId="111" xr:uid="{00000000-0005-0000-0000-000062000000}"/>
    <cellStyle name="Dziesiętny 11 6 2" xfId="112" xr:uid="{00000000-0005-0000-0000-000063000000}"/>
    <cellStyle name="Dziesiętny 11 7" xfId="113" xr:uid="{00000000-0005-0000-0000-000064000000}"/>
    <cellStyle name="Dziesiętny 12" xfId="114" xr:uid="{00000000-0005-0000-0000-000065000000}"/>
    <cellStyle name="Dziesiętny 12 2" xfId="115" xr:uid="{00000000-0005-0000-0000-000066000000}"/>
    <cellStyle name="Dziesiętny 12 2 2" xfId="116" xr:uid="{00000000-0005-0000-0000-000067000000}"/>
    <cellStyle name="Dziesiętny 12 2 2 2" xfId="117" xr:uid="{00000000-0005-0000-0000-000068000000}"/>
    <cellStyle name="Dziesiętny 12 2 2 2 2" xfId="118" xr:uid="{00000000-0005-0000-0000-000069000000}"/>
    <cellStyle name="Dziesiętny 12 2 2 3" xfId="119" xr:uid="{00000000-0005-0000-0000-00006A000000}"/>
    <cellStyle name="Dziesiętny 12 2 2 3 2" xfId="120" xr:uid="{00000000-0005-0000-0000-00006B000000}"/>
    <cellStyle name="Dziesiętny 12 2 2 4" xfId="121" xr:uid="{00000000-0005-0000-0000-00006C000000}"/>
    <cellStyle name="Dziesiętny 12 2 3" xfId="122" xr:uid="{00000000-0005-0000-0000-00006D000000}"/>
    <cellStyle name="Dziesiętny 12 2 3 2" xfId="123" xr:uid="{00000000-0005-0000-0000-00006E000000}"/>
    <cellStyle name="Dziesiętny 12 2 4" xfId="124" xr:uid="{00000000-0005-0000-0000-00006F000000}"/>
    <cellStyle name="Dziesiętny 12 2 4 2" xfId="125" xr:uid="{00000000-0005-0000-0000-000070000000}"/>
    <cellStyle name="Dziesiętny 12 2 5" xfId="126" xr:uid="{00000000-0005-0000-0000-000071000000}"/>
    <cellStyle name="Dziesiętny 12 3" xfId="127" xr:uid="{00000000-0005-0000-0000-000072000000}"/>
    <cellStyle name="Dziesiętny 12 3 2" xfId="128" xr:uid="{00000000-0005-0000-0000-000073000000}"/>
    <cellStyle name="Dziesiętny 12 3 2 2" xfId="129" xr:uid="{00000000-0005-0000-0000-000074000000}"/>
    <cellStyle name="Dziesiętny 12 3 3" xfId="130" xr:uid="{00000000-0005-0000-0000-000075000000}"/>
    <cellStyle name="Dziesiętny 12 3 3 2" xfId="131" xr:uid="{00000000-0005-0000-0000-000076000000}"/>
    <cellStyle name="Dziesiętny 12 3 4" xfId="132" xr:uid="{00000000-0005-0000-0000-000077000000}"/>
    <cellStyle name="Dziesiętny 12 4" xfId="133" xr:uid="{00000000-0005-0000-0000-000078000000}"/>
    <cellStyle name="Dziesiętny 12 4 2" xfId="134" xr:uid="{00000000-0005-0000-0000-000079000000}"/>
    <cellStyle name="Dziesiętny 12 5" xfId="135" xr:uid="{00000000-0005-0000-0000-00007A000000}"/>
    <cellStyle name="Dziesiętny 12 5 2" xfId="136" xr:uid="{00000000-0005-0000-0000-00007B000000}"/>
    <cellStyle name="Dziesiętny 12 6" xfId="137" xr:uid="{00000000-0005-0000-0000-00007C000000}"/>
    <cellStyle name="Dziesiętny 13" xfId="138" xr:uid="{00000000-0005-0000-0000-00007D000000}"/>
    <cellStyle name="Dziesiętny 13 2" xfId="139" xr:uid="{00000000-0005-0000-0000-00007E000000}"/>
    <cellStyle name="Dziesiętny 13 2 2" xfId="140" xr:uid="{00000000-0005-0000-0000-00007F000000}"/>
    <cellStyle name="Dziesiętny 13 2 2 2" xfId="141" xr:uid="{00000000-0005-0000-0000-000080000000}"/>
    <cellStyle name="Dziesiętny 13 2 2 2 2" xfId="142" xr:uid="{00000000-0005-0000-0000-000081000000}"/>
    <cellStyle name="Dziesiętny 13 2 2 3" xfId="143" xr:uid="{00000000-0005-0000-0000-000082000000}"/>
    <cellStyle name="Dziesiętny 13 2 2 3 2" xfId="144" xr:uid="{00000000-0005-0000-0000-000083000000}"/>
    <cellStyle name="Dziesiętny 13 2 2 4" xfId="145" xr:uid="{00000000-0005-0000-0000-000084000000}"/>
    <cellStyle name="Dziesiętny 13 2 3" xfId="146" xr:uid="{00000000-0005-0000-0000-000085000000}"/>
    <cellStyle name="Dziesiętny 13 2 3 2" xfId="147" xr:uid="{00000000-0005-0000-0000-000086000000}"/>
    <cellStyle name="Dziesiętny 13 2 4" xfId="148" xr:uid="{00000000-0005-0000-0000-000087000000}"/>
    <cellStyle name="Dziesiętny 13 2 4 2" xfId="149" xr:uid="{00000000-0005-0000-0000-000088000000}"/>
    <cellStyle name="Dziesiętny 13 2 5" xfId="150" xr:uid="{00000000-0005-0000-0000-000089000000}"/>
    <cellStyle name="Dziesiętny 13 3" xfId="151" xr:uid="{00000000-0005-0000-0000-00008A000000}"/>
    <cellStyle name="Dziesiętny 13 3 2" xfId="152" xr:uid="{00000000-0005-0000-0000-00008B000000}"/>
    <cellStyle name="Dziesiętny 13 3 2 2" xfId="153" xr:uid="{00000000-0005-0000-0000-00008C000000}"/>
    <cellStyle name="Dziesiętny 13 3 3" xfId="154" xr:uid="{00000000-0005-0000-0000-00008D000000}"/>
    <cellStyle name="Dziesiętny 13 3 3 2" xfId="155" xr:uid="{00000000-0005-0000-0000-00008E000000}"/>
    <cellStyle name="Dziesiętny 13 3 4" xfId="156" xr:uid="{00000000-0005-0000-0000-00008F000000}"/>
    <cellStyle name="Dziesiętny 13 4" xfId="157" xr:uid="{00000000-0005-0000-0000-000090000000}"/>
    <cellStyle name="Dziesiętny 13 4 2" xfId="158" xr:uid="{00000000-0005-0000-0000-000091000000}"/>
    <cellStyle name="Dziesiętny 13 5" xfId="159" xr:uid="{00000000-0005-0000-0000-000092000000}"/>
    <cellStyle name="Dziesiętny 13 5 2" xfId="160" xr:uid="{00000000-0005-0000-0000-000093000000}"/>
    <cellStyle name="Dziesiętny 13 6" xfId="161" xr:uid="{00000000-0005-0000-0000-000094000000}"/>
    <cellStyle name="Dziesiętny 14" xfId="162" xr:uid="{00000000-0005-0000-0000-000095000000}"/>
    <cellStyle name="Dziesiętny 14 2" xfId="163" xr:uid="{00000000-0005-0000-0000-000096000000}"/>
    <cellStyle name="Dziesiętny 14 2 2" xfId="164" xr:uid="{00000000-0005-0000-0000-000097000000}"/>
    <cellStyle name="Dziesiętny 14 2 2 2" xfId="165" xr:uid="{00000000-0005-0000-0000-000098000000}"/>
    <cellStyle name="Dziesiętny 14 2 2 2 2" xfId="166" xr:uid="{00000000-0005-0000-0000-000099000000}"/>
    <cellStyle name="Dziesiętny 14 2 2 3" xfId="167" xr:uid="{00000000-0005-0000-0000-00009A000000}"/>
    <cellStyle name="Dziesiętny 14 2 2 3 2" xfId="168" xr:uid="{00000000-0005-0000-0000-00009B000000}"/>
    <cellStyle name="Dziesiętny 14 2 2 4" xfId="169" xr:uid="{00000000-0005-0000-0000-00009C000000}"/>
    <cellStyle name="Dziesiętny 14 2 3" xfId="170" xr:uid="{00000000-0005-0000-0000-00009D000000}"/>
    <cellStyle name="Dziesiętny 14 2 3 2" xfId="171" xr:uid="{00000000-0005-0000-0000-00009E000000}"/>
    <cellStyle name="Dziesiętny 14 2 4" xfId="172" xr:uid="{00000000-0005-0000-0000-00009F000000}"/>
    <cellStyle name="Dziesiętny 14 2 4 2" xfId="173" xr:uid="{00000000-0005-0000-0000-0000A0000000}"/>
    <cellStyle name="Dziesiętny 14 2 5" xfId="174" xr:uid="{00000000-0005-0000-0000-0000A1000000}"/>
    <cellStyle name="Dziesiętny 14 3" xfId="175" xr:uid="{00000000-0005-0000-0000-0000A2000000}"/>
    <cellStyle name="Dziesiętny 14 3 2" xfId="176" xr:uid="{00000000-0005-0000-0000-0000A3000000}"/>
    <cellStyle name="Dziesiętny 14 3 2 2" xfId="177" xr:uid="{00000000-0005-0000-0000-0000A4000000}"/>
    <cellStyle name="Dziesiętny 14 3 3" xfId="178" xr:uid="{00000000-0005-0000-0000-0000A5000000}"/>
    <cellStyle name="Dziesiętny 14 3 3 2" xfId="179" xr:uid="{00000000-0005-0000-0000-0000A6000000}"/>
    <cellStyle name="Dziesiętny 14 3 4" xfId="180" xr:uid="{00000000-0005-0000-0000-0000A7000000}"/>
    <cellStyle name="Dziesiętny 14 4" xfId="181" xr:uid="{00000000-0005-0000-0000-0000A8000000}"/>
    <cellStyle name="Dziesiętny 14 4 2" xfId="182" xr:uid="{00000000-0005-0000-0000-0000A9000000}"/>
    <cellStyle name="Dziesiętny 14 5" xfId="183" xr:uid="{00000000-0005-0000-0000-0000AA000000}"/>
    <cellStyle name="Dziesiętny 14 5 2" xfId="184" xr:uid="{00000000-0005-0000-0000-0000AB000000}"/>
    <cellStyle name="Dziesiętny 14 6" xfId="185" xr:uid="{00000000-0005-0000-0000-0000AC000000}"/>
    <cellStyle name="Dziesiętny 15" xfId="186" xr:uid="{00000000-0005-0000-0000-0000AD000000}"/>
    <cellStyle name="Dziesiętny 15 2" xfId="187" xr:uid="{00000000-0005-0000-0000-0000AE000000}"/>
    <cellStyle name="Dziesiętny 15 2 2" xfId="188" xr:uid="{00000000-0005-0000-0000-0000AF000000}"/>
    <cellStyle name="Dziesiętny 15 2 2 2" xfId="189" xr:uid="{00000000-0005-0000-0000-0000B0000000}"/>
    <cellStyle name="Dziesiętny 15 2 3" xfId="190" xr:uid="{00000000-0005-0000-0000-0000B1000000}"/>
    <cellStyle name="Dziesiętny 15 2 3 2" xfId="191" xr:uid="{00000000-0005-0000-0000-0000B2000000}"/>
    <cellStyle name="Dziesiętny 15 2 4" xfId="192" xr:uid="{00000000-0005-0000-0000-0000B3000000}"/>
    <cellStyle name="Dziesiętny 15 3" xfId="193" xr:uid="{00000000-0005-0000-0000-0000B4000000}"/>
    <cellStyle name="Dziesiętny 15 3 2" xfId="194" xr:uid="{00000000-0005-0000-0000-0000B5000000}"/>
    <cellStyle name="Dziesiętny 15 4" xfId="195" xr:uid="{00000000-0005-0000-0000-0000B6000000}"/>
    <cellStyle name="Dziesiętny 15 4 2" xfId="196" xr:uid="{00000000-0005-0000-0000-0000B7000000}"/>
    <cellStyle name="Dziesiętny 15 5" xfId="197" xr:uid="{00000000-0005-0000-0000-0000B8000000}"/>
    <cellStyle name="Dziesiętny 16" xfId="198" xr:uid="{00000000-0005-0000-0000-0000B9000000}"/>
    <cellStyle name="Dziesiętny 16 2" xfId="199" xr:uid="{00000000-0005-0000-0000-0000BA000000}"/>
    <cellStyle name="Dziesiętny 16 2 2" xfId="200" xr:uid="{00000000-0005-0000-0000-0000BB000000}"/>
    <cellStyle name="Dziesiętny 16 2 2 2" xfId="201" xr:uid="{00000000-0005-0000-0000-0000BC000000}"/>
    <cellStyle name="Dziesiętny 16 2 3" xfId="202" xr:uid="{00000000-0005-0000-0000-0000BD000000}"/>
    <cellStyle name="Dziesiętny 16 2 3 2" xfId="203" xr:uid="{00000000-0005-0000-0000-0000BE000000}"/>
    <cellStyle name="Dziesiętny 16 2 4" xfId="204" xr:uid="{00000000-0005-0000-0000-0000BF000000}"/>
    <cellStyle name="Dziesiętny 16 3" xfId="205" xr:uid="{00000000-0005-0000-0000-0000C0000000}"/>
    <cellStyle name="Dziesiętny 16 3 2" xfId="206" xr:uid="{00000000-0005-0000-0000-0000C1000000}"/>
    <cellStyle name="Dziesiętny 16 4" xfId="207" xr:uid="{00000000-0005-0000-0000-0000C2000000}"/>
    <cellStyle name="Dziesiętny 16 4 2" xfId="208" xr:uid="{00000000-0005-0000-0000-0000C3000000}"/>
    <cellStyle name="Dziesiętny 16 5" xfId="209" xr:uid="{00000000-0005-0000-0000-0000C4000000}"/>
    <cellStyle name="Dziesiętny 17" xfId="210" xr:uid="{00000000-0005-0000-0000-0000C5000000}"/>
    <cellStyle name="Dziesiętny 17 2" xfId="211" xr:uid="{00000000-0005-0000-0000-0000C6000000}"/>
    <cellStyle name="Dziesiętny 17 2 2" xfId="212" xr:uid="{00000000-0005-0000-0000-0000C7000000}"/>
    <cellStyle name="Dziesiętny 17 2 2 2" xfId="213" xr:uid="{00000000-0005-0000-0000-0000C8000000}"/>
    <cellStyle name="Dziesiętny 17 2 3" xfId="214" xr:uid="{00000000-0005-0000-0000-0000C9000000}"/>
    <cellStyle name="Dziesiętny 17 2 3 2" xfId="215" xr:uid="{00000000-0005-0000-0000-0000CA000000}"/>
    <cellStyle name="Dziesiętny 17 2 4" xfId="216" xr:uid="{00000000-0005-0000-0000-0000CB000000}"/>
    <cellStyle name="Dziesiętny 17 3" xfId="217" xr:uid="{00000000-0005-0000-0000-0000CC000000}"/>
    <cellStyle name="Dziesiętny 17 3 2" xfId="218" xr:uid="{00000000-0005-0000-0000-0000CD000000}"/>
    <cellStyle name="Dziesiętny 17 3 2 2" xfId="219" xr:uid="{00000000-0005-0000-0000-0000CE000000}"/>
    <cellStyle name="Dziesiętny 17 3 3" xfId="220" xr:uid="{00000000-0005-0000-0000-0000CF000000}"/>
    <cellStyle name="Dziesiętny 17 4" xfId="221" xr:uid="{00000000-0005-0000-0000-0000D0000000}"/>
    <cellStyle name="Dziesiętny 17 4 2" xfId="222" xr:uid="{00000000-0005-0000-0000-0000D1000000}"/>
    <cellStyle name="Dziesiętny 17 5" xfId="223" xr:uid="{00000000-0005-0000-0000-0000D2000000}"/>
    <cellStyle name="Dziesiętny 17 5 2" xfId="224" xr:uid="{00000000-0005-0000-0000-0000D3000000}"/>
    <cellStyle name="Dziesiętny 17 6" xfId="225" xr:uid="{00000000-0005-0000-0000-0000D4000000}"/>
    <cellStyle name="Dziesiętny 18" xfId="226" xr:uid="{00000000-0005-0000-0000-0000D5000000}"/>
    <cellStyle name="Dziesiętny 18 2" xfId="227" xr:uid="{00000000-0005-0000-0000-0000D6000000}"/>
    <cellStyle name="Dziesiętny 18 2 2" xfId="228" xr:uid="{00000000-0005-0000-0000-0000D7000000}"/>
    <cellStyle name="Dziesiętny 18 3" xfId="229" xr:uid="{00000000-0005-0000-0000-0000D8000000}"/>
    <cellStyle name="Dziesiętny 18 3 2" xfId="230" xr:uid="{00000000-0005-0000-0000-0000D9000000}"/>
    <cellStyle name="Dziesiętny 18 4" xfId="231" xr:uid="{00000000-0005-0000-0000-0000DA000000}"/>
    <cellStyle name="Dziesiętny 19" xfId="232" xr:uid="{00000000-0005-0000-0000-0000DB000000}"/>
    <cellStyle name="Dziesiętny 19 2" xfId="233" xr:uid="{00000000-0005-0000-0000-0000DC000000}"/>
    <cellStyle name="Dziesiętny 19 2 2" xfId="234" xr:uid="{00000000-0005-0000-0000-0000DD000000}"/>
    <cellStyle name="Dziesiętny 19 3" xfId="235" xr:uid="{00000000-0005-0000-0000-0000DE000000}"/>
    <cellStyle name="Dziesiętny 19 3 2" xfId="236" xr:uid="{00000000-0005-0000-0000-0000DF000000}"/>
    <cellStyle name="Dziesiętny 19 4" xfId="237" xr:uid="{00000000-0005-0000-0000-0000E0000000}"/>
    <cellStyle name="Dziesiętny 2" xfId="16" xr:uid="{00000000-0005-0000-0000-0000E1000000}"/>
    <cellStyle name="Dziesiętny 2 2" xfId="238" xr:uid="{00000000-0005-0000-0000-0000E2000000}"/>
    <cellStyle name="Dziesiętny 2 2 2" xfId="239" xr:uid="{00000000-0005-0000-0000-0000E3000000}"/>
    <cellStyle name="Dziesiętny 2 3" xfId="240" xr:uid="{00000000-0005-0000-0000-0000E4000000}"/>
    <cellStyle name="Dziesiętny 2 3 2" xfId="241" xr:uid="{00000000-0005-0000-0000-0000E5000000}"/>
    <cellStyle name="Dziesiętny 2 3 2 2" xfId="2042" xr:uid="{00000000-0005-0000-0000-0000E6000000}"/>
    <cellStyle name="Dziesiętny 2 3 2 2 2" xfId="2418" xr:uid="{00000000-0005-0000-0000-0000E7000000}"/>
    <cellStyle name="Dziesiętny 2 3 2 3" xfId="2233" xr:uid="{00000000-0005-0000-0000-0000E8000000}"/>
    <cellStyle name="Dziesiętny 2 3 3" xfId="2041" xr:uid="{00000000-0005-0000-0000-0000E9000000}"/>
    <cellStyle name="Dziesiętny 2 3 3 2" xfId="2417" xr:uid="{00000000-0005-0000-0000-0000EA000000}"/>
    <cellStyle name="Dziesiętny 2 3 4" xfId="2232" xr:uid="{00000000-0005-0000-0000-0000EB000000}"/>
    <cellStyle name="Dziesiętny 2 4" xfId="242" xr:uid="{00000000-0005-0000-0000-0000EC000000}"/>
    <cellStyle name="Dziesiętny 2 4 2" xfId="243" xr:uid="{00000000-0005-0000-0000-0000ED000000}"/>
    <cellStyle name="Dziesiętny 2 4 2 2" xfId="2044" xr:uid="{00000000-0005-0000-0000-0000EE000000}"/>
    <cellStyle name="Dziesiętny 2 4 2 2 2" xfId="2420" xr:uid="{00000000-0005-0000-0000-0000EF000000}"/>
    <cellStyle name="Dziesiętny 2 4 2 3" xfId="2235" xr:uid="{00000000-0005-0000-0000-0000F0000000}"/>
    <cellStyle name="Dziesiętny 2 4 3" xfId="244" xr:uid="{00000000-0005-0000-0000-0000F1000000}"/>
    <cellStyle name="Dziesiętny 2 4 3 2" xfId="2045" xr:uid="{00000000-0005-0000-0000-0000F2000000}"/>
    <cellStyle name="Dziesiętny 2 4 3 2 2" xfId="2421" xr:uid="{00000000-0005-0000-0000-0000F3000000}"/>
    <cellStyle name="Dziesiętny 2 4 3 3" xfId="2236" xr:uid="{00000000-0005-0000-0000-0000F4000000}"/>
    <cellStyle name="Dziesiętny 2 4 4" xfId="2043" xr:uid="{00000000-0005-0000-0000-0000F5000000}"/>
    <cellStyle name="Dziesiętny 2 4 4 2" xfId="2419" xr:uid="{00000000-0005-0000-0000-0000F6000000}"/>
    <cellStyle name="Dziesiętny 2 4 5" xfId="2234" xr:uid="{00000000-0005-0000-0000-0000F7000000}"/>
    <cellStyle name="Dziesiętny 2 5" xfId="245" xr:uid="{00000000-0005-0000-0000-0000F8000000}"/>
    <cellStyle name="Dziesiętny 2 5 2" xfId="246" xr:uid="{00000000-0005-0000-0000-0000F9000000}"/>
    <cellStyle name="Dziesiętny 2 6" xfId="247" xr:uid="{00000000-0005-0000-0000-0000FA000000}"/>
    <cellStyle name="Dziesiętny 2 7" xfId="248" xr:uid="{00000000-0005-0000-0000-0000FB000000}"/>
    <cellStyle name="Dziesiętny 2 8" xfId="249" xr:uid="{00000000-0005-0000-0000-0000FC000000}"/>
    <cellStyle name="Dziesiętny 20" xfId="250" xr:uid="{00000000-0005-0000-0000-0000FD000000}"/>
    <cellStyle name="Dziesiętny 20 2" xfId="251" xr:uid="{00000000-0005-0000-0000-0000FE000000}"/>
    <cellStyle name="Dziesiętny 20 2 2" xfId="252" xr:uid="{00000000-0005-0000-0000-0000FF000000}"/>
    <cellStyle name="Dziesiętny 20 2 2 2" xfId="2047" xr:uid="{00000000-0005-0000-0000-000000010000}"/>
    <cellStyle name="Dziesiętny 20 2 2 2 2" xfId="2423" xr:uid="{00000000-0005-0000-0000-000001010000}"/>
    <cellStyle name="Dziesiętny 20 2 2 3" xfId="2238" xr:uid="{00000000-0005-0000-0000-000002010000}"/>
    <cellStyle name="Dziesiętny 20 2 3" xfId="2046" xr:uid="{00000000-0005-0000-0000-000003010000}"/>
    <cellStyle name="Dziesiętny 20 2 3 2" xfId="2422" xr:uid="{00000000-0005-0000-0000-000004010000}"/>
    <cellStyle name="Dziesiętny 20 2 4" xfId="2237" xr:uid="{00000000-0005-0000-0000-000005010000}"/>
    <cellStyle name="Dziesiętny 20 3" xfId="253" xr:uid="{00000000-0005-0000-0000-000006010000}"/>
    <cellStyle name="Dziesiętny 20 3 2" xfId="254" xr:uid="{00000000-0005-0000-0000-000007010000}"/>
    <cellStyle name="Dziesiętny 20 4" xfId="255" xr:uid="{00000000-0005-0000-0000-000008010000}"/>
    <cellStyle name="Dziesiętny 21" xfId="256" xr:uid="{00000000-0005-0000-0000-000009010000}"/>
    <cellStyle name="Dziesiętny 21 2" xfId="257" xr:uid="{00000000-0005-0000-0000-00000A010000}"/>
    <cellStyle name="Dziesiętny 21 2 2" xfId="258" xr:uid="{00000000-0005-0000-0000-00000B010000}"/>
    <cellStyle name="Dziesiętny 21 2 2 2" xfId="2050" xr:uid="{00000000-0005-0000-0000-00000C010000}"/>
    <cellStyle name="Dziesiętny 21 2 2 2 2" xfId="2426" xr:uid="{00000000-0005-0000-0000-00000D010000}"/>
    <cellStyle name="Dziesiętny 21 2 2 3" xfId="2241" xr:uid="{00000000-0005-0000-0000-00000E010000}"/>
    <cellStyle name="Dziesiętny 21 2 3" xfId="2049" xr:uid="{00000000-0005-0000-0000-00000F010000}"/>
    <cellStyle name="Dziesiętny 21 2 3 2" xfId="2425" xr:uid="{00000000-0005-0000-0000-000010010000}"/>
    <cellStyle name="Dziesiętny 21 2 4" xfId="2240" xr:uid="{00000000-0005-0000-0000-000011010000}"/>
    <cellStyle name="Dziesiętny 21 3" xfId="259" xr:uid="{00000000-0005-0000-0000-000012010000}"/>
    <cellStyle name="Dziesiętny 21 3 2" xfId="2051" xr:uid="{00000000-0005-0000-0000-000013010000}"/>
    <cellStyle name="Dziesiętny 21 3 2 2" xfId="2427" xr:uid="{00000000-0005-0000-0000-000014010000}"/>
    <cellStyle name="Dziesiętny 21 3 3" xfId="2242" xr:uid="{00000000-0005-0000-0000-000015010000}"/>
    <cellStyle name="Dziesiętny 21 4" xfId="2048" xr:uid="{00000000-0005-0000-0000-000016010000}"/>
    <cellStyle name="Dziesiętny 21 4 2" xfId="2424" xr:uid="{00000000-0005-0000-0000-000017010000}"/>
    <cellStyle name="Dziesiętny 21 5" xfId="2239" xr:uid="{00000000-0005-0000-0000-000018010000}"/>
    <cellStyle name="Dziesiętny 22" xfId="260" xr:uid="{00000000-0005-0000-0000-000019010000}"/>
    <cellStyle name="Dziesiętny 22 2" xfId="261" xr:uid="{00000000-0005-0000-0000-00001A010000}"/>
    <cellStyle name="Dziesiętny 22 2 2" xfId="262" xr:uid="{00000000-0005-0000-0000-00001B010000}"/>
    <cellStyle name="Dziesiętny 22 2 2 2" xfId="2054" xr:uid="{00000000-0005-0000-0000-00001C010000}"/>
    <cellStyle name="Dziesiętny 22 2 2 2 2" xfId="2430" xr:uid="{00000000-0005-0000-0000-00001D010000}"/>
    <cellStyle name="Dziesiętny 22 2 2 3" xfId="2245" xr:uid="{00000000-0005-0000-0000-00001E010000}"/>
    <cellStyle name="Dziesiętny 22 2 3" xfId="2053" xr:uid="{00000000-0005-0000-0000-00001F010000}"/>
    <cellStyle name="Dziesiętny 22 2 3 2" xfId="2429" xr:uid="{00000000-0005-0000-0000-000020010000}"/>
    <cellStyle name="Dziesiętny 22 2 4" xfId="2244" xr:uid="{00000000-0005-0000-0000-000021010000}"/>
    <cellStyle name="Dziesiętny 22 3" xfId="263" xr:uid="{00000000-0005-0000-0000-000022010000}"/>
    <cellStyle name="Dziesiętny 22 3 2" xfId="2055" xr:uid="{00000000-0005-0000-0000-000023010000}"/>
    <cellStyle name="Dziesiętny 22 3 2 2" xfId="2431" xr:uid="{00000000-0005-0000-0000-000024010000}"/>
    <cellStyle name="Dziesiętny 22 3 3" xfId="2246" xr:uid="{00000000-0005-0000-0000-000025010000}"/>
    <cellStyle name="Dziesiętny 22 4" xfId="2052" xr:uid="{00000000-0005-0000-0000-000026010000}"/>
    <cellStyle name="Dziesiętny 22 4 2" xfId="2428" xr:uid="{00000000-0005-0000-0000-000027010000}"/>
    <cellStyle name="Dziesiętny 22 5" xfId="2243" xr:uid="{00000000-0005-0000-0000-000028010000}"/>
    <cellStyle name="Dziesiętny 23" xfId="264" xr:uid="{00000000-0005-0000-0000-000029010000}"/>
    <cellStyle name="Dziesiętny 23 2" xfId="265" xr:uid="{00000000-0005-0000-0000-00002A010000}"/>
    <cellStyle name="Dziesiętny 23 2 2" xfId="2057" xr:uid="{00000000-0005-0000-0000-00002B010000}"/>
    <cellStyle name="Dziesiętny 23 2 2 2" xfId="2433" xr:uid="{00000000-0005-0000-0000-00002C010000}"/>
    <cellStyle name="Dziesiętny 23 2 3" xfId="2248" xr:uid="{00000000-0005-0000-0000-00002D010000}"/>
    <cellStyle name="Dziesiętny 23 3" xfId="2056" xr:uid="{00000000-0005-0000-0000-00002E010000}"/>
    <cellStyle name="Dziesiętny 23 3 2" xfId="2432" xr:uid="{00000000-0005-0000-0000-00002F010000}"/>
    <cellStyle name="Dziesiętny 23 4" xfId="2247" xr:uid="{00000000-0005-0000-0000-000030010000}"/>
    <cellStyle name="Dziesiętny 24" xfId="266" xr:uid="{00000000-0005-0000-0000-000031010000}"/>
    <cellStyle name="Dziesiętny 24 2" xfId="267" xr:uid="{00000000-0005-0000-0000-000032010000}"/>
    <cellStyle name="Dziesiętny 25" xfId="268" xr:uid="{00000000-0005-0000-0000-000033010000}"/>
    <cellStyle name="Dziesiętny 25 2" xfId="269" xr:uid="{00000000-0005-0000-0000-000034010000}"/>
    <cellStyle name="Dziesiętny 25 2 2" xfId="2059" xr:uid="{00000000-0005-0000-0000-000035010000}"/>
    <cellStyle name="Dziesiętny 25 2 2 2" xfId="2435" xr:uid="{00000000-0005-0000-0000-000036010000}"/>
    <cellStyle name="Dziesiętny 25 2 3" xfId="2250" xr:uid="{00000000-0005-0000-0000-000037010000}"/>
    <cellStyle name="Dziesiętny 25 3" xfId="2058" xr:uid="{00000000-0005-0000-0000-000038010000}"/>
    <cellStyle name="Dziesiętny 25 3 2" xfId="2434" xr:uid="{00000000-0005-0000-0000-000039010000}"/>
    <cellStyle name="Dziesiętny 25 4" xfId="2249" xr:uid="{00000000-0005-0000-0000-00003A010000}"/>
    <cellStyle name="Dziesiętny 26" xfId="270" xr:uid="{00000000-0005-0000-0000-00003B010000}"/>
    <cellStyle name="Dziesiętny 26 2" xfId="271" xr:uid="{00000000-0005-0000-0000-00003C010000}"/>
    <cellStyle name="Dziesiętny 26 2 2" xfId="2061" xr:uid="{00000000-0005-0000-0000-00003D010000}"/>
    <cellStyle name="Dziesiętny 26 2 2 2" xfId="2437" xr:uid="{00000000-0005-0000-0000-00003E010000}"/>
    <cellStyle name="Dziesiętny 26 2 3" xfId="2252" xr:uid="{00000000-0005-0000-0000-00003F010000}"/>
    <cellStyle name="Dziesiętny 26 3" xfId="2060" xr:uid="{00000000-0005-0000-0000-000040010000}"/>
    <cellStyle name="Dziesiętny 26 3 2" xfId="2436" xr:uid="{00000000-0005-0000-0000-000041010000}"/>
    <cellStyle name="Dziesiętny 26 4" xfId="2251" xr:uid="{00000000-0005-0000-0000-000042010000}"/>
    <cellStyle name="Dziesiętny 27" xfId="272" xr:uid="{00000000-0005-0000-0000-000043010000}"/>
    <cellStyle name="Dziesiętny 27 2" xfId="273" xr:uid="{00000000-0005-0000-0000-000044010000}"/>
    <cellStyle name="Dziesiętny 27 2 2" xfId="2063" xr:uid="{00000000-0005-0000-0000-000045010000}"/>
    <cellStyle name="Dziesiętny 27 2 2 2" xfId="2439" xr:uid="{00000000-0005-0000-0000-000046010000}"/>
    <cellStyle name="Dziesiętny 27 2 3" xfId="2254" xr:uid="{00000000-0005-0000-0000-000047010000}"/>
    <cellStyle name="Dziesiętny 27 3" xfId="2062" xr:uid="{00000000-0005-0000-0000-000048010000}"/>
    <cellStyle name="Dziesiętny 27 3 2" xfId="2438" xr:uid="{00000000-0005-0000-0000-000049010000}"/>
    <cellStyle name="Dziesiętny 27 4" xfId="2253" xr:uid="{00000000-0005-0000-0000-00004A010000}"/>
    <cellStyle name="Dziesiętny 28" xfId="274" xr:uid="{00000000-0005-0000-0000-00004B010000}"/>
    <cellStyle name="Dziesiętny 28 2" xfId="275" xr:uid="{00000000-0005-0000-0000-00004C010000}"/>
    <cellStyle name="Dziesiętny 28 2 2" xfId="2065" xr:uid="{00000000-0005-0000-0000-00004D010000}"/>
    <cellStyle name="Dziesiętny 28 2 2 2" xfId="2441" xr:uid="{00000000-0005-0000-0000-00004E010000}"/>
    <cellStyle name="Dziesiętny 28 2 3" xfId="2256" xr:uid="{00000000-0005-0000-0000-00004F010000}"/>
    <cellStyle name="Dziesiętny 28 3" xfId="2064" xr:uid="{00000000-0005-0000-0000-000050010000}"/>
    <cellStyle name="Dziesiętny 28 3 2" xfId="2440" xr:uid="{00000000-0005-0000-0000-000051010000}"/>
    <cellStyle name="Dziesiętny 28 4" xfId="2255" xr:uid="{00000000-0005-0000-0000-000052010000}"/>
    <cellStyle name="Dziesiętny 29" xfId="276" xr:uid="{00000000-0005-0000-0000-000053010000}"/>
    <cellStyle name="Dziesiętny 3" xfId="277" xr:uid="{00000000-0005-0000-0000-000054010000}"/>
    <cellStyle name="Dziesiętny 3 2" xfId="278" xr:uid="{00000000-0005-0000-0000-000055010000}"/>
    <cellStyle name="Dziesiętny 3 2 2" xfId="279" xr:uid="{00000000-0005-0000-0000-000056010000}"/>
    <cellStyle name="Dziesiętny 3 2 2 2" xfId="2068" xr:uid="{00000000-0005-0000-0000-000057010000}"/>
    <cellStyle name="Dziesiętny 3 2 2 2 2" xfId="2444" xr:uid="{00000000-0005-0000-0000-000058010000}"/>
    <cellStyle name="Dziesiętny 3 2 2 3" xfId="2259" xr:uid="{00000000-0005-0000-0000-000059010000}"/>
    <cellStyle name="Dziesiętny 3 2 3" xfId="2067" xr:uid="{00000000-0005-0000-0000-00005A010000}"/>
    <cellStyle name="Dziesiętny 3 2 3 2" xfId="2443" xr:uid="{00000000-0005-0000-0000-00005B010000}"/>
    <cellStyle name="Dziesiętny 3 2 4" xfId="2258" xr:uid="{00000000-0005-0000-0000-00005C010000}"/>
    <cellStyle name="Dziesiętny 3 3" xfId="280" xr:uid="{00000000-0005-0000-0000-00005D010000}"/>
    <cellStyle name="Dziesiętny 3 3 2" xfId="281" xr:uid="{00000000-0005-0000-0000-00005E010000}"/>
    <cellStyle name="Dziesiętny 3 3 2 2" xfId="2070" xr:uid="{00000000-0005-0000-0000-00005F010000}"/>
    <cellStyle name="Dziesiętny 3 3 2 2 2" xfId="2446" xr:uid="{00000000-0005-0000-0000-000060010000}"/>
    <cellStyle name="Dziesiętny 3 3 2 3" xfId="2261" xr:uid="{00000000-0005-0000-0000-000061010000}"/>
    <cellStyle name="Dziesiętny 3 3 3" xfId="2069" xr:uid="{00000000-0005-0000-0000-000062010000}"/>
    <cellStyle name="Dziesiętny 3 3 3 2" xfId="2445" xr:uid="{00000000-0005-0000-0000-000063010000}"/>
    <cellStyle name="Dziesiętny 3 3 4" xfId="2260" xr:uid="{00000000-0005-0000-0000-000064010000}"/>
    <cellStyle name="Dziesiętny 3 4" xfId="282" xr:uid="{00000000-0005-0000-0000-000065010000}"/>
    <cellStyle name="Dziesiętny 3 4 2" xfId="2071" xr:uid="{00000000-0005-0000-0000-000066010000}"/>
    <cellStyle name="Dziesiętny 3 4 2 2" xfId="2447" xr:uid="{00000000-0005-0000-0000-000067010000}"/>
    <cellStyle name="Dziesiętny 3 4 3" xfId="2262" xr:uid="{00000000-0005-0000-0000-000068010000}"/>
    <cellStyle name="Dziesiętny 3 5" xfId="283" xr:uid="{00000000-0005-0000-0000-000069010000}"/>
    <cellStyle name="Dziesiętny 3 6" xfId="284" xr:uid="{00000000-0005-0000-0000-00006A010000}"/>
    <cellStyle name="Dziesiętny 3 7" xfId="2066" xr:uid="{00000000-0005-0000-0000-00006B010000}"/>
    <cellStyle name="Dziesiętny 3 7 2" xfId="2442" xr:uid="{00000000-0005-0000-0000-00006C010000}"/>
    <cellStyle name="Dziesiętny 3 8" xfId="2257" xr:uid="{00000000-0005-0000-0000-00006D010000}"/>
    <cellStyle name="Dziesiętny 30" xfId="285" xr:uid="{00000000-0005-0000-0000-00006E010000}"/>
    <cellStyle name="Dziesiętny 31" xfId="286" xr:uid="{00000000-0005-0000-0000-00006F010000}"/>
    <cellStyle name="Dziesiętny 32" xfId="287" xr:uid="{00000000-0005-0000-0000-000070010000}"/>
    <cellStyle name="Dziesiętny 33" xfId="288" xr:uid="{00000000-0005-0000-0000-000071010000}"/>
    <cellStyle name="Dziesiętny 34" xfId="289" xr:uid="{00000000-0005-0000-0000-000072010000}"/>
    <cellStyle name="Dziesiętny 4" xfId="290" xr:uid="{00000000-0005-0000-0000-000073010000}"/>
    <cellStyle name="Dziesiętny 4 10" xfId="291" xr:uid="{00000000-0005-0000-0000-000074010000}"/>
    <cellStyle name="Dziesiętny 4 10 2" xfId="292" xr:uid="{00000000-0005-0000-0000-000075010000}"/>
    <cellStyle name="Dziesiętny 4 11" xfId="293" xr:uid="{00000000-0005-0000-0000-000076010000}"/>
    <cellStyle name="Dziesiętny 4 12" xfId="294" xr:uid="{00000000-0005-0000-0000-000077010000}"/>
    <cellStyle name="Dziesiętny 4 2" xfId="295" xr:uid="{00000000-0005-0000-0000-000078010000}"/>
    <cellStyle name="Dziesiętny 4 2 10" xfId="296" xr:uid="{00000000-0005-0000-0000-000079010000}"/>
    <cellStyle name="Dziesiętny 4 2 2" xfId="297" xr:uid="{00000000-0005-0000-0000-00007A010000}"/>
    <cellStyle name="Dziesiętny 4 2 2 2" xfId="298" xr:uid="{00000000-0005-0000-0000-00007B010000}"/>
    <cellStyle name="Dziesiętny 4 2 2 2 2" xfId="299" xr:uid="{00000000-0005-0000-0000-00007C010000}"/>
    <cellStyle name="Dziesiętny 4 2 2 2 2 2" xfId="300" xr:uid="{00000000-0005-0000-0000-00007D010000}"/>
    <cellStyle name="Dziesiętny 4 2 2 2 2 2 2" xfId="301" xr:uid="{00000000-0005-0000-0000-00007E010000}"/>
    <cellStyle name="Dziesiętny 4 2 2 2 2 2 2 2" xfId="302" xr:uid="{00000000-0005-0000-0000-00007F010000}"/>
    <cellStyle name="Dziesiętny 4 2 2 2 2 2 2 2 2" xfId="303" xr:uid="{00000000-0005-0000-0000-000080010000}"/>
    <cellStyle name="Dziesiętny 4 2 2 2 2 2 2 3" xfId="304" xr:uid="{00000000-0005-0000-0000-000081010000}"/>
    <cellStyle name="Dziesiętny 4 2 2 2 2 2 2 3 2" xfId="305" xr:uid="{00000000-0005-0000-0000-000082010000}"/>
    <cellStyle name="Dziesiętny 4 2 2 2 2 2 2 4" xfId="306" xr:uid="{00000000-0005-0000-0000-000083010000}"/>
    <cellStyle name="Dziesiętny 4 2 2 2 2 2 3" xfId="307" xr:uid="{00000000-0005-0000-0000-000084010000}"/>
    <cellStyle name="Dziesiętny 4 2 2 2 2 2 3 2" xfId="308" xr:uid="{00000000-0005-0000-0000-000085010000}"/>
    <cellStyle name="Dziesiętny 4 2 2 2 2 2 4" xfId="309" xr:uid="{00000000-0005-0000-0000-000086010000}"/>
    <cellStyle name="Dziesiętny 4 2 2 2 2 2 4 2" xfId="310" xr:uid="{00000000-0005-0000-0000-000087010000}"/>
    <cellStyle name="Dziesiętny 4 2 2 2 2 2 5" xfId="311" xr:uid="{00000000-0005-0000-0000-000088010000}"/>
    <cellStyle name="Dziesiętny 4 2 2 2 2 3" xfId="312" xr:uid="{00000000-0005-0000-0000-000089010000}"/>
    <cellStyle name="Dziesiętny 4 2 2 2 2 3 2" xfId="313" xr:uid="{00000000-0005-0000-0000-00008A010000}"/>
    <cellStyle name="Dziesiętny 4 2 2 2 2 3 2 2" xfId="314" xr:uid="{00000000-0005-0000-0000-00008B010000}"/>
    <cellStyle name="Dziesiętny 4 2 2 2 2 3 3" xfId="315" xr:uid="{00000000-0005-0000-0000-00008C010000}"/>
    <cellStyle name="Dziesiętny 4 2 2 2 2 3 3 2" xfId="316" xr:uid="{00000000-0005-0000-0000-00008D010000}"/>
    <cellStyle name="Dziesiętny 4 2 2 2 2 3 4" xfId="317" xr:uid="{00000000-0005-0000-0000-00008E010000}"/>
    <cellStyle name="Dziesiętny 4 2 2 2 2 4" xfId="318" xr:uid="{00000000-0005-0000-0000-00008F010000}"/>
    <cellStyle name="Dziesiętny 4 2 2 2 2 4 2" xfId="319" xr:uid="{00000000-0005-0000-0000-000090010000}"/>
    <cellStyle name="Dziesiętny 4 2 2 2 2 5" xfId="320" xr:uid="{00000000-0005-0000-0000-000091010000}"/>
    <cellStyle name="Dziesiętny 4 2 2 2 2 5 2" xfId="321" xr:uid="{00000000-0005-0000-0000-000092010000}"/>
    <cellStyle name="Dziesiętny 4 2 2 2 2 6" xfId="322" xr:uid="{00000000-0005-0000-0000-000093010000}"/>
    <cellStyle name="Dziesiętny 4 2 2 2 3" xfId="323" xr:uid="{00000000-0005-0000-0000-000094010000}"/>
    <cellStyle name="Dziesiętny 4 2 2 2 3 2" xfId="324" xr:uid="{00000000-0005-0000-0000-000095010000}"/>
    <cellStyle name="Dziesiętny 4 2 2 2 3 2 2" xfId="325" xr:uid="{00000000-0005-0000-0000-000096010000}"/>
    <cellStyle name="Dziesiętny 4 2 2 2 3 2 2 2" xfId="326" xr:uid="{00000000-0005-0000-0000-000097010000}"/>
    <cellStyle name="Dziesiętny 4 2 2 2 3 2 3" xfId="327" xr:uid="{00000000-0005-0000-0000-000098010000}"/>
    <cellStyle name="Dziesiętny 4 2 2 2 3 2 3 2" xfId="328" xr:uid="{00000000-0005-0000-0000-000099010000}"/>
    <cellStyle name="Dziesiętny 4 2 2 2 3 2 4" xfId="329" xr:uid="{00000000-0005-0000-0000-00009A010000}"/>
    <cellStyle name="Dziesiętny 4 2 2 2 3 3" xfId="330" xr:uid="{00000000-0005-0000-0000-00009B010000}"/>
    <cellStyle name="Dziesiętny 4 2 2 2 3 3 2" xfId="331" xr:uid="{00000000-0005-0000-0000-00009C010000}"/>
    <cellStyle name="Dziesiętny 4 2 2 2 3 4" xfId="332" xr:uid="{00000000-0005-0000-0000-00009D010000}"/>
    <cellStyle name="Dziesiętny 4 2 2 2 3 4 2" xfId="333" xr:uid="{00000000-0005-0000-0000-00009E010000}"/>
    <cellStyle name="Dziesiętny 4 2 2 2 3 5" xfId="334" xr:uid="{00000000-0005-0000-0000-00009F010000}"/>
    <cellStyle name="Dziesiętny 4 2 2 2 4" xfId="335" xr:uid="{00000000-0005-0000-0000-0000A0010000}"/>
    <cellStyle name="Dziesiętny 4 2 2 2 4 2" xfId="336" xr:uid="{00000000-0005-0000-0000-0000A1010000}"/>
    <cellStyle name="Dziesiętny 4 2 2 2 4 2 2" xfId="337" xr:uid="{00000000-0005-0000-0000-0000A2010000}"/>
    <cellStyle name="Dziesiętny 4 2 2 2 4 3" xfId="338" xr:uid="{00000000-0005-0000-0000-0000A3010000}"/>
    <cellStyle name="Dziesiętny 4 2 2 2 4 3 2" xfId="339" xr:uid="{00000000-0005-0000-0000-0000A4010000}"/>
    <cellStyle name="Dziesiętny 4 2 2 2 4 4" xfId="340" xr:uid="{00000000-0005-0000-0000-0000A5010000}"/>
    <cellStyle name="Dziesiętny 4 2 2 2 5" xfId="341" xr:uid="{00000000-0005-0000-0000-0000A6010000}"/>
    <cellStyle name="Dziesiętny 4 2 2 2 5 2" xfId="342" xr:uid="{00000000-0005-0000-0000-0000A7010000}"/>
    <cellStyle name="Dziesiętny 4 2 2 2 6" xfId="343" xr:uid="{00000000-0005-0000-0000-0000A8010000}"/>
    <cellStyle name="Dziesiętny 4 2 2 2 6 2" xfId="344" xr:uid="{00000000-0005-0000-0000-0000A9010000}"/>
    <cellStyle name="Dziesiętny 4 2 2 2 7" xfId="345" xr:uid="{00000000-0005-0000-0000-0000AA010000}"/>
    <cellStyle name="Dziesiętny 4 2 2 3" xfId="346" xr:uid="{00000000-0005-0000-0000-0000AB010000}"/>
    <cellStyle name="Dziesiętny 4 2 2 3 2" xfId="347" xr:uid="{00000000-0005-0000-0000-0000AC010000}"/>
    <cellStyle name="Dziesiętny 4 2 2 3 2 2" xfId="348" xr:uid="{00000000-0005-0000-0000-0000AD010000}"/>
    <cellStyle name="Dziesiętny 4 2 2 3 2 2 2" xfId="349" xr:uid="{00000000-0005-0000-0000-0000AE010000}"/>
    <cellStyle name="Dziesiętny 4 2 2 3 2 2 2 2" xfId="350" xr:uid="{00000000-0005-0000-0000-0000AF010000}"/>
    <cellStyle name="Dziesiętny 4 2 2 3 2 2 2 2 2" xfId="351" xr:uid="{00000000-0005-0000-0000-0000B0010000}"/>
    <cellStyle name="Dziesiętny 4 2 2 3 2 2 2 3" xfId="352" xr:uid="{00000000-0005-0000-0000-0000B1010000}"/>
    <cellStyle name="Dziesiętny 4 2 2 3 2 2 2 3 2" xfId="353" xr:uid="{00000000-0005-0000-0000-0000B2010000}"/>
    <cellStyle name="Dziesiętny 4 2 2 3 2 2 2 4" xfId="354" xr:uid="{00000000-0005-0000-0000-0000B3010000}"/>
    <cellStyle name="Dziesiętny 4 2 2 3 2 2 3" xfId="355" xr:uid="{00000000-0005-0000-0000-0000B4010000}"/>
    <cellStyle name="Dziesiętny 4 2 2 3 2 2 3 2" xfId="356" xr:uid="{00000000-0005-0000-0000-0000B5010000}"/>
    <cellStyle name="Dziesiętny 4 2 2 3 2 2 4" xfId="357" xr:uid="{00000000-0005-0000-0000-0000B6010000}"/>
    <cellStyle name="Dziesiętny 4 2 2 3 2 2 4 2" xfId="358" xr:uid="{00000000-0005-0000-0000-0000B7010000}"/>
    <cellStyle name="Dziesiętny 4 2 2 3 2 2 5" xfId="359" xr:uid="{00000000-0005-0000-0000-0000B8010000}"/>
    <cellStyle name="Dziesiętny 4 2 2 3 2 3" xfId="360" xr:uid="{00000000-0005-0000-0000-0000B9010000}"/>
    <cellStyle name="Dziesiętny 4 2 2 3 2 3 2" xfId="361" xr:uid="{00000000-0005-0000-0000-0000BA010000}"/>
    <cellStyle name="Dziesiętny 4 2 2 3 2 3 2 2" xfId="362" xr:uid="{00000000-0005-0000-0000-0000BB010000}"/>
    <cellStyle name="Dziesiętny 4 2 2 3 2 3 3" xfId="363" xr:uid="{00000000-0005-0000-0000-0000BC010000}"/>
    <cellStyle name="Dziesiętny 4 2 2 3 2 3 3 2" xfId="364" xr:uid="{00000000-0005-0000-0000-0000BD010000}"/>
    <cellStyle name="Dziesiętny 4 2 2 3 2 3 4" xfId="365" xr:uid="{00000000-0005-0000-0000-0000BE010000}"/>
    <cellStyle name="Dziesiętny 4 2 2 3 2 4" xfId="366" xr:uid="{00000000-0005-0000-0000-0000BF010000}"/>
    <cellStyle name="Dziesiętny 4 2 2 3 2 4 2" xfId="367" xr:uid="{00000000-0005-0000-0000-0000C0010000}"/>
    <cellStyle name="Dziesiętny 4 2 2 3 2 5" xfId="368" xr:uid="{00000000-0005-0000-0000-0000C1010000}"/>
    <cellStyle name="Dziesiętny 4 2 2 3 2 5 2" xfId="369" xr:uid="{00000000-0005-0000-0000-0000C2010000}"/>
    <cellStyle name="Dziesiętny 4 2 2 3 2 6" xfId="370" xr:uid="{00000000-0005-0000-0000-0000C3010000}"/>
    <cellStyle name="Dziesiętny 4 2 2 3 3" xfId="371" xr:uid="{00000000-0005-0000-0000-0000C4010000}"/>
    <cellStyle name="Dziesiętny 4 2 2 3 3 2" xfId="372" xr:uid="{00000000-0005-0000-0000-0000C5010000}"/>
    <cellStyle name="Dziesiętny 4 2 2 3 3 2 2" xfId="373" xr:uid="{00000000-0005-0000-0000-0000C6010000}"/>
    <cellStyle name="Dziesiętny 4 2 2 3 3 2 2 2" xfId="374" xr:uid="{00000000-0005-0000-0000-0000C7010000}"/>
    <cellStyle name="Dziesiętny 4 2 2 3 3 2 3" xfId="375" xr:uid="{00000000-0005-0000-0000-0000C8010000}"/>
    <cellStyle name="Dziesiętny 4 2 2 3 3 2 3 2" xfId="376" xr:uid="{00000000-0005-0000-0000-0000C9010000}"/>
    <cellStyle name="Dziesiętny 4 2 2 3 3 2 4" xfId="377" xr:uid="{00000000-0005-0000-0000-0000CA010000}"/>
    <cellStyle name="Dziesiętny 4 2 2 3 3 3" xfId="378" xr:uid="{00000000-0005-0000-0000-0000CB010000}"/>
    <cellStyle name="Dziesiętny 4 2 2 3 3 3 2" xfId="379" xr:uid="{00000000-0005-0000-0000-0000CC010000}"/>
    <cellStyle name="Dziesiętny 4 2 2 3 3 4" xfId="380" xr:uid="{00000000-0005-0000-0000-0000CD010000}"/>
    <cellStyle name="Dziesiętny 4 2 2 3 3 4 2" xfId="381" xr:uid="{00000000-0005-0000-0000-0000CE010000}"/>
    <cellStyle name="Dziesiętny 4 2 2 3 3 5" xfId="382" xr:uid="{00000000-0005-0000-0000-0000CF010000}"/>
    <cellStyle name="Dziesiętny 4 2 2 3 4" xfId="383" xr:uid="{00000000-0005-0000-0000-0000D0010000}"/>
    <cellStyle name="Dziesiętny 4 2 2 3 4 2" xfId="384" xr:uid="{00000000-0005-0000-0000-0000D1010000}"/>
    <cellStyle name="Dziesiętny 4 2 2 3 4 2 2" xfId="385" xr:uid="{00000000-0005-0000-0000-0000D2010000}"/>
    <cellStyle name="Dziesiętny 4 2 2 3 4 3" xfId="386" xr:uid="{00000000-0005-0000-0000-0000D3010000}"/>
    <cellStyle name="Dziesiętny 4 2 2 3 4 3 2" xfId="387" xr:uid="{00000000-0005-0000-0000-0000D4010000}"/>
    <cellStyle name="Dziesiętny 4 2 2 3 4 4" xfId="388" xr:uid="{00000000-0005-0000-0000-0000D5010000}"/>
    <cellStyle name="Dziesiętny 4 2 2 3 5" xfId="389" xr:uid="{00000000-0005-0000-0000-0000D6010000}"/>
    <cellStyle name="Dziesiętny 4 2 2 3 5 2" xfId="390" xr:uid="{00000000-0005-0000-0000-0000D7010000}"/>
    <cellStyle name="Dziesiętny 4 2 2 3 6" xfId="391" xr:uid="{00000000-0005-0000-0000-0000D8010000}"/>
    <cellStyle name="Dziesiętny 4 2 2 3 6 2" xfId="392" xr:uid="{00000000-0005-0000-0000-0000D9010000}"/>
    <cellStyle name="Dziesiętny 4 2 2 3 7" xfId="393" xr:uid="{00000000-0005-0000-0000-0000DA010000}"/>
    <cellStyle name="Dziesiętny 4 2 2 4" xfId="394" xr:uid="{00000000-0005-0000-0000-0000DB010000}"/>
    <cellStyle name="Dziesiętny 4 2 2 4 2" xfId="395" xr:uid="{00000000-0005-0000-0000-0000DC010000}"/>
    <cellStyle name="Dziesiętny 4 2 2 4 2 2" xfId="396" xr:uid="{00000000-0005-0000-0000-0000DD010000}"/>
    <cellStyle name="Dziesiętny 4 2 2 4 2 2 2" xfId="397" xr:uid="{00000000-0005-0000-0000-0000DE010000}"/>
    <cellStyle name="Dziesiętny 4 2 2 4 2 2 2 2" xfId="398" xr:uid="{00000000-0005-0000-0000-0000DF010000}"/>
    <cellStyle name="Dziesiętny 4 2 2 4 2 2 3" xfId="399" xr:uid="{00000000-0005-0000-0000-0000E0010000}"/>
    <cellStyle name="Dziesiętny 4 2 2 4 2 2 3 2" xfId="400" xr:uid="{00000000-0005-0000-0000-0000E1010000}"/>
    <cellStyle name="Dziesiętny 4 2 2 4 2 2 4" xfId="401" xr:uid="{00000000-0005-0000-0000-0000E2010000}"/>
    <cellStyle name="Dziesiętny 4 2 2 4 2 3" xfId="402" xr:uid="{00000000-0005-0000-0000-0000E3010000}"/>
    <cellStyle name="Dziesiętny 4 2 2 4 2 3 2" xfId="403" xr:uid="{00000000-0005-0000-0000-0000E4010000}"/>
    <cellStyle name="Dziesiętny 4 2 2 4 2 4" xfId="404" xr:uid="{00000000-0005-0000-0000-0000E5010000}"/>
    <cellStyle name="Dziesiętny 4 2 2 4 2 4 2" xfId="405" xr:uid="{00000000-0005-0000-0000-0000E6010000}"/>
    <cellStyle name="Dziesiętny 4 2 2 4 2 5" xfId="406" xr:uid="{00000000-0005-0000-0000-0000E7010000}"/>
    <cellStyle name="Dziesiętny 4 2 2 4 3" xfId="407" xr:uid="{00000000-0005-0000-0000-0000E8010000}"/>
    <cellStyle name="Dziesiętny 4 2 2 4 3 2" xfId="408" xr:uid="{00000000-0005-0000-0000-0000E9010000}"/>
    <cellStyle name="Dziesiętny 4 2 2 4 3 2 2" xfId="409" xr:uid="{00000000-0005-0000-0000-0000EA010000}"/>
    <cellStyle name="Dziesiętny 4 2 2 4 3 3" xfId="410" xr:uid="{00000000-0005-0000-0000-0000EB010000}"/>
    <cellStyle name="Dziesiętny 4 2 2 4 3 3 2" xfId="411" xr:uid="{00000000-0005-0000-0000-0000EC010000}"/>
    <cellStyle name="Dziesiętny 4 2 2 4 3 4" xfId="412" xr:uid="{00000000-0005-0000-0000-0000ED010000}"/>
    <cellStyle name="Dziesiętny 4 2 2 4 4" xfId="413" xr:uid="{00000000-0005-0000-0000-0000EE010000}"/>
    <cellStyle name="Dziesiętny 4 2 2 4 4 2" xfId="414" xr:uid="{00000000-0005-0000-0000-0000EF010000}"/>
    <cellStyle name="Dziesiętny 4 2 2 4 5" xfId="415" xr:uid="{00000000-0005-0000-0000-0000F0010000}"/>
    <cellStyle name="Dziesiętny 4 2 2 4 5 2" xfId="416" xr:uid="{00000000-0005-0000-0000-0000F1010000}"/>
    <cellStyle name="Dziesiętny 4 2 2 4 6" xfId="417" xr:uid="{00000000-0005-0000-0000-0000F2010000}"/>
    <cellStyle name="Dziesiętny 4 2 2 5" xfId="418" xr:uid="{00000000-0005-0000-0000-0000F3010000}"/>
    <cellStyle name="Dziesiętny 4 2 2 5 2" xfId="419" xr:uid="{00000000-0005-0000-0000-0000F4010000}"/>
    <cellStyle name="Dziesiętny 4 2 2 5 2 2" xfId="420" xr:uid="{00000000-0005-0000-0000-0000F5010000}"/>
    <cellStyle name="Dziesiętny 4 2 2 5 2 2 2" xfId="421" xr:uid="{00000000-0005-0000-0000-0000F6010000}"/>
    <cellStyle name="Dziesiętny 4 2 2 5 2 3" xfId="422" xr:uid="{00000000-0005-0000-0000-0000F7010000}"/>
    <cellStyle name="Dziesiętny 4 2 2 5 2 3 2" xfId="423" xr:uid="{00000000-0005-0000-0000-0000F8010000}"/>
    <cellStyle name="Dziesiętny 4 2 2 5 2 4" xfId="424" xr:uid="{00000000-0005-0000-0000-0000F9010000}"/>
    <cellStyle name="Dziesiętny 4 2 2 5 3" xfId="425" xr:uid="{00000000-0005-0000-0000-0000FA010000}"/>
    <cellStyle name="Dziesiętny 4 2 2 5 3 2" xfId="426" xr:uid="{00000000-0005-0000-0000-0000FB010000}"/>
    <cellStyle name="Dziesiętny 4 2 2 5 4" xfId="427" xr:uid="{00000000-0005-0000-0000-0000FC010000}"/>
    <cellStyle name="Dziesiętny 4 2 2 5 4 2" xfId="428" xr:uid="{00000000-0005-0000-0000-0000FD010000}"/>
    <cellStyle name="Dziesiętny 4 2 2 5 5" xfId="429" xr:uid="{00000000-0005-0000-0000-0000FE010000}"/>
    <cellStyle name="Dziesiętny 4 2 2 6" xfId="430" xr:uid="{00000000-0005-0000-0000-0000FF010000}"/>
    <cellStyle name="Dziesiętny 4 2 2 6 2" xfId="431" xr:uid="{00000000-0005-0000-0000-000000020000}"/>
    <cellStyle name="Dziesiętny 4 2 2 6 2 2" xfId="432" xr:uid="{00000000-0005-0000-0000-000001020000}"/>
    <cellStyle name="Dziesiętny 4 2 2 6 3" xfId="433" xr:uid="{00000000-0005-0000-0000-000002020000}"/>
    <cellStyle name="Dziesiętny 4 2 2 6 3 2" xfId="434" xr:uid="{00000000-0005-0000-0000-000003020000}"/>
    <cellStyle name="Dziesiętny 4 2 2 6 4" xfId="435" xr:uid="{00000000-0005-0000-0000-000004020000}"/>
    <cellStyle name="Dziesiętny 4 2 2 7" xfId="436" xr:uid="{00000000-0005-0000-0000-000005020000}"/>
    <cellStyle name="Dziesiętny 4 2 2 7 2" xfId="437" xr:uid="{00000000-0005-0000-0000-000006020000}"/>
    <cellStyle name="Dziesiętny 4 2 2 8" xfId="438" xr:uid="{00000000-0005-0000-0000-000007020000}"/>
    <cellStyle name="Dziesiętny 4 2 2 8 2" xfId="439" xr:uid="{00000000-0005-0000-0000-000008020000}"/>
    <cellStyle name="Dziesiętny 4 2 2 9" xfId="440" xr:uid="{00000000-0005-0000-0000-000009020000}"/>
    <cellStyle name="Dziesiętny 4 2 3" xfId="441" xr:uid="{00000000-0005-0000-0000-00000A020000}"/>
    <cellStyle name="Dziesiętny 4 2 3 2" xfId="442" xr:uid="{00000000-0005-0000-0000-00000B020000}"/>
    <cellStyle name="Dziesiętny 4 2 3 2 2" xfId="443" xr:uid="{00000000-0005-0000-0000-00000C020000}"/>
    <cellStyle name="Dziesiętny 4 2 3 2 2 2" xfId="444" xr:uid="{00000000-0005-0000-0000-00000D020000}"/>
    <cellStyle name="Dziesiętny 4 2 3 2 2 2 2" xfId="445" xr:uid="{00000000-0005-0000-0000-00000E020000}"/>
    <cellStyle name="Dziesiętny 4 2 3 2 2 2 2 2" xfId="446" xr:uid="{00000000-0005-0000-0000-00000F020000}"/>
    <cellStyle name="Dziesiętny 4 2 3 2 2 2 3" xfId="447" xr:uid="{00000000-0005-0000-0000-000010020000}"/>
    <cellStyle name="Dziesiętny 4 2 3 2 2 2 3 2" xfId="448" xr:uid="{00000000-0005-0000-0000-000011020000}"/>
    <cellStyle name="Dziesiętny 4 2 3 2 2 2 4" xfId="449" xr:uid="{00000000-0005-0000-0000-000012020000}"/>
    <cellStyle name="Dziesiętny 4 2 3 2 2 3" xfId="450" xr:uid="{00000000-0005-0000-0000-000013020000}"/>
    <cellStyle name="Dziesiętny 4 2 3 2 2 3 2" xfId="451" xr:uid="{00000000-0005-0000-0000-000014020000}"/>
    <cellStyle name="Dziesiętny 4 2 3 2 2 4" xfId="452" xr:uid="{00000000-0005-0000-0000-000015020000}"/>
    <cellStyle name="Dziesiętny 4 2 3 2 2 4 2" xfId="453" xr:uid="{00000000-0005-0000-0000-000016020000}"/>
    <cellStyle name="Dziesiętny 4 2 3 2 2 5" xfId="454" xr:uid="{00000000-0005-0000-0000-000017020000}"/>
    <cellStyle name="Dziesiętny 4 2 3 2 3" xfId="455" xr:uid="{00000000-0005-0000-0000-000018020000}"/>
    <cellStyle name="Dziesiętny 4 2 3 2 3 2" xfId="456" xr:uid="{00000000-0005-0000-0000-000019020000}"/>
    <cellStyle name="Dziesiętny 4 2 3 2 3 2 2" xfId="457" xr:uid="{00000000-0005-0000-0000-00001A020000}"/>
    <cellStyle name="Dziesiętny 4 2 3 2 3 3" xfId="458" xr:uid="{00000000-0005-0000-0000-00001B020000}"/>
    <cellStyle name="Dziesiętny 4 2 3 2 3 3 2" xfId="459" xr:uid="{00000000-0005-0000-0000-00001C020000}"/>
    <cellStyle name="Dziesiętny 4 2 3 2 3 4" xfId="460" xr:uid="{00000000-0005-0000-0000-00001D020000}"/>
    <cellStyle name="Dziesiętny 4 2 3 2 4" xfId="461" xr:uid="{00000000-0005-0000-0000-00001E020000}"/>
    <cellStyle name="Dziesiętny 4 2 3 2 4 2" xfId="462" xr:uid="{00000000-0005-0000-0000-00001F020000}"/>
    <cellStyle name="Dziesiętny 4 2 3 2 5" xfId="463" xr:uid="{00000000-0005-0000-0000-000020020000}"/>
    <cellStyle name="Dziesiętny 4 2 3 2 5 2" xfId="464" xr:uid="{00000000-0005-0000-0000-000021020000}"/>
    <cellStyle name="Dziesiętny 4 2 3 2 6" xfId="465" xr:uid="{00000000-0005-0000-0000-000022020000}"/>
    <cellStyle name="Dziesiętny 4 2 3 3" xfId="466" xr:uid="{00000000-0005-0000-0000-000023020000}"/>
    <cellStyle name="Dziesiętny 4 2 3 3 2" xfId="467" xr:uid="{00000000-0005-0000-0000-000024020000}"/>
    <cellStyle name="Dziesiętny 4 2 3 3 2 2" xfId="468" xr:uid="{00000000-0005-0000-0000-000025020000}"/>
    <cellStyle name="Dziesiętny 4 2 3 3 2 2 2" xfId="469" xr:uid="{00000000-0005-0000-0000-000026020000}"/>
    <cellStyle name="Dziesiętny 4 2 3 3 2 3" xfId="470" xr:uid="{00000000-0005-0000-0000-000027020000}"/>
    <cellStyle name="Dziesiętny 4 2 3 3 2 3 2" xfId="471" xr:uid="{00000000-0005-0000-0000-000028020000}"/>
    <cellStyle name="Dziesiętny 4 2 3 3 2 4" xfId="472" xr:uid="{00000000-0005-0000-0000-000029020000}"/>
    <cellStyle name="Dziesiętny 4 2 3 3 3" xfId="473" xr:uid="{00000000-0005-0000-0000-00002A020000}"/>
    <cellStyle name="Dziesiętny 4 2 3 3 3 2" xfId="474" xr:uid="{00000000-0005-0000-0000-00002B020000}"/>
    <cellStyle name="Dziesiętny 4 2 3 3 4" xfId="475" xr:uid="{00000000-0005-0000-0000-00002C020000}"/>
    <cellStyle name="Dziesiętny 4 2 3 3 4 2" xfId="476" xr:uid="{00000000-0005-0000-0000-00002D020000}"/>
    <cellStyle name="Dziesiętny 4 2 3 3 5" xfId="477" xr:uid="{00000000-0005-0000-0000-00002E020000}"/>
    <cellStyle name="Dziesiętny 4 2 3 4" xfId="478" xr:uid="{00000000-0005-0000-0000-00002F020000}"/>
    <cellStyle name="Dziesiętny 4 2 3 4 2" xfId="479" xr:uid="{00000000-0005-0000-0000-000030020000}"/>
    <cellStyle name="Dziesiętny 4 2 3 4 2 2" xfId="480" xr:uid="{00000000-0005-0000-0000-000031020000}"/>
    <cellStyle name="Dziesiętny 4 2 3 4 3" xfId="481" xr:uid="{00000000-0005-0000-0000-000032020000}"/>
    <cellStyle name="Dziesiętny 4 2 3 4 3 2" xfId="482" xr:uid="{00000000-0005-0000-0000-000033020000}"/>
    <cellStyle name="Dziesiętny 4 2 3 4 4" xfId="483" xr:uid="{00000000-0005-0000-0000-000034020000}"/>
    <cellStyle name="Dziesiętny 4 2 3 5" xfId="484" xr:uid="{00000000-0005-0000-0000-000035020000}"/>
    <cellStyle name="Dziesiętny 4 2 3 5 2" xfId="485" xr:uid="{00000000-0005-0000-0000-000036020000}"/>
    <cellStyle name="Dziesiętny 4 2 3 6" xfId="486" xr:uid="{00000000-0005-0000-0000-000037020000}"/>
    <cellStyle name="Dziesiętny 4 2 3 6 2" xfId="487" xr:uid="{00000000-0005-0000-0000-000038020000}"/>
    <cellStyle name="Dziesiętny 4 2 3 7" xfId="488" xr:uid="{00000000-0005-0000-0000-000039020000}"/>
    <cellStyle name="Dziesiętny 4 2 4" xfId="489" xr:uid="{00000000-0005-0000-0000-00003A020000}"/>
    <cellStyle name="Dziesiętny 4 2 4 2" xfId="490" xr:uid="{00000000-0005-0000-0000-00003B020000}"/>
    <cellStyle name="Dziesiętny 4 2 4 2 2" xfId="491" xr:uid="{00000000-0005-0000-0000-00003C020000}"/>
    <cellStyle name="Dziesiętny 4 2 4 2 2 2" xfId="492" xr:uid="{00000000-0005-0000-0000-00003D020000}"/>
    <cellStyle name="Dziesiętny 4 2 4 2 2 2 2" xfId="493" xr:uid="{00000000-0005-0000-0000-00003E020000}"/>
    <cellStyle name="Dziesiętny 4 2 4 2 2 2 2 2" xfId="494" xr:uid="{00000000-0005-0000-0000-00003F020000}"/>
    <cellStyle name="Dziesiętny 4 2 4 2 2 2 3" xfId="495" xr:uid="{00000000-0005-0000-0000-000040020000}"/>
    <cellStyle name="Dziesiętny 4 2 4 2 2 2 3 2" xfId="496" xr:uid="{00000000-0005-0000-0000-000041020000}"/>
    <cellStyle name="Dziesiętny 4 2 4 2 2 2 4" xfId="497" xr:uid="{00000000-0005-0000-0000-000042020000}"/>
    <cellStyle name="Dziesiętny 4 2 4 2 2 3" xfId="498" xr:uid="{00000000-0005-0000-0000-000043020000}"/>
    <cellStyle name="Dziesiętny 4 2 4 2 2 3 2" xfId="499" xr:uid="{00000000-0005-0000-0000-000044020000}"/>
    <cellStyle name="Dziesiętny 4 2 4 2 2 4" xfId="500" xr:uid="{00000000-0005-0000-0000-000045020000}"/>
    <cellStyle name="Dziesiętny 4 2 4 2 2 4 2" xfId="501" xr:uid="{00000000-0005-0000-0000-000046020000}"/>
    <cellStyle name="Dziesiętny 4 2 4 2 2 5" xfId="502" xr:uid="{00000000-0005-0000-0000-000047020000}"/>
    <cellStyle name="Dziesiętny 4 2 4 2 3" xfId="503" xr:uid="{00000000-0005-0000-0000-000048020000}"/>
    <cellStyle name="Dziesiętny 4 2 4 2 3 2" xfId="504" xr:uid="{00000000-0005-0000-0000-000049020000}"/>
    <cellStyle name="Dziesiętny 4 2 4 2 3 2 2" xfId="505" xr:uid="{00000000-0005-0000-0000-00004A020000}"/>
    <cellStyle name="Dziesiętny 4 2 4 2 3 3" xfId="506" xr:uid="{00000000-0005-0000-0000-00004B020000}"/>
    <cellStyle name="Dziesiętny 4 2 4 2 3 3 2" xfId="507" xr:uid="{00000000-0005-0000-0000-00004C020000}"/>
    <cellStyle name="Dziesiętny 4 2 4 2 3 4" xfId="508" xr:uid="{00000000-0005-0000-0000-00004D020000}"/>
    <cellStyle name="Dziesiętny 4 2 4 2 4" xfId="509" xr:uid="{00000000-0005-0000-0000-00004E020000}"/>
    <cellStyle name="Dziesiętny 4 2 4 2 4 2" xfId="510" xr:uid="{00000000-0005-0000-0000-00004F020000}"/>
    <cellStyle name="Dziesiętny 4 2 4 2 5" xfId="511" xr:uid="{00000000-0005-0000-0000-000050020000}"/>
    <cellStyle name="Dziesiętny 4 2 4 2 5 2" xfId="512" xr:uid="{00000000-0005-0000-0000-000051020000}"/>
    <cellStyle name="Dziesiętny 4 2 4 2 6" xfId="513" xr:uid="{00000000-0005-0000-0000-000052020000}"/>
    <cellStyle name="Dziesiętny 4 2 4 3" xfId="514" xr:uid="{00000000-0005-0000-0000-000053020000}"/>
    <cellStyle name="Dziesiętny 4 2 4 3 2" xfId="515" xr:uid="{00000000-0005-0000-0000-000054020000}"/>
    <cellStyle name="Dziesiętny 4 2 4 3 2 2" xfId="516" xr:uid="{00000000-0005-0000-0000-000055020000}"/>
    <cellStyle name="Dziesiętny 4 2 4 3 2 2 2" xfId="517" xr:uid="{00000000-0005-0000-0000-000056020000}"/>
    <cellStyle name="Dziesiętny 4 2 4 3 2 3" xfId="518" xr:uid="{00000000-0005-0000-0000-000057020000}"/>
    <cellStyle name="Dziesiętny 4 2 4 3 2 3 2" xfId="519" xr:uid="{00000000-0005-0000-0000-000058020000}"/>
    <cellStyle name="Dziesiętny 4 2 4 3 2 4" xfId="520" xr:uid="{00000000-0005-0000-0000-000059020000}"/>
    <cellStyle name="Dziesiętny 4 2 4 3 3" xfId="521" xr:uid="{00000000-0005-0000-0000-00005A020000}"/>
    <cellStyle name="Dziesiętny 4 2 4 3 3 2" xfId="522" xr:uid="{00000000-0005-0000-0000-00005B020000}"/>
    <cellStyle name="Dziesiętny 4 2 4 3 4" xfId="523" xr:uid="{00000000-0005-0000-0000-00005C020000}"/>
    <cellStyle name="Dziesiętny 4 2 4 3 4 2" xfId="524" xr:uid="{00000000-0005-0000-0000-00005D020000}"/>
    <cellStyle name="Dziesiętny 4 2 4 3 5" xfId="525" xr:uid="{00000000-0005-0000-0000-00005E020000}"/>
    <cellStyle name="Dziesiętny 4 2 4 4" xfId="526" xr:uid="{00000000-0005-0000-0000-00005F020000}"/>
    <cellStyle name="Dziesiętny 4 2 4 4 2" xfId="527" xr:uid="{00000000-0005-0000-0000-000060020000}"/>
    <cellStyle name="Dziesiętny 4 2 4 4 2 2" xfId="528" xr:uid="{00000000-0005-0000-0000-000061020000}"/>
    <cellStyle name="Dziesiętny 4 2 4 4 3" xfId="529" xr:uid="{00000000-0005-0000-0000-000062020000}"/>
    <cellStyle name="Dziesiętny 4 2 4 4 3 2" xfId="530" xr:uid="{00000000-0005-0000-0000-000063020000}"/>
    <cellStyle name="Dziesiętny 4 2 4 4 4" xfId="531" xr:uid="{00000000-0005-0000-0000-000064020000}"/>
    <cellStyle name="Dziesiętny 4 2 4 5" xfId="532" xr:uid="{00000000-0005-0000-0000-000065020000}"/>
    <cellStyle name="Dziesiętny 4 2 4 5 2" xfId="533" xr:uid="{00000000-0005-0000-0000-000066020000}"/>
    <cellStyle name="Dziesiętny 4 2 4 6" xfId="534" xr:uid="{00000000-0005-0000-0000-000067020000}"/>
    <cellStyle name="Dziesiętny 4 2 4 6 2" xfId="535" xr:uid="{00000000-0005-0000-0000-000068020000}"/>
    <cellStyle name="Dziesiętny 4 2 4 7" xfId="536" xr:uid="{00000000-0005-0000-0000-000069020000}"/>
    <cellStyle name="Dziesiętny 4 2 5" xfId="537" xr:uid="{00000000-0005-0000-0000-00006A020000}"/>
    <cellStyle name="Dziesiętny 4 2 5 2" xfId="538" xr:uid="{00000000-0005-0000-0000-00006B020000}"/>
    <cellStyle name="Dziesiętny 4 2 5 2 2" xfId="539" xr:uid="{00000000-0005-0000-0000-00006C020000}"/>
    <cellStyle name="Dziesiętny 4 2 5 2 2 2" xfId="540" xr:uid="{00000000-0005-0000-0000-00006D020000}"/>
    <cellStyle name="Dziesiętny 4 2 5 2 2 2 2" xfId="541" xr:uid="{00000000-0005-0000-0000-00006E020000}"/>
    <cellStyle name="Dziesiętny 4 2 5 2 2 3" xfId="542" xr:uid="{00000000-0005-0000-0000-00006F020000}"/>
    <cellStyle name="Dziesiętny 4 2 5 2 2 3 2" xfId="543" xr:uid="{00000000-0005-0000-0000-000070020000}"/>
    <cellStyle name="Dziesiętny 4 2 5 2 2 4" xfId="544" xr:uid="{00000000-0005-0000-0000-000071020000}"/>
    <cellStyle name="Dziesiętny 4 2 5 2 3" xfId="545" xr:uid="{00000000-0005-0000-0000-000072020000}"/>
    <cellStyle name="Dziesiętny 4 2 5 2 3 2" xfId="546" xr:uid="{00000000-0005-0000-0000-000073020000}"/>
    <cellStyle name="Dziesiętny 4 2 5 2 4" xfId="547" xr:uid="{00000000-0005-0000-0000-000074020000}"/>
    <cellStyle name="Dziesiętny 4 2 5 2 4 2" xfId="548" xr:uid="{00000000-0005-0000-0000-000075020000}"/>
    <cellStyle name="Dziesiętny 4 2 5 2 5" xfId="549" xr:uid="{00000000-0005-0000-0000-000076020000}"/>
    <cellStyle name="Dziesiętny 4 2 5 3" xfId="550" xr:uid="{00000000-0005-0000-0000-000077020000}"/>
    <cellStyle name="Dziesiętny 4 2 5 3 2" xfId="551" xr:uid="{00000000-0005-0000-0000-000078020000}"/>
    <cellStyle name="Dziesiętny 4 2 5 3 2 2" xfId="552" xr:uid="{00000000-0005-0000-0000-000079020000}"/>
    <cellStyle name="Dziesiętny 4 2 5 3 3" xfId="553" xr:uid="{00000000-0005-0000-0000-00007A020000}"/>
    <cellStyle name="Dziesiętny 4 2 5 3 3 2" xfId="554" xr:uid="{00000000-0005-0000-0000-00007B020000}"/>
    <cellStyle name="Dziesiętny 4 2 5 3 4" xfId="555" xr:uid="{00000000-0005-0000-0000-00007C020000}"/>
    <cellStyle name="Dziesiętny 4 2 5 4" xfId="556" xr:uid="{00000000-0005-0000-0000-00007D020000}"/>
    <cellStyle name="Dziesiętny 4 2 5 4 2" xfId="557" xr:uid="{00000000-0005-0000-0000-00007E020000}"/>
    <cellStyle name="Dziesiętny 4 2 5 5" xfId="558" xr:uid="{00000000-0005-0000-0000-00007F020000}"/>
    <cellStyle name="Dziesiętny 4 2 5 5 2" xfId="559" xr:uid="{00000000-0005-0000-0000-000080020000}"/>
    <cellStyle name="Dziesiętny 4 2 5 6" xfId="560" xr:uid="{00000000-0005-0000-0000-000081020000}"/>
    <cellStyle name="Dziesiętny 4 2 6" xfId="561" xr:uid="{00000000-0005-0000-0000-000082020000}"/>
    <cellStyle name="Dziesiętny 4 2 6 2" xfId="562" xr:uid="{00000000-0005-0000-0000-000083020000}"/>
    <cellStyle name="Dziesiętny 4 2 6 2 2" xfId="563" xr:uid="{00000000-0005-0000-0000-000084020000}"/>
    <cellStyle name="Dziesiętny 4 2 6 2 2 2" xfId="564" xr:uid="{00000000-0005-0000-0000-000085020000}"/>
    <cellStyle name="Dziesiętny 4 2 6 2 3" xfId="565" xr:uid="{00000000-0005-0000-0000-000086020000}"/>
    <cellStyle name="Dziesiętny 4 2 6 2 3 2" xfId="566" xr:uid="{00000000-0005-0000-0000-000087020000}"/>
    <cellStyle name="Dziesiętny 4 2 6 2 4" xfId="567" xr:uid="{00000000-0005-0000-0000-000088020000}"/>
    <cellStyle name="Dziesiętny 4 2 6 3" xfId="568" xr:uid="{00000000-0005-0000-0000-000089020000}"/>
    <cellStyle name="Dziesiętny 4 2 6 3 2" xfId="569" xr:uid="{00000000-0005-0000-0000-00008A020000}"/>
    <cellStyle name="Dziesiętny 4 2 6 4" xfId="570" xr:uid="{00000000-0005-0000-0000-00008B020000}"/>
    <cellStyle name="Dziesiętny 4 2 6 4 2" xfId="571" xr:uid="{00000000-0005-0000-0000-00008C020000}"/>
    <cellStyle name="Dziesiętny 4 2 6 5" xfId="572" xr:uid="{00000000-0005-0000-0000-00008D020000}"/>
    <cellStyle name="Dziesiętny 4 2 7" xfId="573" xr:uid="{00000000-0005-0000-0000-00008E020000}"/>
    <cellStyle name="Dziesiętny 4 2 7 2" xfId="574" xr:uid="{00000000-0005-0000-0000-00008F020000}"/>
    <cellStyle name="Dziesiętny 4 2 7 2 2" xfId="575" xr:uid="{00000000-0005-0000-0000-000090020000}"/>
    <cellStyle name="Dziesiętny 4 2 7 3" xfId="576" xr:uid="{00000000-0005-0000-0000-000091020000}"/>
    <cellStyle name="Dziesiętny 4 2 7 3 2" xfId="577" xr:uid="{00000000-0005-0000-0000-000092020000}"/>
    <cellStyle name="Dziesiętny 4 2 7 4" xfId="578" xr:uid="{00000000-0005-0000-0000-000093020000}"/>
    <cellStyle name="Dziesiętny 4 2 8" xfId="579" xr:uid="{00000000-0005-0000-0000-000094020000}"/>
    <cellStyle name="Dziesiętny 4 2 8 2" xfId="580" xr:uid="{00000000-0005-0000-0000-000095020000}"/>
    <cellStyle name="Dziesiętny 4 2 9" xfId="581" xr:uid="{00000000-0005-0000-0000-000096020000}"/>
    <cellStyle name="Dziesiętny 4 2 9 2" xfId="582" xr:uid="{00000000-0005-0000-0000-000097020000}"/>
    <cellStyle name="Dziesiętny 4 3" xfId="583" xr:uid="{00000000-0005-0000-0000-000098020000}"/>
    <cellStyle name="Dziesiętny 4 3 2" xfId="584" xr:uid="{00000000-0005-0000-0000-000099020000}"/>
    <cellStyle name="Dziesiętny 4 3 2 2" xfId="585" xr:uid="{00000000-0005-0000-0000-00009A020000}"/>
    <cellStyle name="Dziesiętny 4 3 2 2 2" xfId="586" xr:uid="{00000000-0005-0000-0000-00009B020000}"/>
    <cellStyle name="Dziesiętny 4 3 2 2 2 2" xfId="587" xr:uid="{00000000-0005-0000-0000-00009C020000}"/>
    <cellStyle name="Dziesiętny 4 3 2 2 2 2 2" xfId="588" xr:uid="{00000000-0005-0000-0000-00009D020000}"/>
    <cellStyle name="Dziesiętny 4 3 2 2 2 2 2 2" xfId="589" xr:uid="{00000000-0005-0000-0000-00009E020000}"/>
    <cellStyle name="Dziesiętny 4 3 2 2 2 2 3" xfId="590" xr:uid="{00000000-0005-0000-0000-00009F020000}"/>
    <cellStyle name="Dziesiętny 4 3 2 2 2 2 3 2" xfId="591" xr:uid="{00000000-0005-0000-0000-0000A0020000}"/>
    <cellStyle name="Dziesiętny 4 3 2 2 2 2 4" xfId="592" xr:uid="{00000000-0005-0000-0000-0000A1020000}"/>
    <cellStyle name="Dziesiętny 4 3 2 2 2 3" xfId="593" xr:uid="{00000000-0005-0000-0000-0000A2020000}"/>
    <cellStyle name="Dziesiętny 4 3 2 2 2 3 2" xfId="594" xr:uid="{00000000-0005-0000-0000-0000A3020000}"/>
    <cellStyle name="Dziesiętny 4 3 2 2 2 4" xfId="595" xr:uid="{00000000-0005-0000-0000-0000A4020000}"/>
    <cellStyle name="Dziesiętny 4 3 2 2 2 4 2" xfId="596" xr:uid="{00000000-0005-0000-0000-0000A5020000}"/>
    <cellStyle name="Dziesiętny 4 3 2 2 2 5" xfId="597" xr:uid="{00000000-0005-0000-0000-0000A6020000}"/>
    <cellStyle name="Dziesiętny 4 3 2 2 3" xfId="598" xr:uid="{00000000-0005-0000-0000-0000A7020000}"/>
    <cellStyle name="Dziesiętny 4 3 2 2 3 2" xfId="599" xr:uid="{00000000-0005-0000-0000-0000A8020000}"/>
    <cellStyle name="Dziesiętny 4 3 2 2 3 2 2" xfId="600" xr:uid="{00000000-0005-0000-0000-0000A9020000}"/>
    <cellStyle name="Dziesiętny 4 3 2 2 3 3" xfId="601" xr:uid="{00000000-0005-0000-0000-0000AA020000}"/>
    <cellStyle name="Dziesiętny 4 3 2 2 3 3 2" xfId="602" xr:uid="{00000000-0005-0000-0000-0000AB020000}"/>
    <cellStyle name="Dziesiętny 4 3 2 2 3 4" xfId="603" xr:uid="{00000000-0005-0000-0000-0000AC020000}"/>
    <cellStyle name="Dziesiętny 4 3 2 2 4" xfId="604" xr:uid="{00000000-0005-0000-0000-0000AD020000}"/>
    <cellStyle name="Dziesiętny 4 3 2 2 4 2" xfId="605" xr:uid="{00000000-0005-0000-0000-0000AE020000}"/>
    <cellStyle name="Dziesiętny 4 3 2 2 5" xfId="606" xr:uid="{00000000-0005-0000-0000-0000AF020000}"/>
    <cellStyle name="Dziesiętny 4 3 2 2 5 2" xfId="607" xr:uid="{00000000-0005-0000-0000-0000B0020000}"/>
    <cellStyle name="Dziesiętny 4 3 2 2 6" xfId="608" xr:uid="{00000000-0005-0000-0000-0000B1020000}"/>
    <cellStyle name="Dziesiętny 4 3 2 3" xfId="609" xr:uid="{00000000-0005-0000-0000-0000B2020000}"/>
    <cellStyle name="Dziesiętny 4 3 2 3 2" xfId="610" xr:uid="{00000000-0005-0000-0000-0000B3020000}"/>
    <cellStyle name="Dziesiętny 4 3 2 3 2 2" xfId="611" xr:uid="{00000000-0005-0000-0000-0000B4020000}"/>
    <cellStyle name="Dziesiętny 4 3 2 3 2 2 2" xfId="612" xr:uid="{00000000-0005-0000-0000-0000B5020000}"/>
    <cellStyle name="Dziesiętny 4 3 2 3 2 3" xfId="613" xr:uid="{00000000-0005-0000-0000-0000B6020000}"/>
    <cellStyle name="Dziesiętny 4 3 2 3 2 3 2" xfId="614" xr:uid="{00000000-0005-0000-0000-0000B7020000}"/>
    <cellStyle name="Dziesiętny 4 3 2 3 2 4" xfId="615" xr:uid="{00000000-0005-0000-0000-0000B8020000}"/>
    <cellStyle name="Dziesiętny 4 3 2 3 3" xfId="616" xr:uid="{00000000-0005-0000-0000-0000B9020000}"/>
    <cellStyle name="Dziesiętny 4 3 2 3 3 2" xfId="617" xr:uid="{00000000-0005-0000-0000-0000BA020000}"/>
    <cellStyle name="Dziesiętny 4 3 2 3 4" xfId="618" xr:uid="{00000000-0005-0000-0000-0000BB020000}"/>
    <cellStyle name="Dziesiętny 4 3 2 3 4 2" xfId="619" xr:uid="{00000000-0005-0000-0000-0000BC020000}"/>
    <cellStyle name="Dziesiętny 4 3 2 3 5" xfId="620" xr:uid="{00000000-0005-0000-0000-0000BD020000}"/>
    <cellStyle name="Dziesiętny 4 3 2 4" xfId="621" xr:uid="{00000000-0005-0000-0000-0000BE020000}"/>
    <cellStyle name="Dziesiętny 4 3 2 4 2" xfId="622" xr:uid="{00000000-0005-0000-0000-0000BF020000}"/>
    <cellStyle name="Dziesiętny 4 3 2 4 2 2" xfId="623" xr:uid="{00000000-0005-0000-0000-0000C0020000}"/>
    <cellStyle name="Dziesiętny 4 3 2 4 3" xfId="624" xr:uid="{00000000-0005-0000-0000-0000C1020000}"/>
    <cellStyle name="Dziesiętny 4 3 2 4 3 2" xfId="625" xr:uid="{00000000-0005-0000-0000-0000C2020000}"/>
    <cellStyle name="Dziesiętny 4 3 2 4 4" xfId="626" xr:uid="{00000000-0005-0000-0000-0000C3020000}"/>
    <cellStyle name="Dziesiętny 4 3 2 5" xfId="627" xr:uid="{00000000-0005-0000-0000-0000C4020000}"/>
    <cellStyle name="Dziesiętny 4 3 2 5 2" xfId="628" xr:uid="{00000000-0005-0000-0000-0000C5020000}"/>
    <cellStyle name="Dziesiętny 4 3 2 6" xfId="629" xr:uid="{00000000-0005-0000-0000-0000C6020000}"/>
    <cellStyle name="Dziesiętny 4 3 2 6 2" xfId="630" xr:uid="{00000000-0005-0000-0000-0000C7020000}"/>
    <cellStyle name="Dziesiętny 4 3 2 7" xfId="631" xr:uid="{00000000-0005-0000-0000-0000C8020000}"/>
    <cellStyle name="Dziesiętny 4 3 3" xfId="632" xr:uid="{00000000-0005-0000-0000-0000C9020000}"/>
    <cellStyle name="Dziesiętny 4 3 3 2" xfId="633" xr:uid="{00000000-0005-0000-0000-0000CA020000}"/>
    <cellStyle name="Dziesiętny 4 3 3 2 2" xfId="634" xr:uid="{00000000-0005-0000-0000-0000CB020000}"/>
    <cellStyle name="Dziesiętny 4 3 3 2 2 2" xfId="635" xr:uid="{00000000-0005-0000-0000-0000CC020000}"/>
    <cellStyle name="Dziesiętny 4 3 3 2 2 2 2" xfId="636" xr:uid="{00000000-0005-0000-0000-0000CD020000}"/>
    <cellStyle name="Dziesiętny 4 3 3 2 2 2 2 2" xfId="637" xr:uid="{00000000-0005-0000-0000-0000CE020000}"/>
    <cellStyle name="Dziesiętny 4 3 3 2 2 2 3" xfId="638" xr:uid="{00000000-0005-0000-0000-0000CF020000}"/>
    <cellStyle name="Dziesiętny 4 3 3 2 2 2 3 2" xfId="639" xr:uid="{00000000-0005-0000-0000-0000D0020000}"/>
    <cellStyle name="Dziesiętny 4 3 3 2 2 2 4" xfId="640" xr:uid="{00000000-0005-0000-0000-0000D1020000}"/>
    <cellStyle name="Dziesiętny 4 3 3 2 2 3" xfId="641" xr:uid="{00000000-0005-0000-0000-0000D2020000}"/>
    <cellStyle name="Dziesiętny 4 3 3 2 2 3 2" xfId="642" xr:uid="{00000000-0005-0000-0000-0000D3020000}"/>
    <cellStyle name="Dziesiętny 4 3 3 2 2 4" xfId="643" xr:uid="{00000000-0005-0000-0000-0000D4020000}"/>
    <cellStyle name="Dziesiętny 4 3 3 2 2 4 2" xfId="644" xr:uid="{00000000-0005-0000-0000-0000D5020000}"/>
    <cellStyle name="Dziesiętny 4 3 3 2 2 5" xfId="645" xr:uid="{00000000-0005-0000-0000-0000D6020000}"/>
    <cellStyle name="Dziesiętny 4 3 3 2 3" xfId="646" xr:uid="{00000000-0005-0000-0000-0000D7020000}"/>
    <cellStyle name="Dziesiętny 4 3 3 2 3 2" xfId="647" xr:uid="{00000000-0005-0000-0000-0000D8020000}"/>
    <cellStyle name="Dziesiętny 4 3 3 2 3 2 2" xfId="648" xr:uid="{00000000-0005-0000-0000-0000D9020000}"/>
    <cellStyle name="Dziesiętny 4 3 3 2 3 3" xfId="649" xr:uid="{00000000-0005-0000-0000-0000DA020000}"/>
    <cellStyle name="Dziesiętny 4 3 3 2 3 3 2" xfId="650" xr:uid="{00000000-0005-0000-0000-0000DB020000}"/>
    <cellStyle name="Dziesiętny 4 3 3 2 3 4" xfId="651" xr:uid="{00000000-0005-0000-0000-0000DC020000}"/>
    <cellStyle name="Dziesiętny 4 3 3 2 4" xfId="652" xr:uid="{00000000-0005-0000-0000-0000DD020000}"/>
    <cellStyle name="Dziesiętny 4 3 3 2 4 2" xfId="653" xr:uid="{00000000-0005-0000-0000-0000DE020000}"/>
    <cellStyle name="Dziesiętny 4 3 3 2 5" xfId="654" xr:uid="{00000000-0005-0000-0000-0000DF020000}"/>
    <cellStyle name="Dziesiętny 4 3 3 2 5 2" xfId="655" xr:uid="{00000000-0005-0000-0000-0000E0020000}"/>
    <cellStyle name="Dziesiętny 4 3 3 2 6" xfId="656" xr:uid="{00000000-0005-0000-0000-0000E1020000}"/>
    <cellStyle name="Dziesiętny 4 3 3 3" xfId="657" xr:uid="{00000000-0005-0000-0000-0000E2020000}"/>
    <cellStyle name="Dziesiętny 4 3 3 3 2" xfId="658" xr:uid="{00000000-0005-0000-0000-0000E3020000}"/>
    <cellStyle name="Dziesiętny 4 3 3 3 2 2" xfId="659" xr:uid="{00000000-0005-0000-0000-0000E4020000}"/>
    <cellStyle name="Dziesiętny 4 3 3 3 2 2 2" xfId="660" xr:uid="{00000000-0005-0000-0000-0000E5020000}"/>
    <cellStyle name="Dziesiętny 4 3 3 3 2 3" xfId="661" xr:uid="{00000000-0005-0000-0000-0000E6020000}"/>
    <cellStyle name="Dziesiętny 4 3 3 3 2 3 2" xfId="662" xr:uid="{00000000-0005-0000-0000-0000E7020000}"/>
    <cellStyle name="Dziesiętny 4 3 3 3 2 4" xfId="663" xr:uid="{00000000-0005-0000-0000-0000E8020000}"/>
    <cellStyle name="Dziesiętny 4 3 3 3 3" xfId="664" xr:uid="{00000000-0005-0000-0000-0000E9020000}"/>
    <cellStyle name="Dziesiętny 4 3 3 3 3 2" xfId="665" xr:uid="{00000000-0005-0000-0000-0000EA020000}"/>
    <cellStyle name="Dziesiętny 4 3 3 3 4" xfId="666" xr:uid="{00000000-0005-0000-0000-0000EB020000}"/>
    <cellStyle name="Dziesiętny 4 3 3 3 4 2" xfId="667" xr:uid="{00000000-0005-0000-0000-0000EC020000}"/>
    <cellStyle name="Dziesiętny 4 3 3 3 5" xfId="668" xr:uid="{00000000-0005-0000-0000-0000ED020000}"/>
    <cellStyle name="Dziesiętny 4 3 3 4" xfId="669" xr:uid="{00000000-0005-0000-0000-0000EE020000}"/>
    <cellStyle name="Dziesiętny 4 3 3 4 2" xfId="670" xr:uid="{00000000-0005-0000-0000-0000EF020000}"/>
    <cellStyle name="Dziesiętny 4 3 3 4 2 2" xfId="671" xr:uid="{00000000-0005-0000-0000-0000F0020000}"/>
    <cellStyle name="Dziesiętny 4 3 3 4 3" xfId="672" xr:uid="{00000000-0005-0000-0000-0000F1020000}"/>
    <cellStyle name="Dziesiętny 4 3 3 4 3 2" xfId="673" xr:uid="{00000000-0005-0000-0000-0000F2020000}"/>
    <cellStyle name="Dziesiętny 4 3 3 4 4" xfId="674" xr:uid="{00000000-0005-0000-0000-0000F3020000}"/>
    <cellStyle name="Dziesiętny 4 3 3 5" xfId="675" xr:uid="{00000000-0005-0000-0000-0000F4020000}"/>
    <cellStyle name="Dziesiętny 4 3 3 5 2" xfId="676" xr:uid="{00000000-0005-0000-0000-0000F5020000}"/>
    <cellStyle name="Dziesiętny 4 3 3 6" xfId="677" xr:uid="{00000000-0005-0000-0000-0000F6020000}"/>
    <cellStyle name="Dziesiętny 4 3 3 6 2" xfId="678" xr:uid="{00000000-0005-0000-0000-0000F7020000}"/>
    <cellStyle name="Dziesiętny 4 3 3 7" xfId="679" xr:uid="{00000000-0005-0000-0000-0000F8020000}"/>
    <cellStyle name="Dziesiętny 4 3 4" xfId="680" xr:uid="{00000000-0005-0000-0000-0000F9020000}"/>
    <cellStyle name="Dziesiętny 4 3 4 2" xfId="681" xr:uid="{00000000-0005-0000-0000-0000FA020000}"/>
    <cellStyle name="Dziesiętny 4 3 4 2 2" xfId="682" xr:uid="{00000000-0005-0000-0000-0000FB020000}"/>
    <cellStyle name="Dziesiętny 4 3 4 2 2 2" xfId="683" xr:uid="{00000000-0005-0000-0000-0000FC020000}"/>
    <cellStyle name="Dziesiętny 4 3 4 2 2 2 2" xfId="684" xr:uid="{00000000-0005-0000-0000-0000FD020000}"/>
    <cellStyle name="Dziesiętny 4 3 4 2 2 3" xfId="685" xr:uid="{00000000-0005-0000-0000-0000FE020000}"/>
    <cellStyle name="Dziesiętny 4 3 4 2 2 3 2" xfId="686" xr:uid="{00000000-0005-0000-0000-0000FF020000}"/>
    <cellStyle name="Dziesiętny 4 3 4 2 2 4" xfId="687" xr:uid="{00000000-0005-0000-0000-000000030000}"/>
    <cellStyle name="Dziesiętny 4 3 4 2 3" xfId="688" xr:uid="{00000000-0005-0000-0000-000001030000}"/>
    <cellStyle name="Dziesiętny 4 3 4 2 3 2" xfId="689" xr:uid="{00000000-0005-0000-0000-000002030000}"/>
    <cellStyle name="Dziesiętny 4 3 4 2 4" xfId="690" xr:uid="{00000000-0005-0000-0000-000003030000}"/>
    <cellStyle name="Dziesiętny 4 3 4 2 4 2" xfId="691" xr:uid="{00000000-0005-0000-0000-000004030000}"/>
    <cellStyle name="Dziesiętny 4 3 4 2 5" xfId="692" xr:uid="{00000000-0005-0000-0000-000005030000}"/>
    <cellStyle name="Dziesiętny 4 3 4 3" xfId="693" xr:uid="{00000000-0005-0000-0000-000006030000}"/>
    <cellStyle name="Dziesiętny 4 3 4 3 2" xfId="694" xr:uid="{00000000-0005-0000-0000-000007030000}"/>
    <cellStyle name="Dziesiętny 4 3 4 3 2 2" xfId="695" xr:uid="{00000000-0005-0000-0000-000008030000}"/>
    <cellStyle name="Dziesiętny 4 3 4 3 3" xfId="696" xr:uid="{00000000-0005-0000-0000-000009030000}"/>
    <cellStyle name="Dziesiętny 4 3 4 3 3 2" xfId="697" xr:uid="{00000000-0005-0000-0000-00000A030000}"/>
    <cellStyle name="Dziesiętny 4 3 4 3 4" xfId="698" xr:uid="{00000000-0005-0000-0000-00000B030000}"/>
    <cellStyle name="Dziesiętny 4 3 4 4" xfId="699" xr:uid="{00000000-0005-0000-0000-00000C030000}"/>
    <cellStyle name="Dziesiętny 4 3 4 4 2" xfId="700" xr:uid="{00000000-0005-0000-0000-00000D030000}"/>
    <cellStyle name="Dziesiętny 4 3 4 5" xfId="701" xr:uid="{00000000-0005-0000-0000-00000E030000}"/>
    <cellStyle name="Dziesiętny 4 3 4 5 2" xfId="702" xr:uid="{00000000-0005-0000-0000-00000F030000}"/>
    <cellStyle name="Dziesiętny 4 3 4 6" xfId="703" xr:uid="{00000000-0005-0000-0000-000010030000}"/>
    <cellStyle name="Dziesiętny 4 3 5" xfId="704" xr:uid="{00000000-0005-0000-0000-000011030000}"/>
    <cellStyle name="Dziesiętny 4 3 5 2" xfId="705" xr:uid="{00000000-0005-0000-0000-000012030000}"/>
    <cellStyle name="Dziesiętny 4 3 5 2 2" xfId="706" xr:uid="{00000000-0005-0000-0000-000013030000}"/>
    <cellStyle name="Dziesiętny 4 3 5 2 2 2" xfId="707" xr:uid="{00000000-0005-0000-0000-000014030000}"/>
    <cellStyle name="Dziesiętny 4 3 5 2 3" xfId="708" xr:uid="{00000000-0005-0000-0000-000015030000}"/>
    <cellStyle name="Dziesiętny 4 3 5 2 3 2" xfId="709" xr:uid="{00000000-0005-0000-0000-000016030000}"/>
    <cellStyle name="Dziesiętny 4 3 5 2 4" xfId="710" xr:uid="{00000000-0005-0000-0000-000017030000}"/>
    <cellStyle name="Dziesiętny 4 3 5 3" xfId="711" xr:uid="{00000000-0005-0000-0000-000018030000}"/>
    <cellStyle name="Dziesiętny 4 3 5 3 2" xfId="712" xr:uid="{00000000-0005-0000-0000-000019030000}"/>
    <cellStyle name="Dziesiętny 4 3 5 4" xfId="713" xr:uid="{00000000-0005-0000-0000-00001A030000}"/>
    <cellStyle name="Dziesiętny 4 3 5 4 2" xfId="714" xr:uid="{00000000-0005-0000-0000-00001B030000}"/>
    <cellStyle name="Dziesiętny 4 3 5 5" xfId="715" xr:uid="{00000000-0005-0000-0000-00001C030000}"/>
    <cellStyle name="Dziesiętny 4 3 6" xfId="716" xr:uid="{00000000-0005-0000-0000-00001D030000}"/>
    <cellStyle name="Dziesiętny 4 3 6 2" xfId="717" xr:uid="{00000000-0005-0000-0000-00001E030000}"/>
    <cellStyle name="Dziesiętny 4 3 6 2 2" xfId="718" xr:uid="{00000000-0005-0000-0000-00001F030000}"/>
    <cellStyle name="Dziesiętny 4 3 6 3" xfId="719" xr:uid="{00000000-0005-0000-0000-000020030000}"/>
    <cellStyle name="Dziesiętny 4 3 6 3 2" xfId="720" xr:uid="{00000000-0005-0000-0000-000021030000}"/>
    <cellStyle name="Dziesiętny 4 3 6 4" xfId="721" xr:uid="{00000000-0005-0000-0000-000022030000}"/>
    <cellStyle name="Dziesiętny 4 3 7" xfId="722" xr:uid="{00000000-0005-0000-0000-000023030000}"/>
    <cellStyle name="Dziesiętny 4 3 7 2" xfId="723" xr:uid="{00000000-0005-0000-0000-000024030000}"/>
    <cellStyle name="Dziesiętny 4 3 8" xfId="724" xr:uid="{00000000-0005-0000-0000-000025030000}"/>
    <cellStyle name="Dziesiętny 4 3 8 2" xfId="725" xr:uid="{00000000-0005-0000-0000-000026030000}"/>
    <cellStyle name="Dziesiętny 4 3 9" xfId="726" xr:uid="{00000000-0005-0000-0000-000027030000}"/>
    <cellStyle name="Dziesiętny 4 4" xfId="727" xr:uid="{00000000-0005-0000-0000-000028030000}"/>
    <cellStyle name="Dziesiętny 4 4 2" xfId="728" xr:uid="{00000000-0005-0000-0000-000029030000}"/>
    <cellStyle name="Dziesiętny 4 4 2 2" xfId="729" xr:uid="{00000000-0005-0000-0000-00002A030000}"/>
    <cellStyle name="Dziesiętny 4 4 2 2 2" xfId="730" xr:uid="{00000000-0005-0000-0000-00002B030000}"/>
    <cellStyle name="Dziesiętny 4 4 2 2 2 2" xfId="731" xr:uid="{00000000-0005-0000-0000-00002C030000}"/>
    <cellStyle name="Dziesiętny 4 4 2 2 2 2 2" xfId="732" xr:uid="{00000000-0005-0000-0000-00002D030000}"/>
    <cellStyle name="Dziesiętny 4 4 2 2 2 3" xfId="733" xr:uid="{00000000-0005-0000-0000-00002E030000}"/>
    <cellStyle name="Dziesiętny 4 4 2 2 2 3 2" xfId="734" xr:uid="{00000000-0005-0000-0000-00002F030000}"/>
    <cellStyle name="Dziesiętny 4 4 2 2 2 4" xfId="735" xr:uid="{00000000-0005-0000-0000-000030030000}"/>
    <cellStyle name="Dziesiętny 4 4 2 2 3" xfId="736" xr:uid="{00000000-0005-0000-0000-000031030000}"/>
    <cellStyle name="Dziesiętny 4 4 2 2 3 2" xfId="737" xr:uid="{00000000-0005-0000-0000-000032030000}"/>
    <cellStyle name="Dziesiętny 4 4 2 2 4" xfId="738" xr:uid="{00000000-0005-0000-0000-000033030000}"/>
    <cellStyle name="Dziesiętny 4 4 2 2 4 2" xfId="739" xr:uid="{00000000-0005-0000-0000-000034030000}"/>
    <cellStyle name="Dziesiętny 4 4 2 2 5" xfId="740" xr:uid="{00000000-0005-0000-0000-000035030000}"/>
    <cellStyle name="Dziesiętny 4 4 2 3" xfId="741" xr:uid="{00000000-0005-0000-0000-000036030000}"/>
    <cellStyle name="Dziesiętny 4 4 2 3 2" xfId="742" xr:uid="{00000000-0005-0000-0000-000037030000}"/>
    <cellStyle name="Dziesiętny 4 4 2 3 2 2" xfId="743" xr:uid="{00000000-0005-0000-0000-000038030000}"/>
    <cellStyle name="Dziesiętny 4 4 2 3 3" xfId="744" xr:uid="{00000000-0005-0000-0000-000039030000}"/>
    <cellStyle name="Dziesiętny 4 4 2 3 3 2" xfId="745" xr:uid="{00000000-0005-0000-0000-00003A030000}"/>
    <cellStyle name="Dziesiętny 4 4 2 3 4" xfId="746" xr:uid="{00000000-0005-0000-0000-00003B030000}"/>
    <cellStyle name="Dziesiętny 4 4 2 4" xfId="747" xr:uid="{00000000-0005-0000-0000-00003C030000}"/>
    <cellStyle name="Dziesiętny 4 4 2 4 2" xfId="748" xr:uid="{00000000-0005-0000-0000-00003D030000}"/>
    <cellStyle name="Dziesiętny 4 4 2 5" xfId="749" xr:uid="{00000000-0005-0000-0000-00003E030000}"/>
    <cellStyle name="Dziesiętny 4 4 2 5 2" xfId="750" xr:uid="{00000000-0005-0000-0000-00003F030000}"/>
    <cellStyle name="Dziesiętny 4 4 2 6" xfId="751" xr:uid="{00000000-0005-0000-0000-000040030000}"/>
    <cellStyle name="Dziesiętny 4 4 3" xfId="752" xr:uid="{00000000-0005-0000-0000-000041030000}"/>
    <cellStyle name="Dziesiętny 4 4 3 2" xfId="753" xr:uid="{00000000-0005-0000-0000-000042030000}"/>
    <cellStyle name="Dziesiętny 4 4 3 2 2" xfId="754" xr:uid="{00000000-0005-0000-0000-000043030000}"/>
    <cellStyle name="Dziesiętny 4 4 3 2 2 2" xfId="755" xr:uid="{00000000-0005-0000-0000-000044030000}"/>
    <cellStyle name="Dziesiętny 4 4 3 2 3" xfId="756" xr:uid="{00000000-0005-0000-0000-000045030000}"/>
    <cellStyle name="Dziesiętny 4 4 3 2 3 2" xfId="757" xr:uid="{00000000-0005-0000-0000-000046030000}"/>
    <cellStyle name="Dziesiętny 4 4 3 2 4" xfId="758" xr:uid="{00000000-0005-0000-0000-000047030000}"/>
    <cellStyle name="Dziesiętny 4 4 3 3" xfId="759" xr:uid="{00000000-0005-0000-0000-000048030000}"/>
    <cellStyle name="Dziesiętny 4 4 3 3 2" xfId="760" xr:uid="{00000000-0005-0000-0000-000049030000}"/>
    <cellStyle name="Dziesiętny 4 4 3 4" xfId="761" xr:uid="{00000000-0005-0000-0000-00004A030000}"/>
    <cellStyle name="Dziesiętny 4 4 3 4 2" xfId="762" xr:uid="{00000000-0005-0000-0000-00004B030000}"/>
    <cellStyle name="Dziesiętny 4 4 3 5" xfId="763" xr:uid="{00000000-0005-0000-0000-00004C030000}"/>
    <cellStyle name="Dziesiętny 4 4 4" xfId="764" xr:uid="{00000000-0005-0000-0000-00004D030000}"/>
    <cellStyle name="Dziesiętny 4 4 4 2" xfId="765" xr:uid="{00000000-0005-0000-0000-00004E030000}"/>
    <cellStyle name="Dziesiętny 4 4 4 2 2" xfId="766" xr:uid="{00000000-0005-0000-0000-00004F030000}"/>
    <cellStyle name="Dziesiętny 4 4 4 3" xfId="767" xr:uid="{00000000-0005-0000-0000-000050030000}"/>
    <cellStyle name="Dziesiętny 4 4 4 3 2" xfId="768" xr:uid="{00000000-0005-0000-0000-000051030000}"/>
    <cellStyle name="Dziesiętny 4 4 4 4" xfId="769" xr:uid="{00000000-0005-0000-0000-000052030000}"/>
    <cellStyle name="Dziesiętny 4 4 5" xfId="770" xr:uid="{00000000-0005-0000-0000-000053030000}"/>
    <cellStyle name="Dziesiętny 4 4 5 2" xfId="771" xr:uid="{00000000-0005-0000-0000-000054030000}"/>
    <cellStyle name="Dziesiętny 4 4 6" xfId="772" xr:uid="{00000000-0005-0000-0000-000055030000}"/>
    <cellStyle name="Dziesiętny 4 4 6 2" xfId="773" xr:uid="{00000000-0005-0000-0000-000056030000}"/>
    <cellStyle name="Dziesiętny 4 4 7" xfId="774" xr:uid="{00000000-0005-0000-0000-000057030000}"/>
    <cellStyle name="Dziesiętny 4 5" xfId="775" xr:uid="{00000000-0005-0000-0000-000058030000}"/>
    <cellStyle name="Dziesiętny 4 5 2" xfId="776" xr:uid="{00000000-0005-0000-0000-000059030000}"/>
    <cellStyle name="Dziesiętny 4 5 2 2" xfId="777" xr:uid="{00000000-0005-0000-0000-00005A030000}"/>
    <cellStyle name="Dziesiętny 4 5 2 2 2" xfId="778" xr:uid="{00000000-0005-0000-0000-00005B030000}"/>
    <cellStyle name="Dziesiętny 4 5 2 2 2 2" xfId="779" xr:uid="{00000000-0005-0000-0000-00005C030000}"/>
    <cellStyle name="Dziesiętny 4 5 2 2 2 2 2" xfId="780" xr:uid="{00000000-0005-0000-0000-00005D030000}"/>
    <cellStyle name="Dziesiętny 4 5 2 2 2 3" xfId="781" xr:uid="{00000000-0005-0000-0000-00005E030000}"/>
    <cellStyle name="Dziesiętny 4 5 2 2 2 3 2" xfId="782" xr:uid="{00000000-0005-0000-0000-00005F030000}"/>
    <cellStyle name="Dziesiętny 4 5 2 2 2 4" xfId="783" xr:uid="{00000000-0005-0000-0000-000060030000}"/>
    <cellStyle name="Dziesiętny 4 5 2 2 3" xfId="784" xr:uid="{00000000-0005-0000-0000-000061030000}"/>
    <cellStyle name="Dziesiętny 4 5 2 2 3 2" xfId="785" xr:uid="{00000000-0005-0000-0000-000062030000}"/>
    <cellStyle name="Dziesiętny 4 5 2 2 4" xfId="786" xr:uid="{00000000-0005-0000-0000-000063030000}"/>
    <cellStyle name="Dziesiętny 4 5 2 2 4 2" xfId="787" xr:uid="{00000000-0005-0000-0000-000064030000}"/>
    <cellStyle name="Dziesiętny 4 5 2 2 5" xfId="788" xr:uid="{00000000-0005-0000-0000-000065030000}"/>
    <cellStyle name="Dziesiętny 4 5 2 3" xfId="789" xr:uid="{00000000-0005-0000-0000-000066030000}"/>
    <cellStyle name="Dziesiętny 4 5 2 3 2" xfId="790" xr:uid="{00000000-0005-0000-0000-000067030000}"/>
    <cellStyle name="Dziesiętny 4 5 2 3 2 2" xfId="791" xr:uid="{00000000-0005-0000-0000-000068030000}"/>
    <cellStyle name="Dziesiętny 4 5 2 3 3" xfId="792" xr:uid="{00000000-0005-0000-0000-000069030000}"/>
    <cellStyle name="Dziesiętny 4 5 2 3 3 2" xfId="793" xr:uid="{00000000-0005-0000-0000-00006A030000}"/>
    <cellStyle name="Dziesiętny 4 5 2 3 4" xfId="794" xr:uid="{00000000-0005-0000-0000-00006B030000}"/>
    <cellStyle name="Dziesiętny 4 5 2 4" xfId="795" xr:uid="{00000000-0005-0000-0000-00006C030000}"/>
    <cellStyle name="Dziesiętny 4 5 2 4 2" xfId="796" xr:uid="{00000000-0005-0000-0000-00006D030000}"/>
    <cellStyle name="Dziesiętny 4 5 2 5" xfId="797" xr:uid="{00000000-0005-0000-0000-00006E030000}"/>
    <cellStyle name="Dziesiętny 4 5 2 5 2" xfId="798" xr:uid="{00000000-0005-0000-0000-00006F030000}"/>
    <cellStyle name="Dziesiętny 4 5 2 6" xfId="799" xr:uid="{00000000-0005-0000-0000-000070030000}"/>
    <cellStyle name="Dziesiętny 4 5 3" xfId="800" xr:uid="{00000000-0005-0000-0000-000071030000}"/>
    <cellStyle name="Dziesiętny 4 5 3 2" xfId="801" xr:uid="{00000000-0005-0000-0000-000072030000}"/>
    <cellStyle name="Dziesiętny 4 5 3 2 2" xfId="802" xr:uid="{00000000-0005-0000-0000-000073030000}"/>
    <cellStyle name="Dziesiętny 4 5 3 2 2 2" xfId="803" xr:uid="{00000000-0005-0000-0000-000074030000}"/>
    <cellStyle name="Dziesiętny 4 5 3 2 3" xfId="804" xr:uid="{00000000-0005-0000-0000-000075030000}"/>
    <cellStyle name="Dziesiętny 4 5 3 2 3 2" xfId="805" xr:uid="{00000000-0005-0000-0000-000076030000}"/>
    <cellStyle name="Dziesiętny 4 5 3 2 4" xfId="806" xr:uid="{00000000-0005-0000-0000-000077030000}"/>
    <cellStyle name="Dziesiętny 4 5 3 3" xfId="807" xr:uid="{00000000-0005-0000-0000-000078030000}"/>
    <cellStyle name="Dziesiętny 4 5 3 3 2" xfId="808" xr:uid="{00000000-0005-0000-0000-000079030000}"/>
    <cellStyle name="Dziesiętny 4 5 3 4" xfId="809" xr:uid="{00000000-0005-0000-0000-00007A030000}"/>
    <cellStyle name="Dziesiętny 4 5 3 4 2" xfId="810" xr:uid="{00000000-0005-0000-0000-00007B030000}"/>
    <cellStyle name="Dziesiętny 4 5 3 5" xfId="811" xr:uid="{00000000-0005-0000-0000-00007C030000}"/>
    <cellStyle name="Dziesiętny 4 5 4" xfId="812" xr:uid="{00000000-0005-0000-0000-00007D030000}"/>
    <cellStyle name="Dziesiętny 4 5 4 2" xfId="813" xr:uid="{00000000-0005-0000-0000-00007E030000}"/>
    <cellStyle name="Dziesiętny 4 5 4 2 2" xfId="814" xr:uid="{00000000-0005-0000-0000-00007F030000}"/>
    <cellStyle name="Dziesiętny 4 5 4 3" xfId="815" xr:uid="{00000000-0005-0000-0000-000080030000}"/>
    <cellStyle name="Dziesiętny 4 5 4 3 2" xfId="816" xr:uid="{00000000-0005-0000-0000-000081030000}"/>
    <cellStyle name="Dziesiętny 4 5 4 4" xfId="817" xr:uid="{00000000-0005-0000-0000-000082030000}"/>
    <cellStyle name="Dziesiętny 4 5 5" xfId="818" xr:uid="{00000000-0005-0000-0000-000083030000}"/>
    <cellStyle name="Dziesiętny 4 5 5 2" xfId="819" xr:uid="{00000000-0005-0000-0000-000084030000}"/>
    <cellStyle name="Dziesiętny 4 5 6" xfId="820" xr:uid="{00000000-0005-0000-0000-000085030000}"/>
    <cellStyle name="Dziesiętny 4 5 6 2" xfId="821" xr:uid="{00000000-0005-0000-0000-000086030000}"/>
    <cellStyle name="Dziesiętny 4 5 7" xfId="822" xr:uid="{00000000-0005-0000-0000-000087030000}"/>
    <cellStyle name="Dziesiętny 4 6" xfId="823" xr:uid="{00000000-0005-0000-0000-000088030000}"/>
    <cellStyle name="Dziesiętny 4 6 2" xfId="824" xr:uid="{00000000-0005-0000-0000-000089030000}"/>
    <cellStyle name="Dziesiętny 4 6 2 2" xfId="825" xr:uid="{00000000-0005-0000-0000-00008A030000}"/>
    <cellStyle name="Dziesiętny 4 6 2 2 2" xfId="826" xr:uid="{00000000-0005-0000-0000-00008B030000}"/>
    <cellStyle name="Dziesiętny 4 6 2 2 2 2" xfId="827" xr:uid="{00000000-0005-0000-0000-00008C030000}"/>
    <cellStyle name="Dziesiętny 4 6 2 2 3" xfId="828" xr:uid="{00000000-0005-0000-0000-00008D030000}"/>
    <cellStyle name="Dziesiętny 4 6 2 2 3 2" xfId="829" xr:uid="{00000000-0005-0000-0000-00008E030000}"/>
    <cellStyle name="Dziesiętny 4 6 2 2 4" xfId="830" xr:uid="{00000000-0005-0000-0000-00008F030000}"/>
    <cellStyle name="Dziesiętny 4 6 2 3" xfId="831" xr:uid="{00000000-0005-0000-0000-000090030000}"/>
    <cellStyle name="Dziesiętny 4 6 2 3 2" xfId="832" xr:uid="{00000000-0005-0000-0000-000091030000}"/>
    <cellStyle name="Dziesiętny 4 6 2 4" xfId="833" xr:uid="{00000000-0005-0000-0000-000092030000}"/>
    <cellStyle name="Dziesiętny 4 6 2 4 2" xfId="834" xr:uid="{00000000-0005-0000-0000-000093030000}"/>
    <cellStyle name="Dziesiętny 4 6 2 5" xfId="835" xr:uid="{00000000-0005-0000-0000-000094030000}"/>
    <cellStyle name="Dziesiętny 4 6 3" xfId="836" xr:uid="{00000000-0005-0000-0000-000095030000}"/>
    <cellStyle name="Dziesiętny 4 6 3 2" xfId="837" xr:uid="{00000000-0005-0000-0000-000096030000}"/>
    <cellStyle name="Dziesiętny 4 6 3 2 2" xfId="838" xr:uid="{00000000-0005-0000-0000-000097030000}"/>
    <cellStyle name="Dziesiętny 4 6 3 3" xfId="839" xr:uid="{00000000-0005-0000-0000-000098030000}"/>
    <cellStyle name="Dziesiętny 4 6 3 3 2" xfId="840" xr:uid="{00000000-0005-0000-0000-000099030000}"/>
    <cellStyle name="Dziesiętny 4 6 3 4" xfId="841" xr:uid="{00000000-0005-0000-0000-00009A030000}"/>
    <cellStyle name="Dziesiętny 4 6 4" xfId="842" xr:uid="{00000000-0005-0000-0000-00009B030000}"/>
    <cellStyle name="Dziesiętny 4 6 4 2" xfId="843" xr:uid="{00000000-0005-0000-0000-00009C030000}"/>
    <cellStyle name="Dziesiętny 4 6 5" xfId="844" xr:uid="{00000000-0005-0000-0000-00009D030000}"/>
    <cellStyle name="Dziesiętny 4 6 5 2" xfId="845" xr:uid="{00000000-0005-0000-0000-00009E030000}"/>
    <cellStyle name="Dziesiętny 4 6 6" xfId="846" xr:uid="{00000000-0005-0000-0000-00009F030000}"/>
    <cellStyle name="Dziesiętny 4 7" xfId="847" xr:uid="{00000000-0005-0000-0000-0000A0030000}"/>
    <cellStyle name="Dziesiętny 4 7 2" xfId="848" xr:uid="{00000000-0005-0000-0000-0000A1030000}"/>
    <cellStyle name="Dziesiętny 4 7 2 2" xfId="849" xr:uid="{00000000-0005-0000-0000-0000A2030000}"/>
    <cellStyle name="Dziesiętny 4 7 2 2 2" xfId="850" xr:uid="{00000000-0005-0000-0000-0000A3030000}"/>
    <cellStyle name="Dziesiętny 4 7 2 3" xfId="851" xr:uid="{00000000-0005-0000-0000-0000A4030000}"/>
    <cellStyle name="Dziesiętny 4 7 2 3 2" xfId="852" xr:uid="{00000000-0005-0000-0000-0000A5030000}"/>
    <cellStyle name="Dziesiętny 4 7 2 4" xfId="853" xr:uid="{00000000-0005-0000-0000-0000A6030000}"/>
    <cellStyle name="Dziesiętny 4 7 3" xfId="854" xr:uid="{00000000-0005-0000-0000-0000A7030000}"/>
    <cellStyle name="Dziesiętny 4 7 3 2" xfId="855" xr:uid="{00000000-0005-0000-0000-0000A8030000}"/>
    <cellStyle name="Dziesiętny 4 7 4" xfId="856" xr:uid="{00000000-0005-0000-0000-0000A9030000}"/>
    <cellStyle name="Dziesiętny 4 7 4 2" xfId="857" xr:uid="{00000000-0005-0000-0000-0000AA030000}"/>
    <cellStyle name="Dziesiętny 4 7 5" xfId="858" xr:uid="{00000000-0005-0000-0000-0000AB030000}"/>
    <cellStyle name="Dziesiętny 4 8" xfId="859" xr:uid="{00000000-0005-0000-0000-0000AC030000}"/>
    <cellStyle name="Dziesiętny 4 8 2" xfId="860" xr:uid="{00000000-0005-0000-0000-0000AD030000}"/>
    <cellStyle name="Dziesiętny 4 8 2 2" xfId="861" xr:uid="{00000000-0005-0000-0000-0000AE030000}"/>
    <cellStyle name="Dziesiętny 4 8 3" xfId="862" xr:uid="{00000000-0005-0000-0000-0000AF030000}"/>
    <cellStyle name="Dziesiętny 4 8 3 2" xfId="863" xr:uid="{00000000-0005-0000-0000-0000B0030000}"/>
    <cellStyle name="Dziesiętny 4 8 4" xfId="864" xr:uid="{00000000-0005-0000-0000-0000B1030000}"/>
    <cellStyle name="Dziesiętny 4 9" xfId="865" xr:uid="{00000000-0005-0000-0000-0000B2030000}"/>
    <cellStyle name="Dziesiętny 4 9 2" xfId="866" xr:uid="{00000000-0005-0000-0000-0000B3030000}"/>
    <cellStyle name="Dziesiętny 5" xfId="867" xr:uid="{00000000-0005-0000-0000-0000B4030000}"/>
    <cellStyle name="Dziesiętny 5 2" xfId="868" xr:uid="{00000000-0005-0000-0000-0000B5030000}"/>
    <cellStyle name="Dziesiętny 5 2 2" xfId="869" xr:uid="{00000000-0005-0000-0000-0000B6030000}"/>
    <cellStyle name="Dziesiętny 5 2 2 2" xfId="2074" xr:uid="{00000000-0005-0000-0000-0000B7030000}"/>
    <cellStyle name="Dziesiętny 5 2 2 2 2" xfId="2450" xr:uid="{00000000-0005-0000-0000-0000B8030000}"/>
    <cellStyle name="Dziesiętny 5 2 2 3" xfId="2265" xr:uid="{00000000-0005-0000-0000-0000B9030000}"/>
    <cellStyle name="Dziesiętny 5 2 3" xfId="2073" xr:uid="{00000000-0005-0000-0000-0000BA030000}"/>
    <cellStyle name="Dziesiętny 5 2 3 2" xfId="2449" xr:uid="{00000000-0005-0000-0000-0000BB030000}"/>
    <cellStyle name="Dziesiętny 5 2 4" xfId="2264" xr:uid="{00000000-0005-0000-0000-0000BC030000}"/>
    <cellStyle name="Dziesiętny 5 3" xfId="870" xr:uid="{00000000-0005-0000-0000-0000BD030000}"/>
    <cellStyle name="Dziesiętny 5 3 2" xfId="871" xr:uid="{00000000-0005-0000-0000-0000BE030000}"/>
    <cellStyle name="Dziesiętny 5 3 2 2" xfId="2076" xr:uid="{00000000-0005-0000-0000-0000BF030000}"/>
    <cellStyle name="Dziesiętny 5 3 2 2 2" xfId="2452" xr:uid="{00000000-0005-0000-0000-0000C0030000}"/>
    <cellStyle name="Dziesiętny 5 3 2 3" xfId="2267" xr:uid="{00000000-0005-0000-0000-0000C1030000}"/>
    <cellStyle name="Dziesiętny 5 3 3" xfId="2075" xr:uid="{00000000-0005-0000-0000-0000C2030000}"/>
    <cellStyle name="Dziesiętny 5 3 3 2" xfId="2451" xr:uid="{00000000-0005-0000-0000-0000C3030000}"/>
    <cellStyle name="Dziesiętny 5 3 4" xfId="2266" xr:uid="{00000000-0005-0000-0000-0000C4030000}"/>
    <cellStyle name="Dziesiętny 5 4" xfId="872" xr:uid="{00000000-0005-0000-0000-0000C5030000}"/>
    <cellStyle name="Dziesiętny 5 4 2" xfId="2077" xr:uid="{00000000-0005-0000-0000-0000C6030000}"/>
    <cellStyle name="Dziesiętny 5 4 2 2" xfId="2453" xr:uid="{00000000-0005-0000-0000-0000C7030000}"/>
    <cellStyle name="Dziesiętny 5 4 3" xfId="2268" xr:uid="{00000000-0005-0000-0000-0000C8030000}"/>
    <cellStyle name="Dziesiętny 5 5" xfId="873" xr:uid="{00000000-0005-0000-0000-0000C9030000}"/>
    <cellStyle name="Dziesiętny 5 6" xfId="2072" xr:uid="{00000000-0005-0000-0000-0000CA030000}"/>
    <cellStyle name="Dziesiętny 5 6 2" xfId="2448" xr:uid="{00000000-0005-0000-0000-0000CB030000}"/>
    <cellStyle name="Dziesiętny 5 7" xfId="2263" xr:uid="{00000000-0005-0000-0000-0000CC030000}"/>
    <cellStyle name="Dziesiętny 6" xfId="874" xr:uid="{00000000-0005-0000-0000-0000CD030000}"/>
    <cellStyle name="Dziesiętny 6 10" xfId="875" xr:uid="{00000000-0005-0000-0000-0000CE030000}"/>
    <cellStyle name="Dziesiętny 6 11" xfId="876" xr:uid="{00000000-0005-0000-0000-0000CF030000}"/>
    <cellStyle name="Dziesiętny 6 2" xfId="877" xr:uid="{00000000-0005-0000-0000-0000D0030000}"/>
    <cellStyle name="Dziesiętny 6 2 2" xfId="878" xr:uid="{00000000-0005-0000-0000-0000D1030000}"/>
    <cellStyle name="Dziesiętny 6 2 2 2" xfId="879" xr:uid="{00000000-0005-0000-0000-0000D2030000}"/>
    <cellStyle name="Dziesiętny 6 2 2 2 2" xfId="880" xr:uid="{00000000-0005-0000-0000-0000D3030000}"/>
    <cellStyle name="Dziesiętny 6 2 2 2 2 2" xfId="881" xr:uid="{00000000-0005-0000-0000-0000D4030000}"/>
    <cellStyle name="Dziesiętny 6 2 2 2 2 2 2" xfId="882" xr:uid="{00000000-0005-0000-0000-0000D5030000}"/>
    <cellStyle name="Dziesiętny 6 2 2 2 2 2 2 2" xfId="883" xr:uid="{00000000-0005-0000-0000-0000D6030000}"/>
    <cellStyle name="Dziesiętny 6 2 2 2 2 2 3" xfId="884" xr:uid="{00000000-0005-0000-0000-0000D7030000}"/>
    <cellStyle name="Dziesiętny 6 2 2 2 2 2 3 2" xfId="885" xr:uid="{00000000-0005-0000-0000-0000D8030000}"/>
    <cellStyle name="Dziesiętny 6 2 2 2 2 2 4" xfId="886" xr:uid="{00000000-0005-0000-0000-0000D9030000}"/>
    <cellStyle name="Dziesiętny 6 2 2 2 2 3" xfId="887" xr:uid="{00000000-0005-0000-0000-0000DA030000}"/>
    <cellStyle name="Dziesiętny 6 2 2 2 2 3 2" xfId="888" xr:uid="{00000000-0005-0000-0000-0000DB030000}"/>
    <cellStyle name="Dziesiętny 6 2 2 2 2 4" xfId="889" xr:uid="{00000000-0005-0000-0000-0000DC030000}"/>
    <cellStyle name="Dziesiętny 6 2 2 2 2 4 2" xfId="890" xr:uid="{00000000-0005-0000-0000-0000DD030000}"/>
    <cellStyle name="Dziesiętny 6 2 2 2 2 5" xfId="891" xr:uid="{00000000-0005-0000-0000-0000DE030000}"/>
    <cellStyle name="Dziesiętny 6 2 2 2 3" xfId="892" xr:uid="{00000000-0005-0000-0000-0000DF030000}"/>
    <cellStyle name="Dziesiętny 6 2 2 2 3 2" xfId="893" xr:uid="{00000000-0005-0000-0000-0000E0030000}"/>
    <cellStyle name="Dziesiętny 6 2 2 2 3 2 2" xfId="894" xr:uid="{00000000-0005-0000-0000-0000E1030000}"/>
    <cellStyle name="Dziesiętny 6 2 2 2 3 3" xfId="895" xr:uid="{00000000-0005-0000-0000-0000E2030000}"/>
    <cellStyle name="Dziesiętny 6 2 2 2 3 3 2" xfId="896" xr:uid="{00000000-0005-0000-0000-0000E3030000}"/>
    <cellStyle name="Dziesiętny 6 2 2 2 3 4" xfId="897" xr:uid="{00000000-0005-0000-0000-0000E4030000}"/>
    <cellStyle name="Dziesiętny 6 2 2 2 4" xfId="898" xr:uid="{00000000-0005-0000-0000-0000E5030000}"/>
    <cellStyle name="Dziesiętny 6 2 2 2 4 2" xfId="899" xr:uid="{00000000-0005-0000-0000-0000E6030000}"/>
    <cellStyle name="Dziesiętny 6 2 2 2 5" xfId="900" xr:uid="{00000000-0005-0000-0000-0000E7030000}"/>
    <cellStyle name="Dziesiętny 6 2 2 2 5 2" xfId="901" xr:uid="{00000000-0005-0000-0000-0000E8030000}"/>
    <cellStyle name="Dziesiętny 6 2 2 2 6" xfId="902" xr:uid="{00000000-0005-0000-0000-0000E9030000}"/>
    <cellStyle name="Dziesiętny 6 2 2 3" xfId="903" xr:uid="{00000000-0005-0000-0000-0000EA030000}"/>
    <cellStyle name="Dziesiętny 6 2 2 3 2" xfId="904" xr:uid="{00000000-0005-0000-0000-0000EB030000}"/>
    <cellStyle name="Dziesiętny 6 2 2 3 2 2" xfId="905" xr:uid="{00000000-0005-0000-0000-0000EC030000}"/>
    <cellStyle name="Dziesiętny 6 2 2 3 2 2 2" xfId="906" xr:uid="{00000000-0005-0000-0000-0000ED030000}"/>
    <cellStyle name="Dziesiętny 6 2 2 3 2 3" xfId="907" xr:uid="{00000000-0005-0000-0000-0000EE030000}"/>
    <cellStyle name="Dziesiętny 6 2 2 3 2 3 2" xfId="908" xr:uid="{00000000-0005-0000-0000-0000EF030000}"/>
    <cellStyle name="Dziesiętny 6 2 2 3 2 4" xfId="909" xr:uid="{00000000-0005-0000-0000-0000F0030000}"/>
    <cellStyle name="Dziesiętny 6 2 2 3 3" xfId="910" xr:uid="{00000000-0005-0000-0000-0000F1030000}"/>
    <cellStyle name="Dziesiętny 6 2 2 3 3 2" xfId="911" xr:uid="{00000000-0005-0000-0000-0000F2030000}"/>
    <cellStyle name="Dziesiętny 6 2 2 3 4" xfId="912" xr:uid="{00000000-0005-0000-0000-0000F3030000}"/>
    <cellStyle name="Dziesiętny 6 2 2 3 4 2" xfId="913" xr:uid="{00000000-0005-0000-0000-0000F4030000}"/>
    <cellStyle name="Dziesiętny 6 2 2 3 5" xfId="914" xr:uid="{00000000-0005-0000-0000-0000F5030000}"/>
    <cellStyle name="Dziesiętny 6 2 2 4" xfId="915" xr:uid="{00000000-0005-0000-0000-0000F6030000}"/>
    <cellStyle name="Dziesiętny 6 2 2 4 2" xfId="916" xr:uid="{00000000-0005-0000-0000-0000F7030000}"/>
    <cellStyle name="Dziesiętny 6 2 2 4 2 2" xfId="917" xr:uid="{00000000-0005-0000-0000-0000F8030000}"/>
    <cellStyle name="Dziesiętny 6 2 2 4 3" xfId="918" xr:uid="{00000000-0005-0000-0000-0000F9030000}"/>
    <cellStyle name="Dziesiętny 6 2 2 4 3 2" xfId="919" xr:uid="{00000000-0005-0000-0000-0000FA030000}"/>
    <cellStyle name="Dziesiętny 6 2 2 4 4" xfId="920" xr:uid="{00000000-0005-0000-0000-0000FB030000}"/>
    <cellStyle name="Dziesiętny 6 2 2 5" xfId="921" xr:uid="{00000000-0005-0000-0000-0000FC030000}"/>
    <cellStyle name="Dziesiętny 6 2 2 5 2" xfId="922" xr:uid="{00000000-0005-0000-0000-0000FD030000}"/>
    <cellStyle name="Dziesiętny 6 2 2 6" xfId="923" xr:uid="{00000000-0005-0000-0000-0000FE030000}"/>
    <cellStyle name="Dziesiętny 6 2 2 6 2" xfId="924" xr:uid="{00000000-0005-0000-0000-0000FF030000}"/>
    <cellStyle name="Dziesiętny 6 2 2 7" xfId="925" xr:uid="{00000000-0005-0000-0000-000000040000}"/>
    <cellStyle name="Dziesiętny 6 2 3" xfId="926" xr:uid="{00000000-0005-0000-0000-000001040000}"/>
    <cellStyle name="Dziesiętny 6 2 3 2" xfId="927" xr:uid="{00000000-0005-0000-0000-000002040000}"/>
    <cellStyle name="Dziesiętny 6 2 3 2 2" xfId="928" xr:uid="{00000000-0005-0000-0000-000003040000}"/>
    <cellStyle name="Dziesiętny 6 2 3 2 2 2" xfId="929" xr:uid="{00000000-0005-0000-0000-000004040000}"/>
    <cellStyle name="Dziesiętny 6 2 3 2 2 2 2" xfId="930" xr:uid="{00000000-0005-0000-0000-000005040000}"/>
    <cellStyle name="Dziesiętny 6 2 3 2 2 2 2 2" xfId="931" xr:uid="{00000000-0005-0000-0000-000006040000}"/>
    <cellStyle name="Dziesiętny 6 2 3 2 2 2 3" xfId="932" xr:uid="{00000000-0005-0000-0000-000007040000}"/>
    <cellStyle name="Dziesiętny 6 2 3 2 2 2 3 2" xfId="933" xr:uid="{00000000-0005-0000-0000-000008040000}"/>
    <cellStyle name="Dziesiętny 6 2 3 2 2 2 4" xfId="934" xr:uid="{00000000-0005-0000-0000-000009040000}"/>
    <cellStyle name="Dziesiętny 6 2 3 2 2 3" xfId="935" xr:uid="{00000000-0005-0000-0000-00000A040000}"/>
    <cellStyle name="Dziesiętny 6 2 3 2 2 3 2" xfId="936" xr:uid="{00000000-0005-0000-0000-00000B040000}"/>
    <cellStyle name="Dziesiętny 6 2 3 2 2 4" xfId="937" xr:uid="{00000000-0005-0000-0000-00000C040000}"/>
    <cellStyle name="Dziesiętny 6 2 3 2 2 4 2" xfId="938" xr:uid="{00000000-0005-0000-0000-00000D040000}"/>
    <cellStyle name="Dziesiętny 6 2 3 2 2 5" xfId="939" xr:uid="{00000000-0005-0000-0000-00000E040000}"/>
    <cellStyle name="Dziesiętny 6 2 3 2 3" xfId="940" xr:uid="{00000000-0005-0000-0000-00000F040000}"/>
    <cellStyle name="Dziesiętny 6 2 3 2 3 2" xfId="941" xr:uid="{00000000-0005-0000-0000-000010040000}"/>
    <cellStyle name="Dziesiętny 6 2 3 2 3 2 2" xfId="942" xr:uid="{00000000-0005-0000-0000-000011040000}"/>
    <cellStyle name="Dziesiętny 6 2 3 2 3 3" xfId="943" xr:uid="{00000000-0005-0000-0000-000012040000}"/>
    <cellStyle name="Dziesiętny 6 2 3 2 3 3 2" xfId="944" xr:uid="{00000000-0005-0000-0000-000013040000}"/>
    <cellStyle name="Dziesiętny 6 2 3 2 3 4" xfId="945" xr:uid="{00000000-0005-0000-0000-000014040000}"/>
    <cellStyle name="Dziesiętny 6 2 3 2 4" xfId="946" xr:uid="{00000000-0005-0000-0000-000015040000}"/>
    <cellStyle name="Dziesiętny 6 2 3 2 4 2" xfId="947" xr:uid="{00000000-0005-0000-0000-000016040000}"/>
    <cellStyle name="Dziesiętny 6 2 3 2 5" xfId="948" xr:uid="{00000000-0005-0000-0000-000017040000}"/>
    <cellStyle name="Dziesiętny 6 2 3 2 5 2" xfId="949" xr:uid="{00000000-0005-0000-0000-000018040000}"/>
    <cellStyle name="Dziesiętny 6 2 3 2 6" xfId="950" xr:uid="{00000000-0005-0000-0000-000019040000}"/>
    <cellStyle name="Dziesiętny 6 2 3 3" xfId="951" xr:uid="{00000000-0005-0000-0000-00001A040000}"/>
    <cellStyle name="Dziesiętny 6 2 3 3 2" xfId="952" xr:uid="{00000000-0005-0000-0000-00001B040000}"/>
    <cellStyle name="Dziesiętny 6 2 3 3 2 2" xfId="953" xr:uid="{00000000-0005-0000-0000-00001C040000}"/>
    <cellStyle name="Dziesiętny 6 2 3 3 2 2 2" xfId="954" xr:uid="{00000000-0005-0000-0000-00001D040000}"/>
    <cellStyle name="Dziesiętny 6 2 3 3 2 3" xfId="955" xr:uid="{00000000-0005-0000-0000-00001E040000}"/>
    <cellStyle name="Dziesiętny 6 2 3 3 2 3 2" xfId="956" xr:uid="{00000000-0005-0000-0000-00001F040000}"/>
    <cellStyle name="Dziesiętny 6 2 3 3 2 4" xfId="957" xr:uid="{00000000-0005-0000-0000-000020040000}"/>
    <cellStyle name="Dziesiętny 6 2 3 3 3" xfId="958" xr:uid="{00000000-0005-0000-0000-000021040000}"/>
    <cellStyle name="Dziesiętny 6 2 3 3 3 2" xfId="959" xr:uid="{00000000-0005-0000-0000-000022040000}"/>
    <cellStyle name="Dziesiętny 6 2 3 3 4" xfId="960" xr:uid="{00000000-0005-0000-0000-000023040000}"/>
    <cellStyle name="Dziesiętny 6 2 3 3 4 2" xfId="961" xr:uid="{00000000-0005-0000-0000-000024040000}"/>
    <cellStyle name="Dziesiętny 6 2 3 3 5" xfId="962" xr:uid="{00000000-0005-0000-0000-000025040000}"/>
    <cellStyle name="Dziesiętny 6 2 3 4" xfId="963" xr:uid="{00000000-0005-0000-0000-000026040000}"/>
    <cellStyle name="Dziesiętny 6 2 3 4 2" xfId="964" xr:uid="{00000000-0005-0000-0000-000027040000}"/>
    <cellStyle name="Dziesiętny 6 2 3 4 2 2" xfId="965" xr:uid="{00000000-0005-0000-0000-000028040000}"/>
    <cellStyle name="Dziesiętny 6 2 3 4 3" xfId="966" xr:uid="{00000000-0005-0000-0000-000029040000}"/>
    <cellStyle name="Dziesiętny 6 2 3 4 3 2" xfId="967" xr:uid="{00000000-0005-0000-0000-00002A040000}"/>
    <cellStyle name="Dziesiętny 6 2 3 4 4" xfId="968" xr:uid="{00000000-0005-0000-0000-00002B040000}"/>
    <cellStyle name="Dziesiętny 6 2 3 5" xfId="969" xr:uid="{00000000-0005-0000-0000-00002C040000}"/>
    <cellStyle name="Dziesiętny 6 2 3 5 2" xfId="970" xr:uid="{00000000-0005-0000-0000-00002D040000}"/>
    <cellStyle name="Dziesiętny 6 2 3 6" xfId="971" xr:uid="{00000000-0005-0000-0000-00002E040000}"/>
    <cellStyle name="Dziesiętny 6 2 3 6 2" xfId="972" xr:uid="{00000000-0005-0000-0000-00002F040000}"/>
    <cellStyle name="Dziesiętny 6 2 3 7" xfId="973" xr:uid="{00000000-0005-0000-0000-000030040000}"/>
    <cellStyle name="Dziesiętny 6 2 4" xfId="974" xr:uid="{00000000-0005-0000-0000-000031040000}"/>
    <cellStyle name="Dziesiętny 6 2 4 2" xfId="975" xr:uid="{00000000-0005-0000-0000-000032040000}"/>
    <cellStyle name="Dziesiętny 6 2 4 2 2" xfId="976" xr:uid="{00000000-0005-0000-0000-000033040000}"/>
    <cellStyle name="Dziesiętny 6 2 4 2 2 2" xfId="977" xr:uid="{00000000-0005-0000-0000-000034040000}"/>
    <cellStyle name="Dziesiętny 6 2 4 2 2 2 2" xfId="978" xr:uid="{00000000-0005-0000-0000-000035040000}"/>
    <cellStyle name="Dziesiętny 6 2 4 2 2 3" xfId="979" xr:uid="{00000000-0005-0000-0000-000036040000}"/>
    <cellStyle name="Dziesiętny 6 2 4 2 2 3 2" xfId="980" xr:uid="{00000000-0005-0000-0000-000037040000}"/>
    <cellStyle name="Dziesiętny 6 2 4 2 2 4" xfId="981" xr:uid="{00000000-0005-0000-0000-000038040000}"/>
    <cellStyle name="Dziesiętny 6 2 4 2 3" xfId="982" xr:uid="{00000000-0005-0000-0000-000039040000}"/>
    <cellStyle name="Dziesiętny 6 2 4 2 3 2" xfId="983" xr:uid="{00000000-0005-0000-0000-00003A040000}"/>
    <cellStyle name="Dziesiętny 6 2 4 2 4" xfId="984" xr:uid="{00000000-0005-0000-0000-00003B040000}"/>
    <cellStyle name="Dziesiętny 6 2 4 2 4 2" xfId="985" xr:uid="{00000000-0005-0000-0000-00003C040000}"/>
    <cellStyle name="Dziesiętny 6 2 4 2 5" xfId="986" xr:uid="{00000000-0005-0000-0000-00003D040000}"/>
    <cellStyle name="Dziesiętny 6 2 4 3" xfId="987" xr:uid="{00000000-0005-0000-0000-00003E040000}"/>
    <cellStyle name="Dziesiętny 6 2 4 3 2" xfId="988" xr:uid="{00000000-0005-0000-0000-00003F040000}"/>
    <cellStyle name="Dziesiętny 6 2 4 3 2 2" xfId="989" xr:uid="{00000000-0005-0000-0000-000040040000}"/>
    <cellStyle name="Dziesiętny 6 2 4 3 3" xfId="990" xr:uid="{00000000-0005-0000-0000-000041040000}"/>
    <cellStyle name="Dziesiętny 6 2 4 3 3 2" xfId="991" xr:uid="{00000000-0005-0000-0000-000042040000}"/>
    <cellStyle name="Dziesiętny 6 2 4 3 4" xfId="992" xr:uid="{00000000-0005-0000-0000-000043040000}"/>
    <cellStyle name="Dziesiętny 6 2 4 4" xfId="993" xr:uid="{00000000-0005-0000-0000-000044040000}"/>
    <cellStyle name="Dziesiętny 6 2 4 4 2" xfId="994" xr:uid="{00000000-0005-0000-0000-000045040000}"/>
    <cellStyle name="Dziesiętny 6 2 4 5" xfId="995" xr:uid="{00000000-0005-0000-0000-000046040000}"/>
    <cellStyle name="Dziesiętny 6 2 4 5 2" xfId="996" xr:uid="{00000000-0005-0000-0000-000047040000}"/>
    <cellStyle name="Dziesiętny 6 2 4 6" xfId="997" xr:uid="{00000000-0005-0000-0000-000048040000}"/>
    <cellStyle name="Dziesiętny 6 2 5" xfId="998" xr:uid="{00000000-0005-0000-0000-000049040000}"/>
    <cellStyle name="Dziesiętny 6 2 5 2" xfId="999" xr:uid="{00000000-0005-0000-0000-00004A040000}"/>
    <cellStyle name="Dziesiętny 6 2 5 2 2" xfId="1000" xr:uid="{00000000-0005-0000-0000-00004B040000}"/>
    <cellStyle name="Dziesiętny 6 2 5 2 2 2" xfId="1001" xr:uid="{00000000-0005-0000-0000-00004C040000}"/>
    <cellStyle name="Dziesiętny 6 2 5 2 3" xfId="1002" xr:uid="{00000000-0005-0000-0000-00004D040000}"/>
    <cellStyle name="Dziesiętny 6 2 5 2 3 2" xfId="1003" xr:uid="{00000000-0005-0000-0000-00004E040000}"/>
    <cellStyle name="Dziesiętny 6 2 5 2 4" xfId="1004" xr:uid="{00000000-0005-0000-0000-00004F040000}"/>
    <cellStyle name="Dziesiętny 6 2 5 3" xfId="1005" xr:uid="{00000000-0005-0000-0000-000050040000}"/>
    <cellStyle name="Dziesiętny 6 2 5 3 2" xfId="1006" xr:uid="{00000000-0005-0000-0000-000051040000}"/>
    <cellStyle name="Dziesiętny 6 2 5 4" xfId="1007" xr:uid="{00000000-0005-0000-0000-000052040000}"/>
    <cellStyle name="Dziesiętny 6 2 5 4 2" xfId="1008" xr:uid="{00000000-0005-0000-0000-000053040000}"/>
    <cellStyle name="Dziesiętny 6 2 5 5" xfId="1009" xr:uid="{00000000-0005-0000-0000-000054040000}"/>
    <cellStyle name="Dziesiętny 6 2 6" xfId="1010" xr:uid="{00000000-0005-0000-0000-000055040000}"/>
    <cellStyle name="Dziesiętny 6 2 6 2" xfId="1011" xr:uid="{00000000-0005-0000-0000-000056040000}"/>
    <cellStyle name="Dziesiętny 6 2 6 2 2" xfId="1012" xr:uid="{00000000-0005-0000-0000-000057040000}"/>
    <cellStyle name="Dziesiętny 6 2 6 3" xfId="1013" xr:uid="{00000000-0005-0000-0000-000058040000}"/>
    <cellStyle name="Dziesiętny 6 2 6 3 2" xfId="1014" xr:uid="{00000000-0005-0000-0000-000059040000}"/>
    <cellStyle name="Dziesiętny 6 2 6 4" xfId="1015" xr:uid="{00000000-0005-0000-0000-00005A040000}"/>
    <cellStyle name="Dziesiętny 6 2 7" xfId="1016" xr:uid="{00000000-0005-0000-0000-00005B040000}"/>
    <cellStyle name="Dziesiętny 6 2 7 2" xfId="1017" xr:uid="{00000000-0005-0000-0000-00005C040000}"/>
    <cellStyle name="Dziesiętny 6 2 8" xfId="1018" xr:uid="{00000000-0005-0000-0000-00005D040000}"/>
    <cellStyle name="Dziesiętny 6 2 8 2" xfId="1019" xr:uid="{00000000-0005-0000-0000-00005E040000}"/>
    <cellStyle name="Dziesiętny 6 2 9" xfId="1020" xr:uid="{00000000-0005-0000-0000-00005F040000}"/>
    <cellStyle name="Dziesiętny 6 3" xfId="1021" xr:uid="{00000000-0005-0000-0000-000060040000}"/>
    <cellStyle name="Dziesiętny 6 3 2" xfId="1022" xr:uid="{00000000-0005-0000-0000-000061040000}"/>
    <cellStyle name="Dziesiętny 6 3 2 2" xfId="1023" xr:uid="{00000000-0005-0000-0000-000062040000}"/>
    <cellStyle name="Dziesiętny 6 3 2 2 2" xfId="1024" xr:uid="{00000000-0005-0000-0000-000063040000}"/>
    <cellStyle name="Dziesiętny 6 3 2 2 2 2" xfId="1025" xr:uid="{00000000-0005-0000-0000-000064040000}"/>
    <cellStyle name="Dziesiętny 6 3 2 2 2 2 2" xfId="1026" xr:uid="{00000000-0005-0000-0000-000065040000}"/>
    <cellStyle name="Dziesiętny 6 3 2 2 2 3" xfId="1027" xr:uid="{00000000-0005-0000-0000-000066040000}"/>
    <cellStyle name="Dziesiętny 6 3 2 2 2 3 2" xfId="1028" xr:uid="{00000000-0005-0000-0000-000067040000}"/>
    <cellStyle name="Dziesiętny 6 3 2 2 2 4" xfId="1029" xr:uid="{00000000-0005-0000-0000-000068040000}"/>
    <cellStyle name="Dziesiętny 6 3 2 2 3" xfId="1030" xr:uid="{00000000-0005-0000-0000-000069040000}"/>
    <cellStyle name="Dziesiętny 6 3 2 2 3 2" xfId="1031" xr:uid="{00000000-0005-0000-0000-00006A040000}"/>
    <cellStyle name="Dziesiętny 6 3 2 2 4" xfId="1032" xr:uid="{00000000-0005-0000-0000-00006B040000}"/>
    <cellStyle name="Dziesiętny 6 3 2 2 4 2" xfId="1033" xr:uid="{00000000-0005-0000-0000-00006C040000}"/>
    <cellStyle name="Dziesiętny 6 3 2 2 5" xfId="1034" xr:uid="{00000000-0005-0000-0000-00006D040000}"/>
    <cellStyle name="Dziesiętny 6 3 2 3" xfId="1035" xr:uid="{00000000-0005-0000-0000-00006E040000}"/>
    <cellStyle name="Dziesiętny 6 3 2 3 2" xfId="1036" xr:uid="{00000000-0005-0000-0000-00006F040000}"/>
    <cellStyle name="Dziesiętny 6 3 2 3 2 2" xfId="1037" xr:uid="{00000000-0005-0000-0000-000070040000}"/>
    <cellStyle name="Dziesiętny 6 3 2 3 3" xfId="1038" xr:uid="{00000000-0005-0000-0000-000071040000}"/>
    <cellStyle name="Dziesiętny 6 3 2 3 3 2" xfId="1039" xr:uid="{00000000-0005-0000-0000-000072040000}"/>
    <cellStyle name="Dziesiętny 6 3 2 3 4" xfId="1040" xr:uid="{00000000-0005-0000-0000-000073040000}"/>
    <cellStyle name="Dziesiętny 6 3 2 4" xfId="1041" xr:uid="{00000000-0005-0000-0000-000074040000}"/>
    <cellStyle name="Dziesiętny 6 3 2 4 2" xfId="1042" xr:uid="{00000000-0005-0000-0000-000075040000}"/>
    <cellStyle name="Dziesiętny 6 3 2 5" xfId="1043" xr:uid="{00000000-0005-0000-0000-000076040000}"/>
    <cellStyle name="Dziesiętny 6 3 2 5 2" xfId="1044" xr:uid="{00000000-0005-0000-0000-000077040000}"/>
    <cellStyle name="Dziesiętny 6 3 2 6" xfId="1045" xr:uid="{00000000-0005-0000-0000-000078040000}"/>
    <cellStyle name="Dziesiętny 6 3 3" xfId="1046" xr:uid="{00000000-0005-0000-0000-000079040000}"/>
    <cellStyle name="Dziesiętny 6 3 3 2" xfId="1047" xr:uid="{00000000-0005-0000-0000-00007A040000}"/>
    <cellStyle name="Dziesiętny 6 3 3 2 2" xfId="1048" xr:uid="{00000000-0005-0000-0000-00007B040000}"/>
    <cellStyle name="Dziesiętny 6 3 3 2 2 2" xfId="1049" xr:uid="{00000000-0005-0000-0000-00007C040000}"/>
    <cellStyle name="Dziesiętny 6 3 3 2 3" xfId="1050" xr:uid="{00000000-0005-0000-0000-00007D040000}"/>
    <cellStyle name="Dziesiętny 6 3 3 2 3 2" xfId="1051" xr:uid="{00000000-0005-0000-0000-00007E040000}"/>
    <cellStyle name="Dziesiętny 6 3 3 2 4" xfId="1052" xr:uid="{00000000-0005-0000-0000-00007F040000}"/>
    <cellStyle name="Dziesiętny 6 3 3 3" xfId="1053" xr:uid="{00000000-0005-0000-0000-000080040000}"/>
    <cellStyle name="Dziesiętny 6 3 3 3 2" xfId="1054" xr:uid="{00000000-0005-0000-0000-000081040000}"/>
    <cellStyle name="Dziesiętny 6 3 3 4" xfId="1055" xr:uid="{00000000-0005-0000-0000-000082040000}"/>
    <cellStyle name="Dziesiętny 6 3 3 4 2" xfId="1056" xr:uid="{00000000-0005-0000-0000-000083040000}"/>
    <cellStyle name="Dziesiętny 6 3 3 5" xfId="1057" xr:uid="{00000000-0005-0000-0000-000084040000}"/>
    <cellStyle name="Dziesiętny 6 3 4" xfId="1058" xr:uid="{00000000-0005-0000-0000-000085040000}"/>
    <cellStyle name="Dziesiętny 6 3 4 2" xfId="1059" xr:uid="{00000000-0005-0000-0000-000086040000}"/>
    <cellStyle name="Dziesiętny 6 3 4 2 2" xfId="1060" xr:uid="{00000000-0005-0000-0000-000087040000}"/>
    <cellStyle name="Dziesiętny 6 3 4 3" xfId="1061" xr:uid="{00000000-0005-0000-0000-000088040000}"/>
    <cellStyle name="Dziesiętny 6 3 4 3 2" xfId="1062" xr:uid="{00000000-0005-0000-0000-000089040000}"/>
    <cellStyle name="Dziesiętny 6 3 4 4" xfId="1063" xr:uid="{00000000-0005-0000-0000-00008A040000}"/>
    <cellStyle name="Dziesiętny 6 3 5" xfId="1064" xr:uid="{00000000-0005-0000-0000-00008B040000}"/>
    <cellStyle name="Dziesiętny 6 3 5 2" xfId="1065" xr:uid="{00000000-0005-0000-0000-00008C040000}"/>
    <cellStyle name="Dziesiętny 6 3 6" xfId="1066" xr:uid="{00000000-0005-0000-0000-00008D040000}"/>
    <cellStyle name="Dziesiętny 6 3 6 2" xfId="1067" xr:uid="{00000000-0005-0000-0000-00008E040000}"/>
    <cellStyle name="Dziesiętny 6 3 7" xfId="1068" xr:uid="{00000000-0005-0000-0000-00008F040000}"/>
    <cellStyle name="Dziesiętny 6 4" xfId="1069" xr:uid="{00000000-0005-0000-0000-000090040000}"/>
    <cellStyle name="Dziesiętny 6 4 2" xfId="1070" xr:uid="{00000000-0005-0000-0000-000091040000}"/>
    <cellStyle name="Dziesiętny 6 4 2 2" xfId="1071" xr:uid="{00000000-0005-0000-0000-000092040000}"/>
    <cellStyle name="Dziesiętny 6 4 2 2 2" xfId="1072" xr:uid="{00000000-0005-0000-0000-000093040000}"/>
    <cellStyle name="Dziesiętny 6 4 2 2 2 2" xfId="1073" xr:uid="{00000000-0005-0000-0000-000094040000}"/>
    <cellStyle name="Dziesiętny 6 4 2 2 2 2 2" xfId="1074" xr:uid="{00000000-0005-0000-0000-000095040000}"/>
    <cellStyle name="Dziesiętny 6 4 2 2 2 3" xfId="1075" xr:uid="{00000000-0005-0000-0000-000096040000}"/>
    <cellStyle name="Dziesiętny 6 4 2 2 2 3 2" xfId="1076" xr:uid="{00000000-0005-0000-0000-000097040000}"/>
    <cellStyle name="Dziesiętny 6 4 2 2 2 4" xfId="1077" xr:uid="{00000000-0005-0000-0000-000098040000}"/>
    <cellStyle name="Dziesiętny 6 4 2 2 3" xfId="1078" xr:uid="{00000000-0005-0000-0000-000099040000}"/>
    <cellStyle name="Dziesiętny 6 4 2 2 3 2" xfId="1079" xr:uid="{00000000-0005-0000-0000-00009A040000}"/>
    <cellStyle name="Dziesiętny 6 4 2 2 4" xfId="1080" xr:uid="{00000000-0005-0000-0000-00009B040000}"/>
    <cellStyle name="Dziesiętny 6 4 2 2 4 2" xfId="1081" xr:uid="{00000000-0005-0000-0000-00009C040000}"/>
    <cellStyle name="Dziesiętny 6 4 2 2 5" xfId="1082" xr:uid="{00000000-0005-0000-0000-00009D040000}"/>
    <cellStyle name="Dziesiętny 6 4 2 3" xfId="1083" xr:uid="{00000000-0005-0000-0000-00009E040000}"/>
    <cellStyle name="Dziesiętny 6 4 2 3 2" xfId="1084" xr:uid="{00000000-0005-0000-0000-00009F040000}"/>
    <cellStyle name="Dziesiętny 6 4 2 3 2 2" xfId="1085" xr:uid="{00000000-0005-0000-0000-0000A0040000}"/>
    <cellStyle name="Dziesiętny 6 4 2 3 3" xfId="1086" xr:uid="{00000000-0005-0000-0000-0000A1040000}"/>
    <cellStyle name="Dziesiętny 6 4 2 3 3 2" xfId="1087" xr:uid="{00000000-0005-0000-0000-0000A2040000}"/>
    <cellStyle name="Dziesiętny 6 4 2 3 4" xfId="1088" xr:uid="{00000000-0005-0000-0000-0000A3040000}"/>
    <cellStyle name="Dziesiętny 6 4 2 4" xfId="1089" xr:uid="{00000000-0005-0000-0000-0000A4040000}"/>
    <cellStyle name="Dziesiętny 6 4 2 4 2" xfId="1090" xr:uid="{00000000-0005-0000-0000-0000A5040000}"/>
    <cellStyle name="Dziesiętny 6 4 2 5" xfId="1091" xr:uid="{00000000-0005-0000-0000-0000A6040000}"/>
    <cellStyle name="Dziesiętny 6 4 2 5 2" xfId="1092" xr:uid="{00000000-0005-0000-0000-0000A7040000}"/>
    <cellStyle name="Dziesiętny 6 4 2 6" xfId="1093" xr:uid="{00000000-0005-0000-0000-0000A8040000}"/>
    <cellStyle name="Dziesiętny 6 4 3" xfId="1094" xr:uid="{00000000-0005-0000-0000-0000A9040000}"/>
    <cellStyle name="Dziesiętny 6 4 3 2" xfId="1095" xr:uid="{00000000-0005-0000-0000-0000AA040000}"/>
    <cellStyle name="Dziesiętny 6 4 3 2 2" xfId="1096" xr:uid="{00000000-0005-0000-0000-0000AB040000}"/>
    <cellStyle name="Dziesiętny 6 4 3 2 2 2" xfId="1097" xr:uid="{00000000-0005-0000-0000-0000AC040000}"/>
    <cellStyle name="Dziesiętny 6 4 3 2 3" xfId="1098" xr:uid="{00000000-0005-0000-0000-0000AD040000}"/>
    <cellStyle name="Dziesiętny 6 4 3 2 3 2" xfId="1099" xr:uid="{00000000-0005-0000-0000-0000AE040000}"/>
    <cellStyle name="Dziesiętny 6 4 3 2 4" xfId="1100" xr:uid="{00000000-0005-0000-0000-0000AF040000}"/>
    <cellStyle name="Dziesiętny 6 4 3 3" xfId="1101" xr:uid="{00000000-0005-0000-0000-0000B0040000}"/>
    <cellStyle name="Dziesiętny 6 4 3 3 2" xfId="1102" xr:uid="{00000000-0005-0000-0000-0000B1040000}"/>
    <cellStyle name="Dziesiętny 6 4 3 4" xfId="1103" xr:uid="{00000000-0005-0000-0000-0000B2040000}"/>
    <cellStyle name="Dziesiętny 6 4 3 4 2" xfId="1104" xr:uid="{00000000-0005-0000-0000-0000B3040000}"/>
    <cellStyle name="Dziesiętny 6 4 3 5" xfId="1105" xr:uid="{00000000-0005-0000-0000-0000B4040000}"/>
    <cellStyle name="Dziesiętny 6 4 4" xfId="1106" xr:uid="{00000000-0005-0000-0000-0000B5040000}"/>
    <cellStyle name="Dziesiętny 6 4 4 2" xfId="1107" xr:uid="{00000000-0005-0000-0000-0000B6040000}"/>
    <cellStyle name="Dziesiętny 6 4 4 2 2" xfId="1108" xr:uid="{00000000-0005-0000-0000-0000B7040000}"/>
    <cellStyle name="Dziesiętny 6 4 4 3" xfId="1109" xr:uid="{00000000-0005-0000-0000-0000B8040000}"/>
    <cellStyle name="Dziesiętny 6 4 4 3 2" xfId="1110" xr:uid="{00000000-0005-0000-0000-0000B9040000}"/>
    <cellStyle name="Dziesiętny 6 4 4 4" xfId="1111" xr:uid="{00000000-0005-0000-0000-0000BA040000}"/>
    <cellStyle name="Dziesiętny 6 4 5" xfId="1112" xr:uid="{00000000-0005-0000-0000-0000BB040000}"/>
    <cellStyle name="Dziesiętny 6 4 5 2" xfId="1113" xr:uid="{00000000-0005-0000-0000-0000BC040000}"/>
    <cellStyle name="Dziesiętny 6 4 6" xfId="1114" xr:uid="{00000000-0005-0000-0000-0000BD040000}"/>
    <cellStyle name="Dziesiętny 6 4 6 2" xfId="1115" xr:uid="{00000000-0005-0000-0000-0000BE040000}"/>
    <cellStyle name="Dziesiętny 6 4 7" xfId="1116" xr:uid="{00000000-0005-0000-0000-0000BF040000}"/>
    <cellStyle name="Dziesiętny 6 5" xfId="1117" xr:uid="{00000000-0005-0000-0000-0000C0040000}"/>
    <cellStyle name="Dziesiętny 6 5 2" xfId="1118" xr:uid="{00000000-0005-0000-0000-0000C1040000}"/>
    <cellStyle name="Dziesiętny 6 5 2 2" xfId="1119" xr:uid="{00000000-0005-0000-0000-0000C2040000}"/>
    <cellStyle name="Dziesiętny 6 5 2 2 2" xfId="1120" xr:uid="{00000000-0005-0000-0000-0000C3040000}"/>
    <cellStyle name="Dziesiętny 6 5 2 2 2 2" xfId="1121" xr:uid="{00000000-0005-0000-0000-0000C4040000}"/>
    <cellStyle name="Dziesiętny 6 5 2 2 3" xfId="1122" xr:uid="{00000000-0005-0000-0000-0000C5040000}"/>
    <cellStyle name="Dziesiętny 6 5 2 2 3 2" xfId="1123" xr:uid="{00000000-0005-0000-0000-0000C6040000}"/>
    <cellStyle name="Dziesiętny 6 5 2 2 4" xfId="1124" xr:uid="{00000000-0005-0000-0000-0000C7040000}"/>
    <cellStyle name="Dziesiętny 6 5 2 3" xfId="1125" xr:uid="{00000000-0005-0000-0000-0000C8040000}"/>
    <cellStyle name="Dziesiętny 6 5 2 3 2" xfId="1126" xr:uid="{00000000-0005-0000-0000-0000C9040000}"/>
    <cellStyle name="Dziesiętny 6 5 2 4" xfId="1127" xr:uid="{00000000-0005-0000-0000-0000CA040000}"/>
    <cellStyle name="Dziesiętny 6 5 2 4 2" xfId="1128" xr:uid="{00000000-0005-0000-0000-0000CB040000}"/>
    <cellStyle name="Dziesiętny 6 5 2 5" xfId="1129" xr:uid="{00000000-0005-0000-0000-0000CC040000}"/>
    <cellStyle name="Dziesiętny 6 5 3" xfId="1130" xr:uid="{00000000-0005-0000-0000-0000CD040000}"/>
    <cellStyle name="Dziesiętny 6 5 3 2" xfId="1131" xr:uid="{00000000-0005-0000-0000-0000CE040000}"/>
    <cellStyle name="Dziesiętny 6 5 3 2 2" xfId="1132" xr:uid="{00000000-0005-0000-0000-0000CF040000}"/>
    <cellStyle name="Dziesiętny 6 5 3 3" xfId="1133" xr:uid="{00000000-0005-0000-0000-0000D0040000}"/>
    <cellStyle name="Dziesiętny 6 5 3 3 2" xfId="1134" xr:uid="{00000000-0005-0000-0000-0000D1040000}"/>
    <cellStyle name="Dziesiętny 6 5 3 4" xfId="1135" xr:uid="{00000000-0005-0000-0000-0000D2040000}"/>
    <cellStyle name="Dziesiętny 6 5 4" xfId="1136" xr:uid="{00000000-0005-0000-0000-0000D3040000}"/>
    <cellStyle name="Dziesiętny 6 5 4 2" xfId="1137" xr:uid="{00000000-0005-0000-0000-0000D4040000}"/>
    <cellStyle name="Dziesiętny 6 5 5" xfId="1138" xr:uid="{00000000-0005-0000-0000-0000D5040000}"/>
    <cellStyle name="Dziesiętny 6 5 5 2" xfId="1139" xr:uid="{00000000-0005-0000-0000-0000D6040000}"/>
    <cellStyle name="Dziesiętny 6 5 6" xfId="1140" xr:uid="{00000000-0005-0000-0000-0000D7040000}"/>
    <cellStyle name="Dziesiętny 6 6" xfId="1141" xr:uid="{00000000-0005-0000-0000-0000D8040000}"/>
    <cellStyle name="Dziesiętny 6 6 2" xfId="1142" xr:uid="{00000000-0005-0000-0000-0000D9040000}"/>
    <cellStyle name="Dziesiętny 6 6 2 2" xfId="1143" xr:uid="{00000000-0005-0000-0000-0000DA040000}"/>
    <cellStyle name="Dziesiętny 6 6 2 2 2" xfId="1144" xr:uid="{00000000-0005-0000-0000-0000DB040000}"/>
    <cellStyle name="Dziesiętny 6 6 2 3" xfId="1145" xr:uid="{00000000-0005-0000-0000-0000DC040000}"/>
    <cellStyle name="Dziesiętny 6 6 2 3 2" xfId="1146" xr:uid="{00000000-0005-0000-0000-0000DD040000}"/>
    <cellStyle name="Dziesiętny 6 6 2 4" xfId="1147" xr:uid="{00000000-0005-0000-0000-0000DE040000}"/>
    <cellStyle name="Dziesiętny 6 6 3" xfId="1148" xr:uid="{00000000-0005-0000-0000-0000DF040000}"/>
    <cellStyle name="Dziesiętny 6 6 3 2" xfId="1149" xr:uid="{00000000-0005-0000-0000-0000E0040000}"/>
    <cellStyle name="Dziesiętny 6 6 4" xfId="1150" xr:uid="{00000000-0005-0000-0000-0000E1040000}"/>
    <cellStyle name="Dziesiętny 6 6 4 2" xfId="1151" xr:uid="{00000000-0005-0000-0000-0000E2040000}"/>
    <cellStyle name="Dziesiętny 6 6 5" xfId="1152" xr:uid="{00000000-0005-0000-0000-0000E3040000}"/>
    <cellStyle name="Dziesiętny 6 7" xfId="1153" xr:uid="{00000000-0005-0000-0000-0000E4040000}"/>
    <cellStyle name="Dziesiętny 6 7 2" xfId="1154" xr:uid="{00000000-0005-0000-0000-0000E5040000}"/>
    <cellStyle name="Dziesiętny 6 7 2 2" xfId="1155" xr:uid="{00000000-0005-0000-0000-0000E6040000}"/>
    <cellStyle name="Dziesiętny 6 7 3" xfId="1156" xr:uid="{00000000-0005-0000-0000-0000E7040000}"/>
    <cellStyle name="Dziesiętny 6 7 3 2" xfId="1157" xr:uid="{00000000-0005-0000-0000-0000E8040000}"/>
    <cellStyle name="Dziesiętny 6 7 4" xfId="1158" xr:uid="{00000000-0005-0000-0000-0000E9040000}"/>
    <cellStyle name="Dziesiętny 6 8" xfId="1159" xr:uid="{00000000-0005-0000-0000-0000EA040000}"/>
    <cellStyle name="Dziesiętny 6 8 2" xfId="1160" xr:uid="{00000000-0005-0000-0000-0000EB040000}"/>
    <cellStyle name="Dziesiętny 6 9" xfId="1161" xr:uid="{00000000-0005-0000-0000-0000EC040000}"/>
    <cellStyle name="Dziesiętny 6 9 2" xfId="1162" xr:uid="{00000000-0005-0000-0000-0000ED040000}"/>
    <cellStyle name="Dziesiętny 7" xfId="1163" xr:uid="{00000000-0005-0000-0000-0000EE040000}"/>
    <cellStyle name="Dziesiętny 7 2" xfId="1164" xr:uid="{00000000-0005-0000-0000-0000EF040000}"/>
    <cellStyle name="Dziesiętny 7 2 2" xfId="1165" xr:uid="{00000000-0005-0000-0000-0000F0040000}"/>
    <cellStyle name="Dziesiętny 7 2 2 2" xfId="2080" xr:uid="{00000000-0005-0000-0000-0000F1040000}"/>
    <cellStyle name="Dziesiętny 7 2 2 2 2" xfId="2456" xr:uid="{00000000-0005-0000-0000-0000F2040000}"/>
    <cellStyle name="Dziesiętny 7 2 2 3" xfId="2271" xr:uid="{00000000-0005-0000-0000-0000F3040000}"/>
    <cellStyle name="Dziesiętny 7 2 3" xfId="2079" xr:uid="{00000000-0005-0000-0000-0000F4040000}"/>
    <cellStyle name="Dziesiętny 7 2 3 2" xfId="2455" xr:uid="{00000000-0005-0000-0000-0000F5040000}"/>
    <cellStyle name="Dziesiętny 7 2 4" xfId="2270" xr:uid="{00000000-0005-0000-0000-0000F6040000}"/>
    <cellStyle name="Dziesiętny 7 3" xfId="1166" xr:uid="{00000000-0005-0000-0000-0000F7040000}"/>
    <cellStyle name="Dziesiętny 7 3 2" xfId="1167" xr:uid="{00000000-0005-0000-0000-0000F8040000}"/>
    <cellStyle name="Dziesiętny 7 3 2 2" xfId="2082" xr:uid="{00000000-0005-0000-0000-0000F9040000}"/>
    <cellStyle name="Dziesiętny 7 3 2 2 2" xfId="2458" xr:uid="{00000000-0005-0000-0000-0000FA040000}"/>
    <cellStyle name="Dziesiętny 7 3 2 3" xfId="2273" xr:uid="{00000000-0005-0000-0000-0000FB040000}"/>
    <cellStyle name="Dziesiętny 7 3 3" xfId="2081" xr:uid="{00000000-0005-0000-0000-0000FC040000}"/>
    <cellStyle name="Dziesiętny 7 3 3 2" xfId="2457" xr:uid="{00000000-0005-0000-0000-0000FD040000}"/>
    <cellStyle name="Dziesiętny 7 3 4" xfId="2272" xr:uid="{00000000-0005-0000-0000-0000FE040000}"/>
    <cellStyle name="Dziesiętny 7 4" xfId="1168" xr:uid="{00000000-0005-0000-0000-0000FF040000}"/>
    <cellStyle name="Dziesiętny 7 4 2" xfId="2083" xr:uid="{00000000-0005-0000-0000-000000050000}"/>
    <cellStyle name="Dziesiętny 7 4 2 2" xfId="2459" xr:uid="{00000000-0005-0000-0000-000001050000}"/>
    <cellStyle name="Dziesiętny 7 4 3" xfId="2274" xr:uid="{00000000-0005-0000-0000-000002050000}"/>
    <cellStyle name="Dziesiętny 7 5" xfId="1169" xr:uid="{00000000-0005-0000-0000-000003050000}"/>
    <cellStyle name="Dziesiętny 7 6" xfId="2078" xr:uid="{00000000-0005-0000-0000-000004050000}"/>
    <cellStyle name="Dziesiętny 7 6 2" xfId="2454" xr:uid="{00000000-0005-0000-0000-000005050000}"/>
    <cellStyle name="Dziesiętny 7 7" xfId="2269" xr:uid="{00000000-0005-0000-0000-000006050000}"/>
    <cellStyle name="Dziesiętny 8" xfId="1170" xr:uid="{00000000-0005-0000-0000-000007050000}"/>
    <cellStyle name="Dziesiętny 8 2" xfId="1171" xr:uid="{00000000-0005-0000-0000-000008050000}"/>
    <cellStyle name="Dziesiętny 8 2 2" xfId="1172" xr:uid="{00000000-0005-0000-0000-000009050000}"/>
    <cellStyle name="Dziesiętny 8 2 2 2" xfId="1173" xr:uid="{00000000-0005-0000-0000-00000A050000}"/>
    <cellStyle name="Dziesiętny 8 2 2 2 2" xfId="1174" xr:uid="{00000000-0005-0000-0000-00000B050000}"/>
    <cellStyle name="Dziesiętny 8 2 2 2 2 2" xfId="1175" xr:uid="{00000000-0005-0000-0000-00000C050000}"/>
    <cellStyle name="Dziesiętny 8 2 2 2 2 2 2" xfId="1176" xr:uid="{00000000-0005-0000-0000-00000D050000}"/>
    <cellStyle name="Dziesiętny 8 2 2 2 2 3" xfId="1177" xr:uid="{00000000-0005-0000-0000-00000E050000}"/>
    <cellStyle name="Dziesiętny 8 2 2 2 2 3 2" xfId="1178" xr:uid="{00000000-0005-0000-0000-00000F050000}"/>
    <cellStyle name="Dziesiętny 8 2 2 2 2 4" xfId="1179" xr:uid="{00000000-0005-0000-0000-000010050000}"/>
    <cellStyle name="Dziesiętny 8 2 2 2 3" xfId="1180" xr:uid="{00000000-0005-0000-0000-000011050000}"/>
    <cellStyle name="Dziesiętny 8 2 2 2 3 2" xfId="1181" xr:uid="{00000000-0005-0000-0000-000012050000}"/>
    <cellStyle name="Dziesiętny 8 2 2 2 4" xfId="1182" xr:uid="{00000000-0005-0000-0000-000013050000}"/>
    <cellStyle name="Dziesiętny 8 2 2 2 4 2" xfId="1183" xr:uid="{00000000-0005-0000-0000-000014050000}"/>
    <cellStyle name="Dziesiętny 8 2 2 2 5" xfId="1184" xr:uid="{00000000-0005-0000-0000-000015050000}"/>
    <cellStyle name="Dziesiętny 8 2 2 3" xfId="1185" xr:uid="{00000000-0005-0000-0000-000016050000}"/>
    <cellStyle name="Dziesiętny 8 2 2 3 2" xfId="1186" xr:uid="{00000000-0005-0000-0000-000017050000}"/>
    <cellStyle name="Dziesiętny 8 2 2 3 2 2" xfId="1187" xr:uid="{00000000-0005-0000-0000-000018050000}"/>
    <cellStyle name="Dziesiętny 8 2 2 3 3" xfId="1188" xr:uid="{00000000-0005-0000-0000-000019050000}"/>
    <cellStyle name="Dziesiętny 8 2 2 3 3 2" xfId="1189" xr:uid="{00000000-0005-0000-0000-00001A050000}"/>
    <cellStyle name="Dziesiętny 8 2 2 3 4" xfId="1190" xr:uid="{00000000-0005-0000-0000-00001B050000}"/>
    <cellStyle name="Dziesiętny 8 2 2 4" xfId="1191" xr:uid="{00000000-0005-0000-0000-00001C050000}"/>
    <cellStyle name="Dziesiętny 8 2 2 4 2" xfId="1192" xr:uid="{00000000-0005-0000-0000-00001D050000}"/>
    <cellStyle name="Dziesiętny 8 2 2 5" xfId="1193" xr:uid="{00000000-0005-0000-0000-00001E050000}"/>
    <cellStyle name="Dziesiętny 8 2 2 5 2" xfId="1194" xr:uid="{00000000-0005-0000-0000-00001F050000}"/>
    <cellStyle name="Dziesiętny 8 2 2 6" xfId="1195" xr:uid="{00000000-0005-0000-0000-000020050000}"/>
    <cellStyle name="Dziesiętny 8 2 3" xfId="1196" xr:uid="{00000000-0005-0000-0000-000021050000}"/>
    <cellStyle name="Dziesiętny 8 2 3 2" xfId="1197" xr:uid="{00000000-0005-0000-0000-000022050000}"/>
    <cellStyle name="Dziesiętny 8 2 3 2 2" xfId="1198" xr:uid="{00000000-0005-0000-0000-000023050000}"/>
    <cellStyle name="Dziesiętny 8 2 3 2 2 2" xfId="1199" xr:uid="{00000000-0005-0000-0000-000024050000}"/>
    <cellStyle name="Dziesiętny 8 2 3 2 3" xfId="1200" xr:uid="{00000000-0005-0000-0000-000025050000}"/>
    <cellStyle name="Dziesiętny 8 2 3 2 3 2" xfId="1201" xr:uid="{00000000-0005-0000-0000-000026050000}"/>
    <cellStyle name="Dziesiętny 8 2 3 2 4" xfId="1202" xr:uid="{00000000-0005-0000-0000-000027050000}"/>
    <cellStyle name="Dziesiętny 8 2 3 3" xfId="1203" xr:uid="{00000000-0005-0000-0000-000028050000}"/>
    <cellStyle name="Dziesiętny 8 2 3 3 2" xfId="1204" xr:uid="{00000000-0005-0000-0000-000029050000}"/>
    <cellStyle name="Dziesiętny 8 2 3 4" xfId="1205" xr:uid="{00000000-0005-0000-0000-00002A050000}"/>
    <cellStyle name="Dziesiętny 8 2 3 4 2" xfId="1206" xr:uid="{00000000-0005-0000-0000-00002B050000}"/>
    <cellStyle name="Dziesiętny 8 2 3 5" xfId="1207" xr:uid="{00000000-0005-0000-0000-00002C050000}"/>
    <cellStyle name="Dziesiętny 8 2 4" xfId="1208" xr:uid="{00000000-0005-0000-0000-00002D050000}"/>
    <cellStyle name="Dziesiętny 8 2 4 2" xfId="1209" xr:uid="{00000000-0005-0000-0000-00002E050000}"/>
    <cellStyle name="Dziesiętny 8 2 4 2 2" xfId="1210" xr:uid="{00000000-0005-0000-0000-00002F050000}"/>
    <cellStyle name="Dziesiętny 8 2 4 3" xfId="1211" xr:uid="{00000000-0005-0000-0000-000030050000}"/>
    <cellStyle name="Dziesiętny 8 2 4 3 2" xfId="1212" xr:uid="{00000000-0005-0000-0000-000031050000}"/>
    <cellStyle name="Dziesiętny 8 2 4 4" xfId="1213" xr:uid="{00000000-0005-0000-0000-000032050000}"/>
    <cellStyle name="Dziesiętny 8 2 5" xfId="1214" xr:uid="{00000000-0005-0000-0000-000033050000}"/>
    <cellStyle name="Dziesiętny 8 2 5 2" xfId="1215" xr:uid="{00000000-0005-0000-0000-000034050000}"/>
    <cellStyle name="Dziesiętny 8 2 6" xfId="1216" xr:uid="{00000000-0005-0000-0000-000035050000}"/>
    <cellStyle name="Dziesiętny 8 2 6 2" xfId="1217" xr:uid="{00000000-0005-0000-0000-000036050000}"/>
    <cellStyle name="Dziesiętny 8 2 7" xfId="1218" xr:uid="{00000000-0005-0000-0000-000037050000}"/>
    <cellStyle name="Dziesiętny 8 3" xfId="1219" xr:uid="{00000000-0005-0000-0000-000038050000}"/>
    <cellStyle name="Dziesiętny 8 3 2" xfId="1220" xr:uid="{00000000-0005-0000-0000-000039050000}"/>
    <cellStyle name="Dziesiętny 8 3 2 2" xfId="1221" xr:uid="{00000000-0005-0000-0000-00003A050000}"/>
    <cellStyle name="Dziesiętny 8 3 2 2 2" xfId="1222" xr:uid="{00000000-0005-0000-0000-00003B050000}"/>
    <cellStyle name="Dziesiętny 8 3 2 2 2 2" xfId="1223" xr:uid="{00000000-0005-0000-0000-00003C050000}"/>
    <cellStyle name="Dziesiętny 8 3 2 2 2 2 2" xfId="1224" xr:uid="{00000000-0005-0000-0000-00003D050000}"/>
    <cellStyle name="Dziesiętny 8 3 2 2 2 3" xfId="1225" xr:uid="{00000000-0005-0000-0000-00003E050000}"/>
    <cellStyle name="Dziesiętny 8 3 2 2 2 3 2" xfId="1226" xr:uid="{00000000-0005-0000-0000-00003F050000}"/>
    <cellStyle name="Dziesiętny 8 3 2 2 2 4" xfId="1227" xr:uid="{00000000-0005-0000-0000-000040050000}"/>
    <cellStyle name="Dziesiętny 8 3 2 2 3" xfId="1228" xr:uid="{00000000-0005-0000-0000-000041050000}"/>
    <cellStyle name="Dziesiętny 8 3 2 2 3 2" xfId="1229" xr:uid="{00000000-0005-0000-0000-000042050000}"/>
    <cellStyle name="Dziesiętny 8 3 2 2 4" xfId="1230" xr:uid="{00000000-0005-0000-0000-000043050000}"/>
    <cellStyle name="Dziesiętny 8 3 2 2 4 2" xfId="1231" xr:uid="{00000000-0005-0000-0000-000044050000}"/>
    <cellStyle name="Dziesiętny 8 3 2 2 5" xfId="1232" xr:uid="{00000000-0005-0000-0000-000045050000}"/>
    <cellStyle name="Dziesiętny 8 3 2 3" xfId="1233" xr:uid="{00000000-0005-0000-0000-000046050000}"/>
    <cellStyle name="Dziesiętny 8 3 2 3 2" xfId="1234" xr:uid="{00000000-0005-0000-0000-000047050000}"/>
    <cellStyle name="Dziesiętny 8 3 2 3 2 2" xfId="1235" xr:uid="{00000000-0005-0000-0000-000048050000}"/>
    <cellStyle name="Dziesiętny 8 3 2 3 3" xfId="1236" xr:uid="{00000000-0005-0000-0000-000049050000}"/>
    <cellStyle name="Dziesiętny 8 3 2 3 3 2" xfId="1237" xr:uid="{00000000-0005-0000-0000-00004A050000}"/>
    <cellStyle name="Dziesiętny 8 3 2 3 4" xfId="1238" xr:uid="{00000000-0005-0000-0000-00004B050000}"/>
    <cellStyle name="Dziesiętny 8 3 2 4" xfId="1239" xr:uid="{00000000-0005-0000-0000-00004C050000}"/>
    <cellStyle name="Dziesiętny 8 3 2 4 2" xfId="1240" xr:uid="{00000000-0005-0000-0000-00004D050000}"/>
    <cellStyle name="Dziesiętny 8 3 2 5" xfId="1241" xr:uid="{00000000-0005-0000-0000-00004E050000}"/>
    <cellStyle name="Dziesiętny 8 3 2 5 2" xfId="1242" xr:uid="{00000000-0005-0000-0000-00004F050000}"/>
    <cellStyle name="Dziesiętny 8 3 2 6" xfId="1243" xr:uid="{00000000-0005-0000-0000-000050050000}"/>
    <cellStyle name="Dziesiętny 8 3 3" xfId="1244" xr:uid="{00000000-0005-0000-0000-000051050000}"/>
    <cellStyle name="Dziesiętny 8 3 3 2" xfId="1245" xr:uid="{00000000-0005-0000-0000-000052050000}"/>
    <cellStyle name="Dziesiętny 8 3 3 2 2" xfId="1246" xr:uid="{00000000-0005-0000-0000-000053050000}"/>
    <cellStyle name="Dziesiętny 8 3 3 2 2 2" xfId="1247" xr:uid="{00000000-0005-0000-0000-000054050000}"/>
    <cellStyle name="Dziesiętny 8 3 3 2 3" xfId="1248" xr:uid="{00000000-0005-0000-0000-000055050000}"/>
    <cellStyle name="Dziesiętny 8 3 3 2 3 2" xfId="1249" xr:uid="{00000000-0005-0000-0000-000056050000}"/>
    <cellStyle name="Dziesiętny 8 3 3 2 4" xfId="1250" xr:uid="{00000000-0005-0000-0000-000057050000}"/>
    <cellStyle name="Dziesiętny 8 3 3 3" xfId="1251" xr:uid="{00000000-0005-0000-0000-000058050000}"/>
    <cellStyle name="Dziesiętny 8 3 3 3 2" xfId="1252" xr:uid="{00000000-0005-0000-0000-000059050000}"/>
    <cellStyle name="Dziesiętny 8 3 3 4" xfId="1253" xr:uid="{00000000-0005-0000-0000-00005A050000}"/>
    <cellStyle name="Dziesiętny 8 3 3 4 2" xfId="1254" xr:uid="{00000000-0005-0000-0000-00005B050000}"/>
    <cellStyle name="Dziesiętny 8 3 3 5" xfId="1255" xr:uid="{00000000-0005-0000-0000-00005C050000}"/>
    <cellStyle name="Dziesiętny 8 3 4" xfId="1256" xr:uid="{00000000-0005-0000-0000-00005D050000}"/>
    <cellStyle name="Dziesiętny 8 3 4 2" xfId="1257" xr:uid="{00000000-0005-0000-0000-00005E050000}"/>
    <cellStyle name="Dziesiętny 8 3 4 2 2" xfId="1258" xr:uid="{00000000-0005-0000-0000-00005F050000}"/>
    <cellStyle name="Dziesiętny 8 3 4 3" xfId="1259" xr:uid="{00000000-0005-0000-0000-000060050000}"/>
    <cellStyle name="Dziesiętny 8 3 4 3 2" xfId="1260" xr:uid="{00000000-0005-0000-0000-000061050000}"/>
    <cellStyle name="Dziesiętny 8 3 4 4" xfId="1261" xr:uid="{00000000-0005-0000-0000-000062050000}"/>
    <cellStyle name="Dziesiętny 8 3 5" xfId="1262" xr:uid="{00000000-0005-0000-0000-000063050000}"/>
    <cellStyle name="Dziesiętny 8 3 5 2" xfId="1263" xr:uid="{00000000-0005-0000-0000-000064050000}"/>
    <cellStyle name="Dziesiętny 8 3 6" xfId="1264" xr:uid="{00000000-0005-0000-0000-000065050000}"/>
    <cellStyle name="Dziesiętny 8 3 6 2" xfId="1265" xr:uid="{00000000-0005-0000-0000-000066050000}"/>
    <cellStyle name="Dziesiętny 8 3 7" xfId="1266" xr:uid="{00000000-0005-0000-0000-000067050000}"/>
    <cellStyle name="Dziesiętny 8 4" xfId="1267" xr:uid="{00000000-0005-0000-0000-000068050000}"/>
    <cellStyle name="Dziesiętny 8 4 2" xfId="1268" xr:uid="{00000000-0005-0000-0000-000069050000}"/>
    <cellStyle name="Dziesiętny 8 4 2 2" xfId="1269" xr:uid="{00000000-0005-0000-0000-00006A050000}"/>
    <cellStyle name="Dziesiętny 8 4 2 2 2" xfId="1270" xr:uid="{00000000-0005-0000-0000-00006B050000}"/>
    <cellStyle name="Dziesiętny 8 4 2 2 2 2" xfId="1271" xr:uid="{00000000-0005-0000-0000-00006C050000}"/>
    <cellStyle name="Dziesiętny 8 4 2 2 3" xfId="1272" xr:uid="{00000000-0005-0000-0000-00006D050000}"/>
    <cellStyle name="Dziesiętny 8 4 2 2 3 2" xfId="1273" xr:uid="{00000000-0005-0000-0000-00006E050000}"/>
    <cellStyle name="Dziesiętny 8 4 2 2 4" xfId="1274" xr:uid="{00000000-0005-0000-0000-00006F050000}"/>
    <cellStyle name="Dziesiętny 8 4 2 3" xfId="1275" xr:uid="{00000000-0005-0000-0000-000070050000}"/>
    <cellStyle name="Dziesiętny 8 4 2 3 2" xfId="1276" xr:uid="{00000000-0005-0000-0000-000071050000}"/>
    <cellStyle name="Dziesiętny 8 4 2 4" xfId="1277" xr:uid="{00000000-0005-0000-0000-000072050000}"/>
    <cellStyle name="Dziesiętny 8 4 2 4 2" xfId="1278" xr:uid="{00000000-0005-0000-0000-000073050000}"/>
    <cellStyle name="Dziesiętny 8 4 2 5" xfId="1279" xr:uid="{00000000-0005-0000-0000-000074050000}"/>
    <cellStyle name="Dziesiętny 8 4 3" xfId="1280" xr:uid="{00000000-0005-0000-0000-000075050000}"/>
    <cellStyle name="Dziesiętny 8 4 3 2" xfId="1281" xr:uid="{00000000-0005-0000-0000-000076050000}"/>
    <cellStyle name="Dziesiętny 8 4 3 2 2" xfId="1282" xr:uid="{00000000-0005-0000-0000-000077050000}"/>
    <cellStyle name="Dziesiętny 8 4 3 3" xfId="1283" xr:uid="{00000000-0005-0000-0000-000078050000}"/>
    <cellStyle name="Dziesiętny 8 4 3 3 2" xfId="1284" xr:uid="{00000000-0005-0000-0000-000079050000}"/>
    <cellStyle name="Dziesiętny 8 4 3 4" xfId="1285" xr:uid="{00000000-0005-0000-0000-00007A050000}"/>
    <cellStyle name="Dziesiętny 8 4 4" xfId="1286" xr:uid="{00000000-0005-0000-0000-00007B050000}"/>
    <cellStyle name="Dziesiętny 8 4 4 2" xfId="1287" xr:uid="{00000000-0005-0000-0000-00007C050000}"/>
    <cellStyle name="Dziesiętny 8 4 5" xfId="1288" xr:uid="{00000000-0005-0000-0000-00007D050000}"/>
    <cellStyle name="Dziesiętny 8 4 5 2" xfId="1289" xr:uid="{00000000-0005-0000-0000-00007E050000}"/>
    <cellStyle name="Dziesiętny 8 4 6" xfId="1290" xr:uid="{00000000-0005-0000-0000-00007F050000}"/>
    <cellStyle name="Dziesiętny 8 5" xfId="1291" xr:uid="{00000000-0005-0000-0000-000080050000}"/>
    <cellStyle name="Dziesiętny 8 5 2" xfId="1292" xr:uid="{00000000-0005-0000-0000-000081050000}"/>
    <cellStyle name="Dziesiętny 8 5 2 2" xfId="1293" xr:uid="{00000000-0005-0000-0000-000082050000}"/>
    <cellStyle name="Dziesiętny 8 5 2 2 2" xfId="1294" xr:uid="{00000000-0005-0000-0000-000083050000}"/>
    <cellStyle name="Dziesiętny 8 5 2 3" xfId="1295" xr:uid="{00000000-0005-0000-0000-000084050000}"/>
    <cellStyle name="Dziesiętny 8 5 2 3 2" xfId="1296" xr:uid="{00000000-0005-0000-0000-000085050000}"/>
    <cellStyle name="Dziesiętny 8 5 2 4" xfId="1297" xr:uid="{00000000-0005-0000-0000-000086050000}"/>
    <cellStyle name="Dziesiętny 8 5 3" xfId="1298" xr:uid="{00000000-0005-0000-0000-000087050000}"/>
    <cellStyle name="Dziesiętny 8 5 3 2" xfId="1299" xr:uid="{00000000-0005-0000-0000-000088050000}"/>
    <cellStyle name="Dziesiętny 8 5 4" xfId="1300" xr:uid="{00000000-0005-0000-0000-000089050000}"/>
    <cellStyle name="Dziesiętny 8 5 4 2" xfId="1301" xr:uid="{00000000-0005-0000-0000-00008A050000}"/>
    <cellStyle name="Dziesiętny 8 5 5" xfId="1302" xr:uid="{00000000-0005-0000-0000-00008B050000}"/>
    <cellStyle name="Dziesiętny 8 6" xfId="1303" xr:uid="{00000000-0005-0000-0000-00008C050000}"/>
    <cellStyle name="Dziesiętny 8 6 2" xfId="1304" xr:uid="{00000000-0005-0000-0000-00008D050000}"/>
    <cellStyle name="Dziesiętny 8 6 2 2" xfId="1305" xr:uid="{00000000-0005-0000-0000-00008E050000}"/>
    <cellStyle name="Dziesiętny 8 6 3" xfId="1306" xr:uid="{00000000-0005-0000-0000-00008F050000}"/>
    <cellStyle name="Dziesiętny 8 6 3 2" xfId="1307" xr:uid="{00000000-0005-0000-0000-000090050000}"/>
    <cellStyle name="Dziesiętny 8 6 4" xfId="1308" xr:uid="{00000000-0005-0000-0000-000091050000}"/>
    <cellStyle name="Dziesiętny 8 7" xfId="1309" xr:uid="{00000000-0005-0000-0000-000092050000}"/>
    <cellStyle name="Dziesiętny 8 7 2" xfId="1310" xr:uid="{00000000-0005-0000-0000-000093050000}"/>
    <cellStyle name="Dziesiętny 8 8" xfId="1311" xr:uid="{00000000-0005-0000-0000-000094050000}"/>
    <cellStyle name="Dziesiętny 8 8 2" xfId="1312" xr:uid="{00000000-0005-0000-0000-000095050000}"/>
    <cellStyle name="Dziesiętny 8 9" xfId="1313" xr:uid="{00000000-0005-0000-0000-000096050000}"/>
    <cellStyle name="Dziesiętny 9" xfId="1314" xr:uid="{00000000-0005-0000-0000-000097050000}"/>
    <cellStyle name="Dziesiętny 9 2" xfId="1315" xr:uid="{00000000-0005-0000-0000-000098050000}"/>
    <cellStyle name="Dziesiętny 9 2 2" xfId="1316" xr:uid="{00000000-0005-0000-0000-000099050000}"/>
    <cellStyle name="Dziesiętny 9 2 2 2" xfId="2086" xr:uid="{00000000-0005-0000-0000-00009A050000}"/>
    <cellStyle name="Dziesiętny 9 2 2 2 2" xfId="2462" xr:uid="{00000000-0005-0000-0000-00009B050000}"/>
    <cellStyle name="Dziesiętny 9 2 2 3" xfId="2277" xr:uid="{00000000-0005-0000-0000-00009C050000}"/>
    <cellStyle name="Dziesiętny 9 2 3" xfId="2085" xr:uid="{00000000-0005-0000-0000-00009D050000}"/>
    <cellStyle name="Dziesiętny 9 2 3 2" xfId="2461" xr:uid="{00000000-0005-0000-0000-00009E050000}"/>
    <cellStyle name="Dziesiętny 9 2 4" xfId="2276" xr:uid="{00000000-0005-0000-0000-00009F050000}"/>
    <cellStyle name="Dziesiętny 9 3" xfId="1317" xr:uid="{00000000-0005-0000-0000-0000A0050000}"/>
    <cellStyle name="Dziesiętny 9 3 2" xfId="1318" xr:uid="{00000000-0005-0000-0000-0000A1050000}"/>
    <cellStyle name="Dziesiętny 9 3 2 2" xfId="2088" xr:uid="{00000000-0005-0000-0000-0000A2050000}"/>
    <cellStyle name="Dziesiętny 9 3 2 2 2" xfId="2464" xr:uid="{00000000-0005-0000-0000-0000A3050000}"/>
    <cellStyle name="Dziesiętny 9 3 2 3" xfId="2279" xr:uid="{00000000-0005-0000-0000-0000A4050000}"/>
    <cellStyle name="Dziesiętny 9 3 3" xfId="2087" xr:uid="{00000000-0005-0000-0000-0000A5050000}"/>
    <cellStyle name="Dziesiętny 9 3 3 2" xfId="2463" xr:uid="{00000000-0005-0000-0000-0000A6050000}"/>
    <cellStyle name="Dziesiętny 9 3 4" xfId="2278" xr:uid="{00000000-0005-0000-0000-0000A7050000}"/>
    <cellStyle name="Dziesiętny 9 4" xfId="1319" xr:uid="{00000000-0005-0000-0000-0000A8050000}"/>
    <cellStyle name="Dziesiętny 9 4 2" xfId="2089" xr:uid="{00000000-0005-0000-0000-0000A9050000}"/>
    <cellStyle name="Dziesiętny 9 4 2 2" xfId="2465" xr:uid="{00000000-0005-0000-0000-0000AA050000}"/>
    <cellStyle name="Dziesiętny 9 4 3" xfId="2280" xr:uid="{00000000-0005-0000-0000-0000AB050000}"/>
    <cellStyle name="Dziesiętny 9 5" xfId="2084" xr:uid="{00000000-0005-0000-0000-0000AC050000}"/>
    <cellStyle name="Dziesiętny 9 5 2" xfId="2460" xr:uid="{00000000-0005-0000-0000-0000AD050000}"/>
    <cellStyle name="Dziesiętny 9 6" xfId="2275" xr:uid="{00000000-0005-0000-0000-0000AE050000}"/>
    <cellStyle name="Hiperłącze" xfId="3" builtinId="8"/>
    <cellStyle name="Hiperłącze 2" xfId="2610" xr:uid="{00000000-0005-0000-0000-0000B0050000}"/>
    <cellStyle name="Hiperłącze_RoedlConsult_311202_sprawozdanie_z_dział_jedn" xfId="4" xr:uid="{00000000-0005-0000-0000-0000B1050000}"/>
    <cellStyle name="Normal 2" xfId="14" xr:uid="{00000000-0005-0000-0000-0000B2050000}"/>
    <cellStyle name="Normal 2 2" xfId="2040" xr:uid="{00000000-0005-0000-0000-0000B3050000}"/>
    <cellStyle name="Normal 2 2 2" xfId="2416" xr:uid="{00000000-0005-0000-0000-0000B4050000}"/>
    <cellStyle name="Normal 2 3" xfId="2231" xr:uid="{00000000-0005-0000-0000-0000B5050000}"/>
    <cellStyle name="Normal 3" xfId="2039" xr:uid="{00000000-0005-0000-0000-0000B6050000}"/>
    <cellStyle name="Normal 5 2 2" xfId="2603" xr:uid="{00000000-0005-0000-0000-0000B7050000}"/>
    <cellStyle name="Normal 5 2 2 2" xfId="2606" xr:uid="{00000000-0005-0000-0000-0000B8050000}"/>
    <cellStyle name="Normal_Financial Statements PL ver 11 10 2006" xfId="2230" xr:uid="{00000000-0005-0000-0000-0000B9050000}"/>
    <cellStyle name="Normalny" xfId="0" builtinId="0"/>
    <cellStyle name="Normalny 10" xfId="1320" xr:uid="{00000000-0005-0000-0000-0000BB050000}"/>
    <cellStyle name="Normalny 10 2" xfId="1321" xr:uid="{00000000-0005-0000-0000-0000BC050000}"/>
    <cellStyle name="Normalny 10 2 2" xfId="1322" xr:uid="{00000000-0005-0000-0000-0000BD050000}"/>
    <cellStyle name="Normalny 10 2 2 2" xfId="1323" xr:uid="{00000000-0005-0000-0000-0000BE050000}"/>
    <cellStyle name="Normalny 10 2 2 2 2" xfId="2093" xr:uid="{00000000-0005-0000-0000-0000BF050000}"/>
    <cellStyle name="Normalny 10 2 2 2 2 2" xfId="2469" xr:uid="{00000000-0005-0000-0000-0000C0050000}"/>
    <cellStyle name="Normalny 10 2 2 2 3" xfId="2284" xr:uid="{00000000-0005-0000-0000-0000C1050000}"/>
    <cellStyle name="Normalny 10 2 2 3" xfId="2092" xr:uid="{00000000-0005-0000-0000-0000C2050000}"/>
    <cellStyle name="Normalny 10 2 2 3 2" xfId="2468" xr:uid="{00000000-0005-0000-0000-0000C3050000}"/>
    <cellStyle name="Normalny 10 2 2 4" xfId="2283" xr:uid="{00000000-0005-0000-0000-0000C4050000}"/>
    <cellStyle name="Normalny 10 2 3" xfId="1324" xr:uid="{00000000-0005-0000-0000-0000C5050000}"/>
    <cellStyle name="Normalny 10 2 3 2" xfId="2094" xr:uid="{00000000-0005-0000-0000-0000C6050000}"/>
    <cellStyle name="Normalny 10 2 3 2 2" xfId="2470" xr:uid="{00000000-0005-0000-0000-0000C7050000}"/>
    <cellStyle name="Normalny 10 2 3 3" xfId="2285" xr:uid="{00000000-0005-0000-0000-0000C8050000}"/>
    <cellStyle name="Normalny 10 2 4" xfId="2091" xr:uid="{00000000-0005-0000-0000-0000C9050000}"/>
    <cellStyle name="Normalny 10 2 4 2" xfId="2467" xr:uid="{00000000-0005-0000-0000-0000CA050000}"/>
    <cellStyle name="Normalny 10 2 5" xfId="2282" xr:uid="{00000000-0005-0000-0000-0000CB050000}"/>
    <cellStyle name="Normalny 10 3" xfId="1325" xr:uid="{00000000-0005-0000-0000-0000CC050000}"/>
    <cellStyle name="Normalny 10 3 2" xfId="1326" xr:uid="{00000000-0005-0000-0000-0000CD050000}"/>
    <cellStyle name="Normalny 10 3 2 2" xfId="2096" xr:uid="{00000000-0005-0000-0000-0000CE050000}"/>
    <cellStyle name="Normalny 10 3 2 2 2" xfId="2472" xr:uid="{00000000-0005-0000-0000-0000CF050000}"/>
    <cellStyle name="Normalny 10 3 2 3" xfId="2287" xr:uid="{00000000-0005-0000-0000-0000D0050000}"/>
    <cellStyle name="Normalny 10 3 3" xfId="2095" xr:uid="{00000000-0005-0000-0000-0000D1050000}"/>
    <cellStyle name="Normalny 10 3 3 2" xfId="2471" xr:uid="{00000000-0005-0000-0000-0000D2050000}"/>
    <cellStyle name="Normalny 10 3 4" xfId="2286" xr:uid="{00000000-0005-0000-0000-0000D3050000}"/>
    <cellStyle name="Normalny 10 4" xfId="1327" xr:uid="{00000000-0005-0000-0000-0000D4050000}"/>
    <cellStyle name="Normalny 10 4 2" xfId="1328" xr:uid="{00000000-0005-0000-0000-0000D5050000}"/>
    <cellStyle name="Normalny 10 4 2 2" xfId="2098" xr:uid="{00000000-0005-0000-0000-0000D6050000}"/>
    <cellStyle name="Normalny 10 4 2 2 2" xfId="2474" xr:uid="{00000000-0005-0000-0000-0000D7050000}"/>
    <cellStyle name="Normalny 10 4 2 3" xfId="2289" xr:uid="{00000000-0005-0000-0000-0000D8050000}"/>
    <cellStyle name="Normalny 10 4 3" xfId="2097" xr:uid="{00000000-0005-0000-0000-0000D9050000}"/>
    <cellStyle name="Normalny 10 4 3 2" xfId="2473" xr:uid="{00000000-0005-0000-0000-0000DA050000}"/>
    <cellStyle name="Normalny 10 4 4" xfId="2288" xr:uid="{00000000-0005-0000-0000-0000DB050000}"/>
    <cellStyle name="Normalny 10 5" xfId="1329" xr:uid="{00000000-0005-0000-0000-0000DC050000}"/>
    <cellStyle name="Normalny 10 5 2" xfId="1330" xr:uid="{00000000-0005-0000-0000-0000DD050000}"/>
    <cellStyle name="Normalny 10 5 2 2" xfId="2100" xr:uid="{00000000-0005-0000-0000-0000DE050000}"/>
    <cellStyle name="Normalny 10 5 2 2 2" xfId="2476" xr:uid="{00000000-0005-0000-0000-0000DF050000}"/>
    <cellStyle name="Normalny 10 5 2 3" xfId="2291" xr:uid="{00000000-0005-0000-0000-0000E0050000}"/>
    <cellStyle name="Normalny 10 5 3" xfId="2099" xr:uid="{00000000-0005-0000-0000-0000E1050000}"/>
    <cellStyle name="Normalny 10 5 3 2" xfId="2475" xr:uid="{00000000-0005-0000-0000-0000E2050000}"/>
    <cellStyle name="Normalny 10 5 4" xfId="2290" xr:uid="{00000000-0005-0000-0000-0000E3050000}"/>
    <cellStyle name="Normalny 10 6" xfId="1331" xr:uid="{00000000-0005-0000-0000-0000E4050000}"/>
    <cellStyle name="Normalny 10 6 2" xfId="2101" xr:uid="{00000000-0005-0000-0000-0000E5050000}"/>
    <cellStyle name="Normalny 10 6 2 2" xfId="2477" xr:uid="{00000000-0005-0000-0000-0000E6050000}"/>
    <cellStyle name="Normalny 10 6 3" xfId="2292" xr:uid="{00000000-0005-0000-0000-0000E7050000}"/>
    <cellStyle name="Normalny 10 7" xfId="1332" xr:uid="{00000000-0005-0000-0000-0000E8050000}"/>
    <cellStyle name="Normalny 10 8" xfId="2090" xr:uid="{00000000-0005-0000-0000-0000E9050000}"/>
    <cellStyle name="Normalny 10 8 2" xfId="2466" xr:uid="{00000000-0005-0000-0000-0000EA050000}"/>
    <cellStyle name="Normalny 10 9" xfId="2281" xr:uid="{00000000-0005-0000-0000-0000EB050000}"/>
    <cellStyle name="Normalny 11" xfId="1333" xr:uid="{00000000-0005-0000-0000-0000EC050000}"/>
    <cellStyle name="Normalny 11 2" xfId="1334" xr:uid="{00000000-0005-0000-0000-0000ED050000}"/>
    <cellStyle name="Normalny 11 2 2" xfId="1335" xr:uid="{00000000-0005-0000-0000-0000EE050000}"/>
    <cellStyle name="Normalny 11 2 2 2" xfId="1336" xr:uid="{00000000-0005-0000-0000-0000EF050000}"/>
    <cellStyle name="Normalny 11 2 2 2 2" xfId="1337" xr:uid="{00000000-0005-0000-0000-0000F0050000}"/>
    <cellStyle name="Normalny 11 2 2 2 2 2" xfId="1338" xr:uid="{00000000-0005-0000-0000-0000F1050000}"/>
    <cellStyle name="Normalny 11 2 2 2 3" xfId="1339" xr:uid="{00000000-0005-0000-0000-0000F2050000}"/>
    <cellStyle name="Normalny 11 2 2 2_RPP" xfId="1340" xr:uid="{00000000-0005-0000-0000-0000F3050000}"/>
    <cellStyle name="Normalny 11 2 2 3" xfId="1341" xr:uid="{00000000-0005-0000-0000-0000F4050000}"/>
    <cellStyle name="Normalny 11 2 2 3 2" xfId="1342" xr:uid="{00000000-0005-0000-0000-0000F5050000}"/>
    <cellStyle name="Normalny 11 2 2 4" xfId="1343" xr:uid="{00000000-0005-0000-0000-0000F6050000}"/>
    <cellStyle name="Normalny 11 2 2_RPP" xfId="1344" xr:uid="{00000000-0005-0000-0000-0000F7050000}"/>
    <cellStyle name="Normalny 11 2 3" xfId="1345" xr:uid="{00000000-0005-0000-0000-0000F8050000}"/>
    <cellStyle name="Normalny 11 2 3 2" xfId="1346" xr:uid="{00000000-0005-0000-0000-0000F9050000}"/>
    <cellStyle name="Normalny 11 2 3 2 2" xfId="1347" xr:uid="{00000000-0005-0000-0000-0000FA050000}"/>
    <cellStyle name="Normalny 11 2 3 3" xfId="1348" xr:uid="{00000000-0005-0000-0000-0000FB050000}"/>
    <cellStyle name="Normalny 11 2 3_RPP" xfId="1349" xr:uid="{00000000-0005-0000-0000-0000FC050000}"/>
    <cellStyle name="Normalny 11 2 4" xfId="1350" xr:uid="{00000000-0005-0000-0000-0000FD050000}"/>
    <cellStyle name="Normalny 11 2 4 2" xfId="1351" xr:uid="{00000000-0005-0000-0000-0000FE050000}"/>
    <cellStyle name="Normalny 11 2 5" xfId="1352" xr:uid="{00000000-0005-0000-0000-0000FF050000}"/>
    <cellStyle name="Normalny 11 2_RPP" xfId="1353" xr:uid="{00000000-0005-0000-0000-000000060000}"/>
    <cellStyle name="Normalny 11 3" xfId="1354" xr:uid="{00000000-0005-0000-0000-000001060000}"/>
    <cellStyle name="Normalny 11 3 2" xfId="1355" xr:uid="{00000000-0005-0000-0000-000002060000}"/>
    <cellStyle name="Normalny 11 3 2 2" xfId="1356" xr:uid="{00000000-0005-0000-0000-000003060000}"/>
    <cellStyle name="Normalny 11 3 2 2 2" xfId="1357" xr:uid="{00000000-0005-0000-0000-000004060000}"/>
    <cellStyle name="Normalny 11 3 2 2 2 2" xfId="1358" xr:uid="{00000000-0005-0000-0000-000005060000}"/>
    <cellStyle name="Normalny 11 3 2 2 3" xfId="1359" xr:uid="{00000000-0005-0000-0000-000006060000}"/>
    <cellStyle name="Normalny 11 3 2 2_RPP" xfId="1360" xr:uid="{00000000-0005-0000-0000-000007060000}"/>
    <cellStyle name="Normalny 11 3 2 3" xfId="1361" xr:uid="{00000000-0005-0000-0000-000008060000}"/>
    <cellStyle name="Normalny 11 3 2 3 2" xfId="1362" xr:uid="{00000000-0005-0000-0000-000009060000}"/>
    <cellStyle name="Normalny 11 3 2 4" xfId="1363" xr:uid="{00000000-0005-0000-0000-00000A060000}"/>
    <cellStyle name="Normalny 11 3 2_RPP" xfId="1364" xr:uid="{00000000-0005-0000-0000-00000B060000}"/>
    <cellStyle name="Normalny 11 3 3" xfId="1365" xr:uid="{00000000-0005-0000-0000-00000C060000}"/>
    <cellStyle name="Normalny 11 3 3 2" xfId="1366" xr:uid="{00000000-0005-0000-0000-00000D060000}"/>
    <cellStyle name="Normalny 11 3 3 2 2" xfId="1367" xr:uid="{00000000-0005-0000-0000-00000E060000}"/>
    <cellStyle name="Normalny 11 3 3 3" xfId="1368" xr:uid="{00000000-0005-0000-0000-00000F060000}"/>
    <cellStyle name="Normalny 11 3 3_RPP" xfId="1369" xr:uid="{00000000-0005-0000-0000-000010060000}"/>
    <cellStyle name="Normalny 11 3 4" xfId="1370" xr:uid="{00000000-0005-0000-0000-000011060000}"/>
    <cellStyle name="Normalny 11 3 4 2" xfId="1371" xr:uid="{00000000-0005-0000-0000-000012060000}"/>
    <cellStyle name="Normalny 11 3 5" xfId="1372" xr:uid="{00000000-0005-0000-0000-000013060000}"/>
    <cellStyle name="Normalny 11 3_RPP" xfId="1373" xr:uid="{00000000-0005-0000-0000-000014060000}"/>
    <cellStyle name="Normalny 11 4" xfId="1374" xr:uid="{00000000-0005-0000-0000-000015060000}"/>
    <cellStyle name="Normalny 11 4 2" xfId="1375" xr:uid="{00000000-0005-0000-0000-000016060000}"/>
    <cellStyle name="Normalny 11 4 2 2" xfId="1376" xr:uid="{00000000-0005-0000-0000-000017060000}"/>
    <cellStyle name="Normalny 11 4 2 2 2" xfId="1377" xr:uid="{00000000-0005-0000-0000-000018060000}"/>
    <cellStyle name="Normalny 11 4 2 3" xfId="1378" xr:uid="{00000000-0005-0000-0000-000019060000}"/>
    <cellStyle name="Normalny 11 4 2_RPP" xfId="1379" xr:uid="{00000000-0005-0000-0000-00001A060000}"/>
    <cellStyle name="Normalny 11 4 3" xfId="1380" xr:uid="{00000000-0005-0000-0000-00001B060000}"/>
    <cellStyle name="Normalny 11 4 3 2" xfId="1381" xr:uid="{00000000-0005-0000-0000-00001C060000}"/>
    <cellStyle name="Normalny 11 4 4" xfId="1382" xr:uid="{00000000-0005-0000-0000-00001D060000}"/>
    <cellStyle name="Normalny 11 4_RPP" xfId="1383" xr:uid="{00000000-0005-0000-0000-00001E060000}"/>
    <cellStyle name="Normalny 11 5" xfId="1384" xr:uid="{00000000-0005-0000-0000-00001F060000}"/>
    <cellStyle name="Normalny 11 5 2" xfId="1385" xr:uid="{00000000-0005-0000-0000-000020060000}"/>
    <cellStyle name="Normalny 11 5 2 2" xfId="1386" xr:uid="{00000000-0005-0000-0000-000021060000}"/>
    <cellStyle name="Normalny 11 5 3" xfId="1387" xr:uid="{00000000-0005-0000-0000-000022060000}"/>
    <cellStyle name="Normalny 11 5_RPP" xfId="1388" xr:uid="{00000000-0005-0000-0000-000023060000}"/>
    <cellStyle name="Normalny 11 6" xfId="1389" xr:uid="{00000000-0005-0000-0000-000024060000}"/>
    <cellStyle name="Normalny 11 6 2" xfId="1390" xr:uid="{00000000-0005-0000-0000-000025060000}"/>
    <cellStyle name="Normalny 11 7" xfId="1391" xr:uid="{00000000-0005-0000-0000-000026060000}"/>
    <cellStyle name="Normalny 11_RPP" xfId="1392" xr:uid="{00000000-0005-0000-0000-000027060000}"/>
    <cellStyle name="Normalny 12" xfId="1393" xr:uid="{00000000-0005-0000-0000-000028060000}"/>
    <cellStyle name="Normalny 12 2" xfId="1394" xr:uid="{00000000-0005-0000-0000-000029060000}"/>
    <cellStyle name="Normalny 12 2 2" xfId="1395" xr:uid="{00000000-0005-0000-0000-00002A060000}"/>
    <cellStyle name="Normalny 12 2 2 2" xfId="2104" xr:uid="{00000000-0005-0000-0000-00002B060000}"/>
    <cellStyle name="Normalny 12 2 2 2 2" xfId="2480" xr:uid="{00000000-0005-0000-0000-00002C060000}"/>
    <cellStyle name="Normalny 12 2 2 3" xfId="2295" xr:uid="{00000000-0005-0000-0000-00002D060000}"/>
    <cellStyle name="Normalny 12 2 3" xfId="2103" xr:uid="{00000000-0005-0000-0000-00002E060000}"/>
    <cellStyle name="Normalny 12 2 3 2" xfId="2479" xr:uid="{00000000-0005-0000-0000-00002F060000}"/>
    <cellStyle name="Normalny 12 2 4" xfId="2294" xr:uid="{00000000-0005-0000-0000-000030060000}"/>
    <cellStyle name="Normalny 12 3" xfId="1396" xr:uid="{00000000-0005-0000-0000-000031060000}"/>
    <cellStyle name="Normalny 12 3 2" xfId="1397" xr:uid="{00000000-0005-0000-0000-000032060000}"/>
    <cellStyle name="Normalny 12 3 2 2" xfId="2106" xr:uid="{00000000-0005-0000-0000-000033060000}"/>
    <cellStyle name="Normalny 12 3 2 2 2" xfId="2482" xr:uid="{00000000-0005-0000-0000-000034060000}"/>
    <cellStyle name="Normalny 12 3 2 3" xfId="2297" xr:uid="{00000000-0005-0000-0000-000035060000}"/>
    <cellStyle name="Normalny 12 3 3" xfId="2105" xr:uid="{00000000-0005-0000-0000-000036060000}"/>
    <cellStyle name="Normalny 12 3 3 2" xfId="2481" xr:uid="{00000000-0005-0000-0000-000037060000}"/>
    <cellStyle name="Normalny 12 3 4" xfId="2296" xr:uid="{00000000-0005-0000-0000-000038060000}"/>
    <cellStyle name="Normalny 12 4" xfId="1398" xr:uid="{00000000-0005-0000-0000-000039060000}"/>
    <cellStyle name="Normalny 12 4 2" xfId="2107" xr:uid="{00000000-0005-0000-0000-00003A060000}"/>
    <cellStyle name="Normalny 12 4 2 2" xfId="2483" xr:uid="{00000000-0005-0000-0000-00003B060000}"/>
    <cellStyle name="Normalny 12 4 3" xfId="2298" xr:uid="{00000000-0005-0000-0000-00003C060000}"/>
    <cellStyle name="Normalny 12 5" xfId="1399" xr:uid="{00000000-0005-0000-0000-00003D060000}"/>
    <cellStyle name="Normalny 12 6" xfId="2102" xr:uid="{00000000-0005-0000-0000-00003E060000}"/>
    <cellStyle name="Normalny 12 6 2" xfId="2478" xr:uid="{00000000-0005-0000-0000-00003F060000}"/>
    <cellStyle name="Normalny 12 7" xfId="2293" xr:uid="{00000000-0005-0000-0000-000040060000}"/>
    <cellStyle name="Normalny 13" xfId="1400" xr:uid="{00000000-0005-0000-0000-000041060000}"/>
    <cellStyle name="Normalny 13 2" xfId="1401" xr:uid="{00000000-0005-0000-0000-000042060000}"/>
    <cellStyle name="Normalny 13 2 2" xfId="1402" xr:uid="{00000000-0005-0000-0000-000043060000}"/>
    <cellStyle name="Normalny 13 2 2 2" xfId="1403" xr:uid="{00000000-0005-0000-0000-000044060000}"/>
    <cellStyle name="Normalny 13 2 2 2 2" xfId="1404" xr:uid="{00000000-0005-0000-0000-000045060000}"/>
    <cellStyle name="Normalny 13 2 2 3" xfId="1405" xr:uid="{00000000-0005-0000-0000-000046060000}"/>
    <cellStyle name="Normalny 13 2 2_RPP" xfId="1406" xr:uid="{00000000-0005-0000-0000-000047060000}"/>
    <cellStyle name="Normalny 13 2 3" xfId="1407" xr:uid="{00000000-0005-0000-0000-000048060000}"/>
    <cellStyle name="Normalny 13 2 3 2" xfId="1408" xr:uid="{00000000-0005-0000-0000-000049060000}"/>
    <cellStyle name="Normalny 13 2 4" xfId="1409" xr:uid="{00000000-0005-0000-0000-00004A060000}"/>
    <cellStyle name="Normalny 13 2_RPP" xfId="1410" xr:uid="{00000000-0005-0000-0000-00004B060000}"/>
    <cellStyle name="Normalny 13 3" xfId="1411" xr:uid="{00000000-0005-0000-0000-00004C060000}"/>
    <cellStyle name="Normalny 13 3 2" xfId="1412" xr:uid="{00000000-0005-0000-0000-00004D060000}"/>
    <cellStyle name="Normalny 13 3 2 2" xfId="1413" xr:uid="{00000000-0005-0000-0000-00004E060000}"/>
    <cellStyle name="Normalny 13 3 3" xfId="1414" xr:uid="{00000000-0005-0000-0000-00004F060000}"/>
    <cellStyle name="Normalny 13 3_RPP" xfId="1415" xr:uid="{00000000-0005-0000-0000-000050060000}"/>
    <cellStyle name="Normalny 13 4" xfId="1416" xr:uid="{00000000-0005-0000-0000-000051060000}"/>
    <cellStyle name="Normalny 13 4 2" xfId="1417" xr:uid="{00000000-0005-0000-0000-000052060000}"/>
    <cellStyle name="Normalny 13 5" xfId="1418" xr:uid="{00000000-0005-0000-0000-000053060000}"/>
    <cellStyle name="Normalny 13_RPP" xfId="1419" xr:uid="{00000000-0005-0000-0000-000054060000}"/>
    <cellStyle name="Normalny 14" xfId="1420" xr:uid="{00000000-0005-0000-0000-000055060000}"/>
    <cellStyle name="Normalny 15" xfId="1421" xr:uid="{00000000-0005-0000-0000-000056060000}"/>
    <cellStyle name="Normalny 15 2" xfId="1422" xr:uid="{00000000-0005-0000-0000-000057060000}"/>
    <cellStyle name="Normalny 15 2 2" xfId="1423" xr:uid="{00000000-0005-0000-0000-000058060000}"/>
    <cellStyle name="Normalny 15 2 2 2" xfId="1424" xr:uid="{00000000-0005-0000-0000-000059060000}"/>
    <cellStyle name="Normalny 15 2 2 2 2" xfId="1425" xr:uid="{00000000-0005-0000-0000-00005A060000}"/>
    <cellStyle name="Normalny 15 2 2 3" xfId="1426" xr:uid="{00000000-0005-0000-0000-00005B060000}"/>
    <cellStyle name="Normalny 15 2 2_RPP" xfId="1427" xr:uid="{00000000-0005-0000-0000-00005C060000}"/>
    <cellStyle name="Normalny 15 2 3" xfId="1428" xr:uid="{00000000-0005-0000-0000-00005D060000}"/>
    <cellStyle name="Normalny 15 2 3 2" xfId="1429" xr:uid="{00000000-0005-0000-0000-00005E060000}"/>
    <cellStyle name="Normalny 15 2 4" xfId="1430" xr:uid="{00000000-0005-0000-0000-00005F060000}"/>
    <cellStyle name="Normalny 15 2_RPP" xfId="1431" xr:uid="{00000000-0005-0000-0000-000060060000}"/>
    <cellStyle name="Normalny 15 3" xfId="1432" xr:uid="{00000000-0005-0000-0000-000061060000}"/>
    <cellStyle name="Normalny 15 3 2" xfId="1433" xr:uid="{00000000-0005-0000-0000-000062060000}"/>
    <cellStyle name="Normalny 15 3 2 2" xfId="1434" xr:uid="{00000000-0005-0000-0000-000063060000}"/>
    <cellStyle name="Normalny 15 3 3" xfId="1435" xr:uid="{00000000-0005-0000-0000-000064060000}"/>
    <cellStyle name="Normalny 15 3_RPP" xfId="1436" xr:uid="{00000000-0005-0000-0000-000065060000}"/>
    <cellStyle name="Normalny 15 4" xfId="1437" xr:uid="{00000000-0005-0000-0000-000066060000}"/>
    <cellStyle name="Normalny 15 4 2" xfId="1438" xr:uid="{00000000-0005-0000-0000-000067060000}"/>
    <cellStyle name="Normalny 15 5" xfId="1439" xr:uid="{00000000-0005-0000-0000-000068060000}"/>
    <cellStyle name="Normalny 15 6" xfId="1440" xr:uid="{00000000-0005-0000-0000-000069060000}"/>
    <cellStyle name="Normalny 15_RPP" xfId="1441" xr:uid="{00000000-0005-0000-0000-00006A060000}"/>
    <cellStyle name="Normalny 16" xfId="1442" xr:uid="{00000000-0005-0000-0000-00006B060000}"/>
    <cellStyle name="Normalny 16 2" xfId="1443" xr:uid="{00000000-0005-0000-0000-00006C060000}"/>
    <cellStyle name="Normalny 16 2 2" xfId="1444" xr:uid="{00000000-0005-0000-0000-00006D060000}"/>
    <cellStyle name="Normalny 16 2 2 2" xfId="1445" xr:uid="{00000000-0005-0000-0000-00006E060000}"/>
    <cellStyle name="Normalny 16 2 3" xfId="1446" xr:uid="{00000000-0005-0000-0000-00006F060000}"/>
    <cellStyle name="Normalny 16 2_RPP" xfId="1447" xr:uid="{00000000-0005-0000-0000-000070060000}"/>
    <cellStyle name="Normalny 16 3" xfId="1448" xr:uid="{00000000-0005-0000-0000-000071060000}"/>
    <cellStyle name="Normalny 16 3 2" xfId="1449" xr:uid="{00000000-0005-0000-0000-000072060000}"/>
    <cellStyle name="Normalny 16 4" xfId="1450" xr:uid="{00000000-0005-0000-0000-000073060000}"/>
    <cellStyle name="Normalny 16 5" xfId="1451" xr:uid="{00000000-0005-0000-0000-000074060000}"/>
    <cellStyle name="Normalny 16_RPP" xfId="1452" xr:uid="{00000000-0005-0000-0000-000075060000}"/>
    <cellStyle name="Normalny 17" xfId="1453" xr:uid="{00000000-0005-0000-0000-000076060000}"/>
    <cellStyle name="Normalny 17 2" xfId="1454" xr:uid="{00000000-0005-0000-0000-000077060000}"/>
    <cellStyle name="Normalny 17 2 2" xfId="1455" xr:uid="{00000000-0005-0000-0000-000078060000}"/>
    <cellStyle name="Normalny 17 2 2 2" xfId="1456" xr:uid="{00000000-0005-0000-0000-000079060000}"/>
    <cellStyle name="Normalny 17 2 3" xfId="1457" xr:uid="{00000000-0005-0000-0000-00007A060000}"/>
    <cellStyle name="Normalny 17 2_RPP" xfId="1458" xr:uid="{00000000-0005-0000-0000-00007B060000}"/>
    <cellStyle name="Normalny 17 3" xfId="1459" xr:uid="{00000000-0005-0000-0000-00007C060000}"/>
    <cellStyle name="Normalny 17 3 2" xfId="1460" xr:uid="{00000000-0005-0000-0000-00007D060000}"/>
    <cellStyle name="Normalny 17 4" xfId="1461" xr:uid="{00000000-0005-0000-0000-00007E060000}"/>
    <cellStyle name="Normalny 17 5" xfId="1462" xr:uid="{00000000-0005-0000-0000-00007F060000}"/>
    <cellStyle name="Normalny 17_RPP" xfId="1463" xr:uid="{00000000-0005-0000-0000-000080060000}"/>
    <cellStyle name="Normalny 18" xfId="1464" xr:uid="{00000000-0005-0000-0000-000081060000}"/>
    <cellStyle name="Normalny 18 2" xfId="1465" xr:uid="{00000000-0005-0000-0000-000082060000}"/>
    <cellStyle name="Normalny 18 2 2" xfId="1466" xr:uid="{00000000-0005-0000-0000-000083060000}"/>
    <cellStyle name="Normalny 18 2 2 2" xfId="1467" xr:uid="{00000000-0005-0000-0000-000084060000}"/>
    <cellStyle name="Normalny 18 2 3" xfId="1468" xr:uid="{00000000-0005-0000-0000-000085060000}"/>
    <cellStyle name="Normalny 18 2_RPP" xfId="1469" xr:uid="{00000000-0005-0000-0000-000086060000}"/>
    <cellStyle name="Normalny 18 3" xfId="1470" xr:uid="{00000000-0005-0000-0000-000087060000}"/>
    <cellStyle name="Normalny 18 3 2" xfId="1471" xr:uid="{00000000-0005-0000-0000-000088060000}"/>
    <cellStyle name="Normalny 18 4" xfId="1472" xr:uid="{00000000-0005-0000-0000-000089060000}"/>
    <cellStyle name="Normalny 18_RPP" xfId="1473" xr:uid="{00000000-0005-0000-0000-00008A060000}"/>
    <cellStyle name="Normalny 19" xfId="1474" xr:uid="{00000000-0005-0000-0000-00008B060000}"/>
    <cellStyle name="Normalny 19 2" xfId="1475" xr:uid="{00000000-0005-0000-0000-00008C060000}"/>
    <cellStyle name="Normalny 19_RPP2012" xfId="1476" xr:uid="{00000000-0005-0000-0000-00008D060000}"/>
    <cellStyle name="Normalny 2" xfId="13" xr:uid="{00000000-0005-0000-0000-00008E060000}"/>
    <cellStyle name="Normalny 2 2" xfId="1477" xr:uid="{00000000-0005-0000-0000-00008F060000}"/>
    <cellStyle name="Normalny 2 3" xfId="1478" xr:uid="{00000000-0005-0000-0000-000090060000}"/>
    <cellStyle name="Normalny 2 4" xfId="1479" xr:uid="{00000000-0005-0000-0000-000091060000}"/>
    <cellStyle name="Normalny 2_Bilans 2012 Forte" xfId="1480" xr:uid="{00000000-0005-0000-0000-000092060000}"/>
    <cellStyle name="Normalny 20" xfId="1481" xr:uid="{00000000-0005-0000-0000-000093060000}"/>
    <cellStyle name="Normalny 20 2" xfId="1482" xr:uid="{00000000-0005-0000-0000-000094060000}"/>
    <cellStyle name="Normalny 20 2 2" xfId="1483" xr:uid="{00000000-0005-0000-0000-000095060000}"/>
    <cellStyle name="Normalny 20 3" xfId="1484" xr:uid="{00000000-0005-0000-0000-000096060000}"/>
    <cellStyle name="Normalny 20_RPP" xfId="1485" xr:uid="{00000000-0005-0000-0000-000097060000}"/>
    <cellStyle name="Normalny 21" xfId="1486" xr:uid="{00000000-0005-0000-0000-000098060000}"/>
    <cellStyle name="Normalny 21 2" xfId="1487" xr:uid="{00000000-0005-0000-0000-000099060000}"/>
    <cellStyle name="Normalny 21 3" xfId="1488" xr:uid="{00000000-0005-0000-0000-00009A060000}"/>
    <cellStyle name="Normalny 21_RPP" xfId="1489" xr:uid="{00000000-0005-0000-0000-00009B060000}"/>
    <cellStyle name="Normalny 22" xfId="1490" xr:uid="{00000000-0005-0000-0000-00009C060000}"/>
    <cellStyle name="Normalny 22 2" xfId="1491" xr:uid="{00000000-0005-0000-0000-00009D060000}"/>
    <cellStyle name="Normalny 23" xfId="1492" xr:uid="{00000000-0005-0000-0000-00009E060000}"/>
    <cellStyle name="Normalny 23 2" xfId="1493" xr:uid="{00000000-0005-0000-0000-00009F060000}"/>
    <cellStyle name="Normalny 24" xfId="1494" xr:uid="{00000000-0005-0000-0000-0000A0060000}"/>
    <cellStyle name="Normalny 24 2" xfId="1495" xr:uid="{00000000-0005-0000-0000-0000A1060000}"/>
    <cellStyle name="Normalny 25" xfId="1496" xr:uid="{00000000-0005-0000-0000-0000A2060000}"/>
    <cellStyle name="Normalny 25 2" xfId="1497" xr:uid="{00000000-0005-0000-0000-0000A3060000}"/>
    <cellStyle name="Normalny 26" xfId="1498" xr:uid="{00000000-0005-0000-0000-0000A4060000}"/>
    <cellStyle name="Normalny 26 2" xfId="1499" xr:uid="{00000000-0005-0000-0000-0000A5060000}"/>
    <cellStyle name="Normalny 27" xfId="1500" xr:uid="{00000000-0005-0000-0000-0000A6060000}"/>
    <cellStyle name="Normalny 27 2" xfId="1501" xr:uid="{00000000-0005-0000-0000-0000A7060000}"/>
    <cellStyle name="Normalny 28" xfId="1502" xr:uid="{00000000-0005-0000-0000-0000A8060000}"/>
    <cellStyle name="Normalny 28 2" xfId="1503" xr:uid="{00000000-0005-0000-0000-0000A9060000}"/>
    <cellStyle name="Normalny 29" xfId="1504" xr:uid="{00000000-0005-0000-0000-0000AA060000}"/>
    <cellStyle name="Normalny 29 2" xfId="1505" xr:uid="{00000000-0005-0000-0000-0000AB060000}"/>
    <cellStyle name="Normalny 3" xfId="1506" xr:uid="{00000000-0005-0000-0000-0000AC060000}"/>
    <cellStyle name="Normalny 3 2" xfId="1507" xr:uid="{00000000-0005-0000-0000-0000AD060000}"/>
    <cellStyle name="Normalny 3 2 2" xfId="1508" xr:uid="{00000000-0005-0000-0000-0000AE060000}"/>
    <cellStyle name="Normalny 3 3" xfId="1509" xr:uid="{00000000-0005-0000-0000-0000AF060000}"/>
    <cellStyle name="Normalny 3 3 2" xfId="1510" xr:uid="{00000000-0005-0000-0000-0000B0060000}"/>
    <cellStyle name="Normalny 3 4" xfId="1511" xr:uid="{00000000-0005-0000-0000-0000B1060000}"/>
    <cellStyle name="Normalny 3 5" xfId="1512" xr:uid="{00000000-0005-0000-0000-0000B2060000}"/>
    <cellStyle name="Normalny 3 5 2" xfId="1513" xr:uid="{00000000-0005-0000-0000-0000B3060000}"/>
    <cellStyle name="Normalny 3 5 2 2" xfId="1514" xr:uid="{00000000-0005-0000-0000-0000B4060000}"/>
    <cellStyle name="Normalny 3 5 2 2 2" xfId="2110" xr:uid="{00000000-0005-0000-0000-0000B5060000}"/>
    <cellStyle name="Normalny 3 5 2 2 2 2" xfId="2486" xr:uid="{00000000-0005-0000-0000-0000B6060000}"/>
    <cellStyle name="Normalny 3 5 2 2 3" xfId="2301" xr:uid="{00000000-0005-0000-0000-0000B7060000}"/>
    <cellStyle name="Normalny 3 5 2 3" xfId="2109" xr:uid="{00000000-0005-0000-0000-0000B8060000}"/>
    <cellStyle name="Normalny 3 5 2 3 2" xfId="2485" xr:uid="{00000000-0005-0000-0000-0000B9060000}"/>
    <cellStyle name="Normalny 3 5 2 4" xfId="2300" xr:uid="{00000000-0005-0000-0000-0000BA060000}"/>
    <cellStyle name="Normalny 3 5 3" xfId="1515" xr:uid="{00000000-0005-0000-0000-0000BB060000}"/>
    <cellStyle name="Normalny 3 5 3 2" xfId="1516" xr:uid="{00000000-0005-0000-0000-0000BC060000}"/>
    <cellStyle name="Normalny 3 5 3 2 2" xfId="2112" xr:uid="{00000000-0005-0000-0000-0000BD060000}"/>
    <cellStyle name="Normalny 3 5 3 2 2 2" xfId="2488" xr:uid="{00000000-0005-0000-0000-0000BE060000}"/>
    <cellStyle name="Normalny 3 5 3 2 3" xfId="2303" xr:uid="{00000000-0005-0000-0000-0000BF060000}"/>
    <cellStyle name="Normalny 3 5 3 3" xfId="2111" xr:uid="{00000000-0005-0000-0000-0000C0060000}"/>
    <cellStyle name="Normalny 3 5 3 3 2" xfId="2487" xr:uid="{00000000-0005-0000-0000-0000C1060000}"/>
    <cellStyle name="Normalny 3 5 3 4" xfId="2302" xr:uid="{00000000-0005-0000-0000-0000C2060000}"/>
    <cellStyle name="Normalny 3 5 4" xfId="1517" xr:uid="{00000000-0005-0000-0000-0000C3060000}"/>
    <cellStyle name="Normalny 3 5 4 2" xfId="2113" xr:uid="{00000000-0005-0000-0000-0000C4060000}"/>
    <cellStyle name="Normalny 3 5 4 2 2" xfId="2489" xr:uid="{00000000-0005-0000-0000-0000C5060000}"/>
    <cellStyle name="Normalny 3 5 4 3" xfId="2304" xr:uid="{00000000-0005-0000-0000-0000C6060000}"/>
    <cellStyle name="Normalny 3 5 5" xfId="2108" xr:uid="{00000000-0005-0000-0000-0000C7060000}"/>
    <cellStyle name="Normalny 3 5 5 2" xfId="2484" xr:uid="{00000000-0005-0000-0000-0000C8060000}"/>
    <cellStyle name="Normalny 3 5 6" xfId="2299" xr:uid="{00000000-0005-0000-0000-0000C9060000}"/>
    <cellStyle name="Normalny 3 6" xfId="1518" xr:uid="{00000000-0005-0000-0000-0000CA060000}"/>
    <cellStyle name="Normalny 3 6 2" xfId="1519" xr:uid="{00000000-0005-0000-0000-0000CB060000}"/>
    <cellStyle name="Normalny 3 6 2 2" xfId="2115" xr:uid="{00000000-0005-0000-0000-0000CC060000}"/>
    <cellStyle name="Normalny 3 6 2 2 2" xfId="2491" xr:uid="{00000000-0005-0000-0000-0000CD060000}"/>
    <cellStyle name="Normalny 3 6 2 3" xfId="2306" xr:uid="{00000000-0005-0000-0000-0000CE060000}"/>
    <cellStyle name="Normalny 3 6 3" xfId="2114" xr:uid="{00000000-0005-0000-0000-0000CF060000}"/>
    <cellStyle name="Normalny 3 6 3 2" xfId="2490" xr:uid="{00000000-0005-0000-0000-0000D0060000}"/>
    <cellStyle name="Normalny 3 6 4" xfId="2305" xr:uid="{00000000-0005-0000-0000-0000D1060000}"/>
    <cellStyle name="Normalny 3_Bilans 2012 Forte" xfId="1520" xr:uid="{00000000-0005-0000-0000-0000D2060000}"/>
    <cellStyle name="Normalny 30" xfId="1521" xr:uid="{00000000-0005-0000-0000-0000D3060000}"/>
    <cellStyle name="Normalny 30 2" xfId="1522" xr:uid="{00000000-0005-0000-0000-0000D4060000}"/>
    <cellStyle name="Normalny 31" xfId="1523" xr:uid="{00000000-0005-0000-0000-0000D5060000}"/>
    <cellStyle name="Normalny 31 2" xfId="1524" xr:uid="{00000000-0005-0000-0000-0000D6060000}"/>
    <cellStyle name="Normalny 32" xfId="1525" xr:uid="{00000000-0005-0000-0000-0000D7060000}"/>
    <cellStyle name="Normalny 32 2" xfId="1526" xr:uid="{00000000-0005-0000-0000-0000D8060000}"/>
    <cellStyle name="Normalny 33" xfId="1527" xr:uid="{00000000-0005-0000-0000-0000D9060000}"/>
    <cellStyle name="Normalny 33 2" xfId="1528" xr:uid="{00000000-0005-0000-0000-0000DA060000}"/>
    <cellStyle name="Normalny 34" xfId="1529" xr:uid="{00000000-0005-0000-0000-0000DB060000}"/>
    <cellStyle name="Normalny 34 2" xfId="1530" xr:uid="{00000000-0005-0000-0000-0000DC060000}"/>
    <cellStyle name="Normalny 35" xfId="1531" xr:uid="{00000000-0005-0000-0000-0000DD060000}"/>
    <cellStyle name="Normalny 35 2" xfId="1532" xr:uid="{00000000-0005-0000-0000-0000DE060000}"/>
    <cellStyle name="Normalny 36" xfId="1533" xr:uid="{00000000-0005-0000-0000-0000DF060000}"/>
    <cellStyle name="Normalny 36 2" xfId="1534" xr:uid="{00000000-0005-0000-0000-0000E0060000}"/>
    <cellStyle name="Normalny 37" xfId="1535" xr:uid="{00000000-0005-0000-0000-0000E1060000}"/>
    <cellStyle name="Normalny 37 2" xfId="1536" xr:uid="{00000000-0005-0000-0000-0000E2060000}"/>
    <cellStyle name="Normalny 38" xfId="1537" xr:uid="{00000000-0005-0000-0000-0000E3060000}"/>
    <cellStyle name="Normalny 38 2" xfId="1538" xr:uid="{00000000-0005-0000-0000-0000E4060000}"/>
    <cellStyle name="Normalny 39" xfId="1539" xr:uid="{00000000-0005-0000-0000-0000E5060000}"/>
    <cellStyle name="Normalny 39 2" xfId="1540" xr:uid="{00000000-0005-0000-0000-0000E6060000}"/>
    <cellStyle name="Normalny 4" xfId="1541" xr:uid="{00000000-0005-0000-0000-0000E7060000}"/>
    <cellStyle name="Normalny 4 2" xfId="1542" xr:uid="{00000000-0005-0000-0000-0000E8060000}"/>
    <cellStyle name="Normalny 4_Saldo" xfId="1543" xr:uid="{00000000-0005-0000-0000-0000E9060000}"/>
    <cellStyle name="Normalny 40" xfId="1544" xr:uid="{00000000-0005-0000-0000-0000EA060000}"/>
    <cellStyle name="Normalny 40 2" xfId="1545" xr:uid="{00000000-0005-0000-0000-0000EB060000}"/>
    <cellStyle name="Normalny 41" xfId="1546" xr:uid="{00000000-0005-0000-0000-0000EC060000}"/>
    <cellStyle name="Normalny 41 2" xfId="1547" xr:uid="{00000000-0005-0000-0000-0000ED060000}"/>
    <cellStyle name="Normalny 41 3" xfId="1548" xr:uid="{00000000-0005-0000-0000-0000EE060000}"/>
    <cellStyle name="Normalny 41 3 2" xfId="2117" xr:uid="{00000000-0005-0000-0000-0000EF060000}"/>
    <cellStyle name="Normalny 41 3 2 2" xfId="2493" xr:uid="{00000000-0005-0000-0000-0000F0060000}"/>
    <cellStyle name="Normalny 41 3 3" xfId="2308" xr:uid="{00000000-0005-0000-0000-0000F1060000}"/>
    <cellStyle name="Normalny 41 4" xfId="2116" xr:uid="{00000000-0005-0000-0000-0000F2060000}"/>
    <cellStyle name="Normalny 41 4 2" xfId="2492" xr:uid="{00000000-0005-0000-0000-0000F3060000}"/>
    <cellStyle name="Normalny 41 5" xfId="2307" xr:uid="{00000000-0005-0000-0000-0000F4060000}"/>
    <cellStyle name="Normalny 42" xfId="1549" xr:uid="{00000000-0005-0000-0000-0000F5060000}"/>
    <cellStyle name="Normalny 42 2" xfId="1550" xr:uid="{00000000-0005-0000-0000-0000F6060000}"/>
    <cellStyle name="Normalny 42 3" xfId="1551" xr:uid="{00000000-0005-0000-0000-0000F7060000}"/>
    <cellStyle name="Normalny 42 3 2" xfId="2119" xr:uid="{00000000-0005-0000-0000-0000F8060000}"/>
    <cellStyle name="Normalny 42 3 2 2" xfId="2495" xr:uid="{00000000-0005-0000-0000-0000F9060000}"/>
    <cellStyle name="Normalny 42 3 3" xfId="2310" xr:uid="{00000000-0005-0000-0000-0000FA060000}"/>
    <cellStyle name="Normalny 42 4" xfId="2118" xr:uid="{00000000-0005-0000-0000-0000FB060000}"/>
    <cellStyle name="Normalny 42 4 2" xfId="2494" xr:uid="{00000000-0005-0000-0000-0000FC060000}"/>
    <cellStyle name="Normalny 42 5" xfId="2309" xr:uid="{00000000-0005-0000-0000-0000FD060000}"/>
    <cellStyle name="Normalny 43" xfId="1552" xr:uid="{00000000-0005-0000-0000-0000FE060000}"/>
    <cellStyle name="Normalny 43 2" xfId="1553" xr:uid="{00000000-0005-0000-0000-0000FF060000}"/>
    <cellStyle name="Normalny 43 2 2" xfId="1554" xr:uid="{00000000-0005-0000-0000-000000070000}"/>
    <cellStyle name="Normalny 43 2 2 2" xfId="2122" xr:uid="{00000000-0005-0000-0000-000001070000}"/>
    <cellStyle name="Normalny 43 2 2 2 2" xfId="2498" xr:uid="{00000000-0005-0000-0000-000002070000}"/>
    <cellStyle name="Normalny 43 2 2 3" xfId="2313" xr:uid="{00000000-0005-0000-0000-000003070000}"/>
    <cellStyle name="Normalny 43 2 3" xfId="2121" xr:uid="{00000000-0005-0000-0000-000004070000}"/>
    <cellStyle name="Normalny 43 2 3 2" xfId="2497" xr:uid="{00000000-0005-0000-0000-000005070000}"/>
    <cellStyle name="Normalny 43 2 4" xfId="2312" xr:uid="{00000000-0005-0000-0000-000006070000}"/>
    <cellStyle name="Normalny 43 3" xfId="1555" xr:uid="{00000000-0005-0000-0000-000007070000}"/>
    <cellStyle name="Normalny 43 3 2" xfId="2123" xr:uid="{00000000-0005-0000-0000-000008070000}"/>
    <cellStyle name="Normalny 43 3 2 2" xfId="2499" xr:uid="{00000000-0005-0000-0000-000009070000}"/>
    <cellStyle name="Normalny 43 3 3" xfId="2314" xr:uid="{00000000-0005-0000-0000-00000A070000}"/>
    <cellStyle name="Normalny 43 4" xfId="2120" xr:uid="{00000000-0005-0000-0000-00000B070000}"/>
    <cellStyle name="Normalny 43 4 2" xfId="2496" xr:uid="{00000000-0005-0000-0000-00000C070000}"/>
    <cellStyle name="Normalny 43 5" xfId="2311" xr:uid="{00000000-0005-0000-0000-00000D070000}"/>
    <cellStyle name="Normalny 44" xfId="1556" xr:uid="{00000000-0005-0000-0000-00000E070000}"/>
    <cellStyle name="Normalny 44 2" xfId="1557" xr:uid="{00000000-0005-0000-0000-00000F070000}"/>
    <cellStyle name="Normalny 44 2 2" xfId="1558" xr:uid="{00000000-0005-0000-0000-000010070000}"/>
    <cellStyle name="Normalny 44 2 2 2" xfId="2126" xr:uid="{00000000-0005-0000-0000-000011070000}"/>
    <cellStyle name="Normalny 44 2 2 2 2" xfId="2502" xr:uid="{00000000-0005-0000-0000-000012070000}"/>
    <cellStyle name="Normalny 44 2 2 3" xfId="2317" xr:uid="{00000000-0005-0000-0000-000013070000}"/>
    <cellStyle name="Normalny 44 2 3" xfId="2125" xr:uid="{00000000-0005-0000-0000-000014070000}"/>
    <cellStyle name="Normalny 44 2 3 2" xfId="2501" xr:uid="{00000000-0005-0000-0000-000015070000}"/>
    <cellStyle name="Normalny 44 2 4" xfId="2316" xr:uid="{00000000-0005-0000-0000-000016070000}"/>
    <cellStyle name="Normalny 44 3" xfId="1559" xr:uid="{00000000-0005-0000-0000-000017070000}"/>
    <cellStyle name="Normalny 44 3 2" xfId="2127" xr:uid="{00000000-0005-0000-0000-000018070000}"/>
    <cellStyle name="Normalny 44 3 2 2" xfId="2503" xr:uid="{00000000-0005-0000-0000-000019070000}"/>
    <cellStyle name="Normalny 44 3 3" xfId="2318" xr:uid="{00000000-0005-0000-0000-00001A070000}"/>
    <cellStyle name="Normalny 44 4" xfId="2124" xr:uid="{00000000-0005-0000-0000-00001B070000}"/>
    <cellStyle name="Normalny 44 4 2" xfId="2500" xr:uid="{00000000-0005-0000-0000-00001C070000}"/>
    <cellStyle name="Normalny 44 5" xfId="2315" xr:uid="{00000000-0005-0000-0000-00001D070000}"/>
    <cellStyle name="Normalny 45" xfId="1560" xr:uid="{00000000-0005-0000-0000-00001E070000}"/>
    <cellStyle name="Normalny 45 2" xfId="1561" xr:uid="{00000000-0005-0000-0000-00001F070000}"/>
    <cellStyle name="Normalny 45 2 2" xfId="1562" xr:uid="{00000000-0005-0000-0000-000020070000}"/>
    <cellStyle name="Normalny 45 2 2 2" xfId="2130" xr:uid="{00000000-0005-0000-0000-000021070000}"/>
    <cellStyle name="Normalny 45 2 2 2 2" xfId="2506" xr:uid="{00000000-0005-0000-0000-000022070000}"/>
    <cellStyle name="Normalny 45 2 2 3" xfId="2321" xr:uid="{00000000-0005-0000-0000-000023070000}"/>
    <cellStyle name="Normalny 45 2 3" xfId="2129" xr:uid="{00000000-0005-0000-0000-000024070000}"/>
    <cellStyle name="Normalny 45 2 3 2" xfId="2505" xr:uid="{00000000-0005-0000-0000-000025070000}"/>
    <cellStyle name="Normalny 45 2 4" xfId="2320" xr:uid="{00000000-0005-0000-0000-000026070000}"/>
    <cellStyle name="Normalny 45 3" xfId="1563" xr:uid="{00000000-0005-0000-0000-000027070000}"/>
    <cellStyle name="Normalny 45 3 2" xfId="2131" xr:uid="{00000000-0005-0000-0000-000028070000}"/>
    <cellStyle name="Normalny 45 3 2 2" xfId="2507" xr:uid="{00000000-0005-0000-0000-000029070000}"/>
    <cellStyle name="Normalny 45 3 3" xfId="2322" xr:uid="{00000000-0005-0000-0000-00002A070000}"/>
    <cellStyle name="Normalny 45 4" xfId="2128" xr:uid="{00000000-0005-0000-0000-00002B070000}"/>
    <cellStyle name="Normalny 45 4 2" xfId="2504" xr:uid="{00000000-0005-0000-0000-00002C070000}"/>
    <cellStyle name="Normalny 45 5" xfId="2319" xr:uid="{00000000-0005-0000-0000-00002D070000}"/>
    <cellStyle name="Normalny 46" xfId="1564" xr:uid="{00000000-0005-0000-0000-00002E070000}"/>
    <cellStyle name="Normalny 46 2" xfId="1565" xr:uid="{00000000-0005-0000-0000-00002F070000}"/>
    <cellStyle name="Normalny 46 2 2" xfId="1566" xr:uid="{00000000-0005-0000-0000-000030070000}"/>
    <cellStyle name="Normalny 46 2 2 2" xfId="2134" xr:uid="{00000000-0005-0000-0000-000031070000}"/>
    <cellStyle name="Normalny 46 2 2 2 2" xfId="2510" xr:uid="{00000000-0005-0000-0000-000032070000}"/>
    <cellStyle name="Normalny 46 2 2 3" xfId="2325" xr:uid="{00000000-0005-0000-0000-000033070000}"/>
    <cellStyle name="Normalny 46 2 3" xfId="2133" xr:uid="{00000000-0005-0000-0000-000034070000}"/>
    <cellStyle name="Normalny 46 2 3 2" xfId="2509" xr:uid="{00000000-0005-0000-0000-000035070000}"/>
    <cellStyle name="Normalny 46 2 4" xfId="2324" xr:uid="{00000000-0005-0000-0000-000036070000}"/>
    <cellStyle name="Normalny 46 3" xfId="1567" xr:uid="{00000000-0005-0000-0000-000037070000}"/>
    <cellStyle name="Normalny 46 3 2" xfId="2135" xr:uid="{00000000-0005-0000-0000-000038070000}"/>
    <cellStyle name="Normalny 46 3 2 2" xfId="2511" xr:uid="{00000000-0005-0000-0000-000039070000}"/>
    <cellStyle name="Normalny 46 3 3" xfId="2326" xr:uid="{00000000-0005-0000-0000-00003A070000}"/>
    <cellStyle name="Normalny 46 4" xfId="2132" xr:uid="{00000000-0005-0000-0000-00003B070000}"/>
    <cellStyle name="Normalny 46 4 2" xfId="2508" xr:uid="{00000000-0005-0000-0000-00003C070000}"/>
    <cellStyle name="Normalny 46 5" xfId="2323" xr:uid="{00000000-0005-0000-0000-00003D070000}"/>
    <cellStyle name="Normalny 47" xfId="1568" xr:uid="{00000000-0005-0000-0000-00003E070000}"/>
    <cellStyle name="Normalny 47 2" xfId="1569" xr:uid="{00000000-0005-0000-0000-00003F070000}"/>
    <cellStyle name="Normalny 47 2 2" xfId="1570" xr:uid="{00000000-0005-0000-0000-000040070000}"/>
    <cellStyle name="Normalny 47 2 2 2" xfId="2138" xr:uid="{00000000-0005-0000-0000-000041070000}"/>
    <cellStyle name="Normalny 47 2 2 2 2" xfId="2514" xr:uid="{00000000-0005-0000-0000-000042070000}"/>
    <cellStyle name="Normalny 47 2 2 3" xfId="2329" xr:uid="{00000000-0005-0000-0000-000043070000}"/>
    <cellStyle name="Normalny 47 2 3" xfId="2137" xr:uid="{00000000-0005-0000-0000-000044070000}"/>
    <cellStyle name="Normalny 47 2 3 2" xfId="2513" xr:uid="{00000000-0005-0000-0000-000045070000}"/>
    <cellStyle name="Normalny 47 2 4" xfId="2328" xr:uid="{00000000-0005-0000-0000-000046070000}"/>
    <cellStyle name="Normalny 47 3" xfId="1571" xr:uid="{00000000-0005-0000-0000-000047070000}"/>
    <cellStyle name="Normalny 47 3 2" xfId="2139" xr:uid="{00000000-0005-0000-0000-000048070000}"/>
    <cellStyle name="Normalny 47 3 2 2" xfId="2515" xr:uid="{00000000-0005-0000-0000-000049070000}"/>
    <cellStyle name="Normalny 47 3 3" xfId="2330" xr:uid="{00000000-0005-0000-0000-00004A070000}"/>
    <cellStyle name="Normalny 47 4" xfId="2136" xr:uid="{00000000-0005-0000-0000-00004B070000}"/>
    <cellStyle name="Normalny 47 4 2" xfId="2512" xr:uid="{00000000-0005-0000-0000-00004C070000}"/>
    <cellStyle name="Normalny 47 5" xfId="2327" xr:uid="{00000000-0005-0000-0000-00004D070000}"/>
    <cellStyle name="Normalny 48" xfId="1572" xr:uid="{00000000-0005-0000-0000-00004E070000}"/>
    <cellStyle name="Normalny 48 2" xfId="1573" xr:uid="{00000000-0005-0000-0000-00004F070000}"/>
    <cellStyle name="Normalny 48 2 2" xfId="1574" xr:uid="{00000000-0005-0000-0000-000050070000}"/>
    <cellStyle name="Normalny 48 2 2 2" xfId="2142" xr:uid="{00000000-0005-0000-0000-000051070000}"/>
    <cellStyle name="Normalny 48 2 2 2 2" xfId="2518" xr:uid="{00000000-0005-0000-0000-000052070000}"/>
    <cellStyle name="Normalny 48 2 2 3" xfId="2333" xr:uid="{00000000-0005-0000-0000-000053070000}"/>
    <cellStyle name="Normalny 48 2 3" xfId="2141" xr:uid="{00000000-0005-0000-0000-000054070000}"/>
    <cellStyle name="Normalny 48 2 3 2" xfId="2517" xr:uid="{00000000-0005-0000-0000-000055070000}"/>
    <cellStyle name="Normalny 48 2 4" xfId="2332" xr:uid="{00000000-0005-0000-0000-000056070000}"/>
    <cellStyle name="Normalny 48 3" xfId="1575" xr:uid="{00000000-0005-0000-0000-000057070000}"/>
    <cellStyle name="Normalny 48 3 2" xfId="2143" xr:uid="{00000000-0005-0000-0000-000058070000}"/>
    <cellStyle name="Normalny 48 3 2 2" xfId="2519" xr:uid="{00000000-0005-0000-0000-000059070000}"/>
    <cellStyle name="Normalny 48 3 3" xfId="2334" xr:uid="{00000000-0005-0000-0000-00005A070000}"/>
    <cellStyle name="Normalny 48 4" xfId="2140" xr:uid="{00000000-0005-0000-0000-00005B070000}"/>
    <cellStyle name="Normalny 48 4 2" xfId="2516" xr:uid="{00000000-0005-0000-0000-00005C070000}"/>
    <cellStyle name="Normalny 48 5" xfId="2331" xr:uid="{00000000-0005-0000-0000-00005D070000}"/>
    <cellStyle name="Normalny 49" xfId="1576" xr:uid="{00000000-0005-0000-0000-00005E070000}"/>
    <cellStyle name="Normalny 49 2" xfId="1577" xr:uid="{00000000-0005-0000-0000-00005F070000}"/>
    <cellStyle name="Normalny 49 2 2" xfId="1578" xr:uid="{00000000-0005-0000-0000-000060070000}"/>
    <cellStyle name="Normalny 49 2 2 2" xfId="2146" xr:uid="{00000000-0005-0000-0000-000061070000}"/>
    <cellStyle name="Normalny 49 2 2 2 2" xfId="2522" xr:uid="{00000000-0005-0000-0000-000062070000}"/>
    <cellStyle name="Normalny 49 2 2 3" xfId="2337" xr:uid="{00000000-0005-0000-0000-000063070000}"/>
    <cellStyle name="Normalny 49 2 3" xfId="2145" xr:uid="{00000000-0005-0000-0000-000064070000}"/>
    <cellStyle name="Normalny 49 2 3 2" xfId="2521" xr:uid="{00000000-0005-0000-0000-000065070000}"/>
    <cellStyle name="Normalny 49 2 4" xfId="2336" xr:uid="{00000000-0005-0000-0000-000066070000}"/>
    <cellStyle name="Normalny 49 3" xfId="1579" xr:uid="{00000000-0005-0000-0000-000067070000}"/>
    <cellStyle name="Normalny 49 3 2" xfId="2147" xr:uid="{00000000-0005-0000-0000-000068070000}"/>
    <cellStyle name="Normalny 49 3 2 2" xfId="2523" xr:uid="{00000000-0005-0000-0000-000069070000}"/>
    <cellStyle name="Normalny 49 3 3" xfId="2338" xr:uid="{00000000-0005-0000-0000-00006A070000}"/>
    <cellStyle name="Normalny 49 4" xfId="2144" xr:uid="{00000000-0005-0000-0000-00006B070000}"/>
    <cellStyle name="Normalny 49 4 2" xfId="2520" xr:uid="{00000000-0005-0000-0000-00006C070000}"/>
    <cellStyle name="Normalny 49 5" xfId="2335" xr:uid="{00000000-0005-0000-0000-00006D070000}"/>
    <cellStyle name="Normalny 5" xfId="1580" xr:uid="{00000000-0005-0000-0000-00006E070000}"/>
    <cellStyle name="Normalny 5 2" xfId="1581" xr:uid="{00000000-0005-0000-0000-00006F070000}"/>
    <cellStyle name="Normalny 5 2 2" xfId="2148" xr:uid="{00000000-0005-0000-0000-000070070000}"/>
    <cellStyle name="Normalny 5 2 2 2" xfId="2524" xr:uid="{00000000-0005-0000-0000-000071070000}"/>
    <cellStyle name="Normalny 5 2 3" xfId="2339" xr:uid="{00000000-0005-0000-0000-000072070000}"/>
    <cellStyle name="Normalny 50" xfId="1582" xr:uid="{00000000-0005-0000-0000-000073070000}"/>
    <cellStyle name="Normalny 50 2" xfId="1583" xr:uid="{00000000-0005-0000-0000-000074070000}"/>
    <cellStyle name="Normalny 50 2 2" xfId="1584" xr:uid="{00000000-0005-0000-0000-000075070000}"/>
    <cellStyle name="Normalny 50 2 2 2" xfId="2151" xr:uid="{00000000-0005-0000-0000-000076070000}"/>
    <cellStyle name="Normalny 50 2 2 2 2" xfId="2527" xr:uid="{00000000-0005-0000-0000-000077070000}"/>
    <cellStyle name="Normalny 50 2 2 3" xfId="2342" xr:uid="{00000000-0005-0000-0000-000078070000}"/>
    <cellStyle name="Normalny 50 2 3" xfId="2150" xr:uid="{00000000-0005-0000-0000-000079070000}"/>
    <cellStyle name="Normalny 50 2 3 2" xfId="2526" xr:uid="{00000000-0005-0000-0000-00007A070000}"/>
    <cellStyle name="Normalny 50 2 4" xfId="2341" xr:uid="{00000000-0005-0000-0000-00007B070000}"/>
    <cellStyle name="Normalny 50 3" xfId="1585" xr:uid="{00000000-0005-0000-0000-00007C070000}"/>
    <cellStyle name="Normalny 50 3 2" xfId="2152" xr:uid="{00000000-0005-0000-0000-00007D070000}"/>
    <cellStyle name="Normalny 50 3 2 2" xfId="2528" xr:uid="{00000000-0005-0000-0000-00007E070000}"/>
    <cellStyle name="Normalny 50 3 3" xfId="2343" xr:uid="{00000000-0005-0000-0000-00007F070000}"/>
    <cellStyle name="Normalny 50 4" xfId="2149" xr:uid="{00000000-0005-0000-0000-000080070000}"/>
    <cellStyle name="Normalny 50 4 2" xfId="2525" xr:uid="{00000000-0005-0000-0000-000081070000}"/>
    <cellStyle name="Normalny 50 5" xfId="2340" xr:uid="{00000000-0005-0000-0000-000082070000}"/>
    <cellStyle name="Normalny 51" xfId="1586" xr:uid="{00000000-0005-0000-0000-000083070000}"/>
    <cellStyle name="Normalny 51 2" xfId="1587" xr:uid="{00000000-0005-0000-0000-000084070000}"/>
    <cellStyle name="Normalny 51 2 2" xfId="1588" xr:uid="{00000000-0005-0000-0000-000085070000}"/>
    <cellStyle name="Normalny 51 2 2 2" xfId="2155" xr:uid="{00000000-0005-0000-0000-000086070000}"/>
    <cellStyle name="Normalny 51 2 2 2 2" xfId="2531" xr:uid="{00000000-0005-0000-0000-000087070000}"/>
    <cellStyle name="Normalny 51 2 2 3" xfId="2346" xr:uid="{00000000-0005-0000-0000-000088070000}"/>
    <cellStyle name="Normalny 51 2 3" xfId="2154" xr:uid="{00000000-0005-0000-0000-000089070000}"/>
    <cellStyle name="Normalny 51 2 3 2" xfId="2530" xr:uid="{00000000-0005-0000-0000-00008A070000}"/>
    <cellStyle name="Normalny 51 2 4" xfId="2345" xr:uid="{00000000-0005-0000-0000-00008B070000}"/>
    <cellStyle name="Normalny 51 3" xfId="1589" xr:uid="{00000000-0005-0000-0000-00008C070000}"/>
    <cellStyle name="Normalny 51 3 2" xfId="2156" xr:uid="{00000000-0005-0000-0000-00008D070000}"/>
    <cellStyle name="Normalny 51 3 2 2" xfId="2532" xr:uid="{00000000-0005-0000-0000-00008E070000}"/>
    <cellStyle name="Normalny 51 3 3" xfId="2347" xr:uid="{00000000-0005-0000-0000-00008F070000}"/>
    <cellStyle name="Normalny 51 4" xfId="2153" xr:uid="{00000000-0005-0000-0000-000090070000}"/>
    <cellStyle name="Normalny 51 4 2" xfId="2529" xr:uid="{00000000-0005-0000-0000-000091070000}"/>
    <cellStyle name="Normalny 51 5" xfId="2344" xr:uid="{00000000-0005-0000-0000-000092070000}"/>
    <cellStyle name="Normalny 52" xfId="1590" xr:uid="{00000000-0005-0000-0000-000093070000}"/>
    <cellStyle name="Normalny 52 2" xfId="1591" xr:uid="{00000000-0005-0000-0000-000094070000}"/>
    <cellStyle name="Normalny 52 2 2" xfId="1592" xr:uid="{00000000-0005-0000-0000-000095070000}"/>
    <cellStyle name="Normalny 52 2 2 2" xfId="2159" xr:uid="{00000000-0005-0000-0000-000096070000}"/>
    <cellStyle name="Normalny 52 2 2 2 2" xfId="2535" xr:uid="{00000000-0005-0000-0000-000097070000}"/>
    <cellStyle name="Normalny 52 2 2 3" xfId="2350" xr:uid="{00000000-0005-0000-0000-000098070000}"/>
    <cellStyle name="Normalny 52 2 3" xfId="2158" xr:uid="{00000000-0005-0000-0000-000099070000}"/>
    <cellStyle name="Normalny 52 2 3 2" xfId="2534" xr:uid="{00000000-0005-0000-0000-00009A070000}"/>
    <cellStyle name="Normalny 52 2 4" xfId="2349" xr:uid="{00000000-0005-0000-0000-00009B070000}"/>
    <cellStyle name="Normalny 52 3" xfId="1593" xr:uid="{00000000-0005-0000-0000-00009C070000}"/>
    <cellStyle name="Normalny 52 3 2" xfId="2160" xr:uid="{00000000-0005-0000-0000-00009D070000}"/>
    <cellStyle name="Normalny 52 3 2 2" xfId="2536" xr:uid="{00000000-0005-0000-0000-00009E070000}"/>
    <cellStyle name="Normalny 52 3 3" xfId="2351" xr:uid="{00000000-0005-0000-0000-00009F070000}"/>
    <cellStyle name="Normalny 52 4" xfId="2157" xr:uid="{00000000-0005-0000-0000-0000A0070000}"/>
    <cellStyle name="Normalny 52 4 2" xfId="2533" xr:uid="{00000000-0005-0000-0000-0000A1070000}"/>
    <cellStyle name="Normalny 52 5" xfId="2348" xr:uid="{00000000-0005-0000-0000-0000A2070000}"/>
    <cellStyle name="Normalny 53" xfId="1594" xr:uid="{00000000-0005-0000-0000-0000A3070000}"/>
    <cellStyle name="Normalny 53 2" xfId="1595" xr:uid="{00000000-0005-0000-0000-0000A4070000}"/>
    <cellStyle name="Normalny 53 2 2" xfId="1596" xr:uid="{00000000-0005-0000-0000-0000A5070000}"/>
    <cellStyle name="Normalny 53 2 2 2" xfId="2163" xr:uid="{00000000-0005-0000-0000-0000A6070000}"/>
    <cellStyle name="Normalny 53 2 2 2 2" xfId="2539" xr:uid="{00000000-0005-0000-0000-0000A7070000}"/>
    <cellStyle name="Normalny 53 2 2 3" xfId="2354" xr:uid="{00000000-0005-0000-0000-0000A8070000}"/>
    <cellStyle name="Normalny 53 2 3" xfId="2162" xr:uid="{00000000-0005-0000-0000-0000A9070000}"/>
    <cellStyle name="Normalny 53 2 3 2" xfId="2538" xr:uid="{00000000-0005-0000-0000-0000AA070000}"/>
    <cellStyle name="Normalny 53 2 4" xfId="2353" xr:uid="{00000000-0005-0000-0000-0000AB070000}"/>
    <cellStyle name="Normalny 53 3" xfId="1597" xr:uid="{00000000-0005-0000-0000-0000AC070000}"/>
    <cellStyle name="Normalny 53 3 2" xfId="2164" xr:uid="{00000000-0005-0000-0000-0000AD070000}"/>
    <cellStyle name="Normalny 53 3 2 2" xfId="2540" xr:uid="{00000000-0005-0000-0000-0000AE070000}"/>
    <cellStyle name="Normalny 53 3 3" xfId="2355" xr:uid="{00000000-0005-0000-0000-0000AF070000}"/>
    <cellStyle name="Normalny 53 4" xfId="2161" xr:uid="{00000000-0005-0000-0000-0000B0070000}"/>
    <cellStyle name="Normalny 53 4 2" xfId="2537" xr:uid="{00000000-0005-0000-0000-0000B1070000}"/>
    <cellStyle name="Normalny 53 5" xfId="2352" xr:uid="{00000000-0005-0000-0000-0000B2070000}"/>
    <cellStyle name="Normalny 54" xfId="1598" xr:uid="{00000000-0005-0000-0000-0000B3070000}"/>
    <cellStyle name="Normalny 54 2" xfId="1599" xr:uid="{00000000-0005-0000-0000-0000B4070000}"/>
    <cellStyle name="Normalny 54 2 2" xfId="1600" xr:uid="{00000000-0005-0000-0000-0000B5070000}"/>
    <cellStyle name="Normalny 54 2 2 2" xfId="2166" xr:uid="{00000000-0005-0000-0000-0000B6070000}"/>
    <cellStyle name="Normalny 54 2 2 2 2" xfId="2542" xr:uid="{00000000-0005-0000-0000-0000B7070000}"/>
    <cellStyle name="Normalny 54 2 2 3" xfId="2357" xr:uid="{00000000-0005-0000-0000-0000B8070000}"/>
    <cellStyle name="Normalny 54 2 3" xfId="2165" xr:uid="{00000000-0005-0000-0000-0000B9070000}"/>
    <cellStyle name="Normalny 54 2 3 2" xfId="2541" xr:uid="{00000000-0005-0000-0000-0000BA070000}"/>
    <cellStyle name="Normalny 54 2 4" xfId="2356" xr:uid="{00000000-0005-0000-0000-0000BB070000}"/>
    <cellStyle name="Normalny 55" xfId="1601" xr:uid="{00000000-0005-0000-0000-0000BC070000}"/>
    <cellStyle name="Normalny 55 2" xfId="1602" xr:uid="{00000000-0005-0000-0000-0000BD070000}"/>
    <cellStyle name="Normalny 55 2 2" xfId="1603" xr:uid="{00000000-0005-0000-0000-0000BE070000}"/>
    <cellStyle name="Normalny 55 2 2 2" xfId="2168" xr:uid="{00000000-0005-0000-0000-0000BF070000}"/>
    <cellStyle name="Normalny 55 2 2 2 2" xfId="2544" xr:uid="{00000000-0005-0000-0000-0000C0070000}"/>
    <cellStyle name="Normalny 55 2 2 3" xfId="2359" xr:uid="{00000000-0005-0000-0000-0000C1070000}"/>
    <cellStyle name="Normalny 55 2 3" xfId="2167" xr:uid="{00000000-0005-0000-0000-0000C2070000}"/>
    <cellStyle name="Normalny 55 2 3 2" xfId="2543" xr:uid="{00000000-0005-0000-0000-0000C3070000}"/>
    <cellStyle name="Normalny 55 2 4" xfId="2358" xr:uid="{00000000-0005-0000-0000-0000C4070000}"/>
    <cellStyle name="Normalny 56" xfId="1604" xr:uid="{00000000-0005-0000-0000-0000C5070000}"/>
    <cellStyle name="Normalny 56 2" xfId="1605" xr:uid="{00000000-0005-0000-0000-0000C6070000}"/>
    <cellStyle name="Normalny 56 2 2" xfId="1606" xr:uid="{00000000-0005-0000-0000-0000C7070000}"/>
    <cellStyle name="Normalny 56 2 2 2" xfId="2170" xr:uid="{00000000-0005-0000-0000-0000C8070000}"/>
    <cellStyle name="Normalny 56 2 2 2 2" xfId="2546" xr:uid="{00000000-0005-0000-0000-0000C9070000}"/>
    <cellStyle name="Normalny 56 2 2 3" xfId="2361" xr:uid="{00000000-0005-0000-0000-0000CA070000}"/>
    <cellStyle name="Normalny 56 2 3" xfId="2169" xr:uid="{00000000-0005-0000-0000-0000CB070000}"/>
    <cellStyle name="Normalny 56 2 3 2" xfId="2545" xr:uid="{00000000-0005-0000-0000-0000CC070000}"/>
    <cellStyle name="Normalny 56 2 4" xfId="2360" xr:uid="{00000000-0005-0000-0000-0000CD070000}"/>
    <cellStyle name="Normalny 57" xfId="1607" xr:uid="{00000000-0005-0000-0000-0000CE070000}"/>
    <cellStyle name="Normalny 57 2" xfId="1608" xr:uid="{00000000-0005-0000-0000-0000CF070000}"/>
    <cellStyle name="Normalny 57 2 2" xfId="1609" xr:uid="{00000000-0005-0000-0000-0000D0070000}"/>
    <cellStyle name="Normalny 57 2 2 2" xfId="2173" xr:uid="{00000000-0005-0000-0000-0000D1070000}"/>
    <cellStyle name="Normalny 57 2 2 2 2" xfId="2549" xr:uid="{00000000-0005-0000-0000-0000D2070000}"/>
    <cellStyle name="Normalny 57 2 2 3" xfId="2364" xr:uid="{00000000-0005-0000-0000-0000D3070000}"/>
    <cellStyle name="Normalny 57 2 3" xfId="2172" xr:uid="{00000000-0005-0000-0000-0000D4070000}"/>
    <cellStyle name="Normalny 57 2 3 2" xfId="2548" xr:uid="{00000000-0005-0000-0000-0000D5070000}"/>
    <cellStyle name="Normalny 57 2 4" xfId="2363" xr:uid="{00000000-0005-0000-0000-0000D6070000}"/>
    <cellStyle name="Normalny 57 3" xfId="1610" xr:uid="{00000000-0005-0000-0000-0000D7070000}"/>
    <cellStyle name="Normalny 57 3 2" xfId="2174" xr:uid="{00000000-0005-0000-0000-0000D8070000}"/>
    <cellStyle name="Normalny 57 3 2 2" xfId="2550" xr:uid="{00000000-0005-0000-0000-0000D9070000}"/>
    <cellStyle name="Normalny 57 3 3" xfId="2365" xr:uid="{00000000-0005-0000-0000-0000DA070000}"/>
    <cellStyle name="Normalny 57 4" xfId="2171" xr:uid="{00000000-0005-0000-0000-0000DB070000}"/>
    <cellStyle name="Normalny 57 4 2" xfId="2547" xr:uid="{00000000-0005-0000-0000-0000DC070000}"/>
    <cellStyle name="Normalny 57 5" xfId="2362" xr:uid="{00000000-0005-0000-0000-0000DD070000}"/>
    <cellStyle name="Normalny 58" xfId="1611" xr:uid="{00000000-0005-0000-0000-0000DE070000}"/>
    <cellStyle name="Normalny 58 2" xfId="1612" xr:uid="{00000000-0005-0000-0000-0000DF070000}"/>
    <cellStyle name="Normalny 58 2 2" xfId="1613" xr:uid="{00000000-0005-0000-0000-0000E0070000}"/>
    <cellStyle name="Normalny 58 2 2 2" xfId="2177" xr:uid="{00000000-0005-0000-0000-0000E1070000}"/>
    <cellStyle name="Normalny 58 2 2 2 2" xfId="2553" xr:uid="{00000000-0005-0000-0000-0000E2070000}"/>
    <cellStyle name="Normalny 58 2 2 3" xfId="2368" xr:uid="{00000000-0005-0000-0000-0000E3070000}"/>
    <cellStyle name="Normalny 58 2 3" xfId="2176" xr:uid="{00000000-0005-0000-0000-0000E4070000}"/>
    <cellStyle name="Normalny 58 2 3 2" xfId="2552" xr:uid="{00000000-0005-0000-0000-0000E5070000}"/>
    <cellStyle name="Normalny 58 2 4" xfId="2367" xr:uid="{00000000-0005-0000-0000-0000E6070000}"/>
    <cellStyle name="Normalny 58 3" xfId="1614" xr:uid="{00000000-0005-0000-0000-0000E7070000}"/>
    <cellStyle name="Normalny 58 3 2" xfId="2178" xr:uid="{00000000-0005-0000-0000-0000E8070000}"/>
    <cellStyle name="Normalny 58 3 2 2" xfId="2554" xr:uid="{00000000-0005-0000-0000-0000E9070000}"/>
    <cellStyle name="Normalny 58 3 3" xfId="2369" xr:uid="{00000000-0005-0000-0000-0000EA070000}"/>
    <cellStyle name="Normalny 58 4" xfId="2175" xr:uid="{00000000-0005-0000-0000-0000EB070000}"/>
    <cellStyle name="Normalny 58 4 2" xfId="2551" xr:uid="{00000000-0005-0000-0000-0000EC070000}"/>
    <cellStyle name="Normalny 58 5" xfId="2366" xr:uid="{00000000-0005-0000-0000-0000ED070000}"/>
    <cellStyle name="Normalny 59" xfId="1615" xr:uid="{00000000-0005-0000-0000-0000EE070000}"/>
    <cellStyle name="Normalny 59 2" xfId="1616" xr:uid="{00000000-0005-0000-0000-0000EF070000}"/>
    <cellStyle name="Normalny 59 2 2" xfId="1617" xr:uid="{00000000-0005-0000-0000-0000F0070000}"/>
    <cellStyle name="Normalny 59 2 2 2" xfId="2181" xr:uid="{00000000-0005-0000-0000-0000F1070000}"/>
    <cellStyle name="Normalny 59 2 2 2 2" xfId="2557" xr:uid="{00000000-0005-0000-0000-0000F2070000}"/>
    <cellStyle name="Normalny 59 2 2 3" xfId="2372" xr:uid="{00000000-0005-0000-0000-0000F3070000}"/>
    <cellStyle name="Normalny 59 2 3" xfId="2180" xr:uid="{00000000-0005-0000-0000-0000F4070000}"/>
    <cellStyle name="Normalny 59 2 3 2" xfId="2556" xr:uid="{00000000-0005-0000-0000-0000F5070000}"/>
    <cellStyle name="Normalny 59 2 4" xfId="2371" xr:uid="{00000000-0005-0000-0000-0000F6070000}"/>
    <cellStyle name="Normalny 59 3" xfId="1618" xr:uid="{00000000-0005-0000-0000-0000F7070000}"/>
    <cellStyle name="Normalny 59 3 2" xfId="2182" xr:uid="{00000000-0005-0000-0000-0000F8070000}"/>
    <cellStyle name="Normalny 59 3 2 2" xfId="2558" xr:uid="{00000000-0005-0000-0000-0000F9070000}"/>
    <cellStyle name="Normalny 59 3 3" xfId="2373" xr:uid="{00000000-0005-0000-0000-0000FA070000}"/>
    <cellStyle name="Normalny 59 4" xfId="2179" xr:uid="{00000000-0005-0000-0000-0000FB070000}"/>
    <cellStyle name="Normalny 59 4 2" xfId="2555" xr:uid="{00000000-0005-0000-0000-0000FC070000}"/>
    <cellStyle name="Normalny 59 5" xfId="2370" xr:uid="{00000000-0005-0000-0000-0000FD070000}"/>
    <cellStyle name="Normalny 6" xfId="1619" xr:uid="{00000000-0005-0000-0000-0000FE070000}"/>
    <cellStyle name="Normalny 6 2" xfId="1620" xr:uid="{00000000-0005-0000-0000-0000FF070000}"/>
    <cellStyle name="Normalny 6 2 2" xfId="1621" xr:uid="{00000000-0005-0000-0000-000000080000}"/>
    <cellStyle name="Normalny 6 2 2 2" xfId="2185" xr:uid="{00000000-0005-0000-0000-000001080000}"/>
    <cellStyle name="Normalny 6 2 2 2 2" xfId="2561" xr:uid="{00000000-0005-0000-0000-000002080000}"/>
    <cellStyle name="Normalny 6 2 2 3" xfId="2376" xr:uid="{00000000-0005-0000-0000-000003080000}"/>
    <cellStyle name="Normalny 6 2 3" xfId="2184" xr:uid="{00000000-0005-0000-0000-000004080000}"/>
    <cellStyle name="Normalny 6 2 3 2" xfId="2560" xr:uid="{00000000-0005-0000-0000-000005080000}"/>
    <cellStyle name="Normalny 6 2 4" xfId="2375" xr:uid="{00000000-0005-0000-0000-000006080000}"/>
    <cellStyle name="Normalny 6 3" xfId="1622" xr:uid="{00000000-0005-0000-0000-000007080000}"/>
    <cellStyle name="Normalny 6 3 2" xfId="1623" xr:uid="{00000000-0005-0000-0000-000008080000}"/>
    <cellStyle name="Normalny 6 3 2 2" xfId="2187" xr:uid="{00000000-0005-0000-0000-000009080000}"/>
    <cellStyle name="Normalny 6 3 2 2 2" xfId="2563" xr:uid="{00000000-0005-0000-0000-00000A080000}"/>
    <cellStyle name="Normalny 6 3 2 3" xfId="2378" xr:uid="{00000000-0005-0000-0000-00000B080000}"/>
    <cellStyle name="Normalny 6 3 3" xfId="2186" xr:uid="{00000000-0005-0000-0000-00000C080000}"/>
    <cellStyle name="Normalny 6 3 3 2" xfId="2562" xr:uid="{00000000-0005-0000-0000-00000D080000}"/>
    <cellStyle name="Normalny 6 3 4" xfId="2377" xr:uid="{00000000-0005-0000-0000-00000E080000}"/>
    <cellStyle name="Normalny 6 4" xfId="1624" xr:uid="{00000000-0005-0000-0000-00000F080000}"/>
    <cellStyle name="Normalny 6 4 2" xfId="2188" xr:uid="{00000000-0005-0000-0000-000010080000}"/>
    <cellStyle name="Normalny 6 4 2 2" xfId="2564" xr:uid="{00000000-0005-0000-0000-000011080000}"/>
    <cellStyle name="Normalny 6 4 3" xfId="2379" xr:uid="{00000000-0005-0000-0000-000012080000}"/>
    <cellStyle name="Normalny 6 5" xfId="1625" xr:uid="{00000000-0005-0000-0000-000013080000}"/>
    <cellStyle name="Normalny 6 6" xfId="2183" xr:uid="{00000000-0005-0000-0000-000014080000}"/>
    <cellStyle name="Normalny 6 6 2" xfId="2559" xr:uid="{00000000-0005-0000-0000-000015080000}"/>
    <cellStyle name="Normalny 6 7" xfId="2374" xr:uid="{00000000-0005-0000-0000-000016080000}"/>
    <cellStyle name="Normalny 60" xfId="1626" xr:uid="{00000000-0005-0000-0000-000017080000}"/>
    <cellStyle name="Normalny 60 2" xfId="1627" xr:uid="{00000000-0005-0000-0000-000018080000}"/>
    <cellStyle name="Normalny 60 2 2" xfId="1628" xr:uid="{00000000-0005-0000-0000-000019080000}"/>
    <cellStyle name="Normalny 60 2 2 2" xfId="2191" xr:uid="{00000000-0005-0000-0000-00001A080000}"/>
    <cellStyle name="Normalny 60 2 2 2 2" xfId="2567" xr:uid="{00000000-0005-0000-0000-00001B080000}"/>
    <cellStyle name="Normalny 60 2 2 3" xfId="2382" xr:uid="{00000000-0005-0000-0000-00001C080000}"/>
    <cellStyle name="Normalny 60 2 3" xfId="2190" xr:uid="{00000000-0005-0000-0000-00001D080000}"/>
    <cellStyle name="Normalny 60 2 3 2" xfId="2566" xr:uid="{00000000-0005-0000-0000-00001E080000}"/>
    <cellStyle name="Normalny 60 2 4" xfId="2381" xr:uid="{00000000-0005-0000-0000-00001F080000}"/>
    <cellStyle name="Normalny 60 3" xfId="1629" xr:uid="{00000000-0005-0000-0000-000020080000}"/>
    <cellStyle name="Normalny 60 3 2" xfId="2192" xr:uid="{00000000-0005-0000-0000-000021080000}"/>
    <cellStyle name="Normalny 60 3 2 2" xfId="2568" xr:uid="{00000000-0005-0000-0000-000022080000}"/>
    <cellStyle name="Normalny 60 3 3" xfId="2383" xr:uid="{00000000-0005-0000-0000-000023080000}"/>
    <cellStyle name="Normalny 60 4" xfId="2189" xr:uid="{00000000-0005-0000-0000-000024080000}"/>
    <cellStyle name="Normalny 60 4 2" xfId="2565" xr:uid="{00000000-0005-0000-0000-000025080000}"/>
    <cellStyle name="Normalny 60 5" xfId="2380" xr:uid="{00000000-0005-0000-0000-000026080000}"/>
    <cellStyle name="Normalny 61" xfId="1630" xr:uid="{00000000-0005-0000-0000-000027080000}"/>
    <cellStyle name="Normalny 61 2" xfId="1631" xr:uid="{00000000-0005-0000-0000-000028080000}"/>
    <cellStyle name="Normalny 61 2 2" xfId="2194" xr:uid="{00000000-0005-0000-0000-000029080000}"/>
    <cellStyle name="Normalny 61 2 2 2" xfId="2570" xr:uid="{00000000-0005-0000-0000-00002A080000}"/>
    <cellStyle name="Normalny 61 2 3" xfId="2385" xr:uid="{00000000-0005-0000-0000-00002B080000}"/>
    <cellStyle name="Normalny 61 3" xfId="2193" xr:uid="{00000000-0005-0000-0000-00002C080000}"/>
    <cellStyle name="Normalny 61 3 2" xfId="2569" xr:uid="{00000000-0005-0000-0000-00002D080000}"/>
    <cellStyle name="Normalny 61 4" xfId="2384" xr:uid="{00000000-0005-0000-0000-00002E080000}"/>
    <cellStyle name="Normalny 62" xfId="1632" xr:uid="{00000000-0005-0000-0000-00002F080000}"/>
    <cellStyle name="Normalny 62 2" xfId="1633" xr:uid="{00000000-0005-0000-0000-000030080000}"/>
    <cellStyle name="Normalny 62 2 2" xfId="2196" xr:uid="{00000000-0005-0000-0000-000031080000}"/>
    <cellStyle name="Normalny 62 2 2 2" xfId="2572" xr:uid="{00000000-0005-0000-0000-000032080000}"/>
    <cellStyle name="Normalny 62 2 3" xfId="2387" xr:uid="{00000000-0005-0000-0000-000033080000}"/>
    <cellStyle name="Normalny 62 3" xfId="2195" xr:uid="{00000000-0005-0000-0000-000034080000}"/>
    <cellStyle name="Normalny 62 3 2" xfId="2571" xr:uid="{00000000-0005-0000-0000-000035080000}"/>
    <cellStyle name="Normalny 62 4" xfId="2386" xr:uid="{00000000-0005-0000-0000-000036080000}"/>
    <cellStyle name="Normalny 63" xfId="1634" xr:uid="{00000000-0005-0000-0000-000037080000}"/>
    <cellStyle name="Normalny 63 2" xfId="1635" xr:uid="{00000000-0005-0000-0000-000038080000}"/>
    <cellStyle name="Normalny 63 2 2" xfId="2198" xr:uid="{00000000-0005-0000-0000-000039080000}"/>
    <cellStyle name="Normalny 63 2 2 2" xfId="2574" xr:uid="{00000000-0005-0000-0000-00003A080000}"/>
    <cellStyle name="Normalny 63 2 3" xfId="2389" xr:uid="{00000000-0005-0000-0000-00003B080000}"/>
    <cellStyle name="Normalny 63 3" xfId="2197" xr:uid="{00000000-0005-0000-0000-00003C080000}"/>
    <cellStyle name="Normalny 63 3 2" xfId="2573" xr:uid="{00000000-0005-0000-0000-00003D080000}"/>
    <cellStyle name="Normalny 63 4" xfId="2388" xr:uid="{00000000-0005-0000-0000-00003E080000}"/>
    <cellStyle name="Normalny 64" xfId="1636" xr:uid="{00000000-0005-0000-0000-00003F080000}"/>
    <cellStyle name="Normalny 65" xfId="1637" xr:uid="{00000000-0005-0000-0000-000040080000}"/>
    <cellStyle name="Normalny 65 2" xfId="1638" xr:uid="{00000000-0005-0000-0000-000041080000}"/>
    <cellStyle name="Normalny 65 2 2" xfId="2200" xr:uid="{00000000-0005-0000-0000-000042080000}"/>
    <cellStyle name="Normalny 65 2 2 2" xfId="2576" xr:uid="{00000000-0005-0000-0000-000043080000}"/>
    <cellStyle name="Normalny 65 2 3" xfId="2391" xr:uid="{00000000-0005-0000-0000-000044080000}"/>
    <cellStyle name="Normalny 65 3" xfId="2199" xr:uid="{00000000-0005-0000-0000-000045080000}"/>
    <cellStyle name="Normalny 65 3 2" xfId="2575" xr:uid="{00000000-0005-0000-0000-000046080000}"/>
    <cellStyle name="Normalny 65 4" xfId="2390" xr:uid="{00000000-0005-0000-0000-000047080000}"/>
    <cellStyle name="Normalny 66" xfId="1639" xr:uid="{00000000-0005-0000-0000-000048080000}"/>
    <cellStyle name="Normalny 66 2" xfId="1640" xr:uid="{00000000-0005-0000-0000-000049080000}"/>
    <cellStyle name="Normalny 66 2 2" xfId="2202" xr:uid="{00000000-0005-0000-0000-00004A080000}"/>
    <cellStyle name="Normalny 66 2 2 2" xfId="2578" xr:uid="{00000000-0005-0000-0000-00004B080000}"/>
    <cellStyle name="Normalny 66 2 3" xfId="2393" xr:uid="{00000000-0005-0000-0000-00004C080000}"/>
    <cellStyle name="Normalny 66 3" xfId="2201" xr:uid="{00000000-0005-0000-0000-00004D080000}"/>
    <cellStyle name="Normalny 66 3 2" xfId="2577" xr:uid="{00000000-0005-0000-0000-00004E080000}"/>
    <cellStyle name="Normalny 66 4" xfId="2392" xr:uid="{00000000-0005-0000-0000-00004F080000}"/>
    <cellStyle name="Normalny 67" xfId="1641" xr:uid="{00000000-0005-0000-0000-000050080000}"/>
    <cellStyle name="Normalny 67 2" xfId="1642" xr:uid="{00000000-0005-0000-0000-000051080000}"/>
    <cellStyle name="Normalny 67 2 2" xfId="2204" xr:uid="{00000000-0005-0000-0000-000052080000}"/>
    <cellStyle name="Normalny 67 2 2 2" xfId="2580" xr:uid="{00000000-0005-0000-0000-000053080000}"/>
    <cellStyle name="Normalny 67 2 3" xfId="2395" xr:uid="{00000000-0005-0000-0000-000054080000}"/>
    <cellStyle name="Normalny 67 3" xfId="2203" xr:uid="{00000000-0005-0000-0000-000055080000}"/>
    <cellStyle name="Normalny 67 3 2" xfId="2579" xr:uid="{00000000-0005-0000-0000-000056080000}"/>
    <cellStyle name="Normalny 67 4" xfId="2394" xr:uid="{00000000-0005-0000-0000-000057080000}"/>
    <cellStyle name="Normalny 68" xfId="1643" xr:uid="{00000000-0005-0000-0000-000058080000}"/>
    <cellStyle name="Normalny 68 2" xfId="1644" xr:uid="{00000000-0005-0000-0000-000059080000}"/>
    <cellStyle name="Normalny 68 2 2" xfId="2206" xr:uid="{00000000-0005-0000-0000-00005A080000}"/>
    <cellStyle name="Normalny 68 2 2 2" xfId="2582" xr:uid="{00000000-0005-0000-0000-00005B080000}"/>
    <cellStyle name="Normalny 68 2 3" xfId="2397" xr:uid="{00000000-0005-0000-0000-00005C080000}"/>
    <cellStyle name="Normalny 68 3" xfId="2205" xr:uid="{00000000-0005-0000-0000-00005D080000}"/>
    <cellStyle name="Normalny 68 3 2" xfId="2581" xr:uid="{00000000-0005-0000-0000-00005E080000}"/>
    <cellStyle name="Normalny 68 4" xfId="2396" xr:uid="{00000000-0005-0000-0000-00005F080000}"/>
    <cellStyle name="Normalny 69" xfId="1645" xr:uid="{00000000-0005-0000-0000-000060080000}"/>
    <cellStyle name="Normalny 69 2" xfId="1646" xr:uid="{00000000-0005-0000-0000-000061080000}"/>
    <cellStyle name="Normalny 69 2 2" xfId="2208" xr:uid="{00000000-0005-0000-0000-000062080000}"/>
    <cellStyle name="Normalny 69 2 2 2" xfId="2584" xr:uid="{00000000-0005-0000-0000-000063080000}"/>
    <cellStyle name="Normalny 69 2 3" xfId="2399" xr:uid="{00000000-0005-0000-0000-000064080000}"/>
    <cellStyle name="Normalny 69 3" xfId="2207" xr:uid="{00000000-0005-0000-0000-000065080000}"/>
    <cellStyle name="Normalny 69 3 2" xfId="2583" xr:uid="{00000000-0005-0000-0000-000066080000}"/>
    <cellStyle name="Normalny 69 4" xfId="2398" xr:uid="{00000000-0005-0000-0000-000067080000}"/>
    <cellStyle name="Normalny 7" xfId="1647" xr:uid="{00000000-0005-0000-0000-000068080000}"/>
    <cellStyle name="Normalny 7 10" xfId="1648" xr:uid="{00000000-0005-0000-0000-000069080000}"/>
    <cellStyle name="Normalny 7 2" xfId="1649" xr:uid="{00000000-0005-0000-0000-00006A080000}"/>
    <cellStyle name="Normalny 7 2 2" xfId="1650" xr:uid="{00000000-0005-0000-0000-00006B080000}"/>
    <cellStyle name="Normalny 7 2 2 2" xfId="1651" xr:uid="{00000000-0005-0000-0000-00006C080000}"/>
    <cellStyle name="Normalny 7 2 2 2 2" xfId="1652" xr:uid="{00000000-0005-0000-0000-00006D080000}"/>
    <cellStyle name="Normalny 7 2 2 2 2 2" xfId="1653" xr:uid="{00000000-0005-0000-0000-00006E080000}"/>
    <cellStyle name="Normalny 7 2 2 2 2 2 2" xfId="1654" xr:uid="{00000000-0005-0000-0000-00006F080000}"/>
    <cellStyle name="Normalny 7 2 2 2 2 2 2 2" xfId="1655" xr:uid="{00000000-0005-0000-0000-000070080000}"/>
    <cellStyle name="Normalny 7 2 2 2 2 2 3" xfId="1656" xr:uid="{00000000-0005-0000-0000-000071080000}"/>
    <cellStyle name="Normalny 7 2 2 2 2 2_RPP" xfId="1657" xr:uid="{00000000-0005-0000-0000-000072080000}"/>
    <cellStyle name="Normalny 7 2 2 2 2 3" xfId="1658" xr:uid="{00000000-0005-0000-0000-000073080000}"/>
    <cellStyle name="Normalny 7 2 2 2 2 3 2" xfId="1659" xr:uid="{00000000-0005-0000-0000-000074080000}"/>
    <cellStyle name="Normalny 7 2 2 2 2 4" xfId="1660" xr:uid="{00000000-0005-0000-0000-000075080000}"/>
    <cellStyle name="Normalny 7 2 2 2 2_RPP" xfId="1661" xr:uid="{00000000-0005-0000-0000-000076080000}"/>
    <cellStyle name="Normalny 7 2 2 2 3" xfId="1662" xr:uid="{00000000-0005-0000-0000-000077080000}"/>
    <cellStyle name="Normalny 7 2 2 2 3 2" xfId="1663" xr:uid="{00000000-0005-0000-0000-000078080000}"/>
    <cellStyle name="Normalny 7 2 2 2 3 2 2" xfId="1664" xr:uid="{00000000-0005-0000-0000-000079080000}"/>
    <cellStyle name="Normalny 7 2 2 2 3 3" xfId="1665" xr:uid="{00000000-0005-0000-0000-00007A080000}"/>
    <cellStyle name="Normalny 7 2 2 2 3_RPP" xfId="1666" xr:uid="{00000000-0005-0000-0000-00007B080000}"/>
    <cellStyle name="Normalny 7 2 2 2 4" xfId="1667" xr:uid="{00000000-0005-0000-0000-00007C080000}"/>
    <cellStyle name="Normalny 7 2 2 2 4 2" xfId="1668" xr:uid="{00000000-0005-0000-0000-00007D080000}"/>
    <cellStyle name="Normalny 7 2 2 2 5" xfId="1669" xr:uid="{00000000-0005-0000-0000-00007E080000}"/>
    <cellStyle name="Normalny 7 2 2 2_RPP" xfId="1670" xr:uid="{00000000-0005-0000-0000-00007F080000}"/>
    <cellStyle name="Normalny 7 2 2 3" xfId="1671" xr:uid="{00000000-0005-0000-0000-000080080000}"/>
    <cellStyle name="Normalny 7 2 2 3 2" xfId="1672" xr:uid="{00000000-0005-0000-0000-000081080000}"/>
    <cellStyle name="Normalny 7 2 2 3 2 2" xfId="1673" xr:uid="{00000000-0005-0000-0000-000082080000}"/>
    <cellStyle name="Normalny 7 2 2 3 2 2 2" xfId="1674" xr:uid="{00000000-0005-0000-0000-000083080000}"/>
    <cellStyle name="Normalny 7 2 2 3 2 2 2 2" xfId="1675" xr:uid="{00000000-0005-0000-0000-000084080000}"/>
    <cellStyle name="Normalny 7 2 2 3 2 2 3" xfId="1676" xr:uid="{00000000-0005-0000-0000-000085080000}"/>
    <cellStyle name="Normalny 7 2 2 3 2 2_RPP" xfId="1677" xr:uid="{00000000-0005-0000-0000-000086080000}"/>
    <cellStyle name="Normalny 7 2 2 3 2 3" xfId="1678" xr:uid="{00000000-0005-0000-0000-000087080000}"/>
    <cellStyle name="Normalny 7 2 2 3 2 3 2" xfId="1679" xr:uid="{00000000-0005-0000-0000-000088080000}"/>
    <cellStyle name="Normalny 7 2 2 3 2 4" xfId="1680" xr:uid="{00000000-0005-0000-0000-000089080000}"/>
    <cellStyle name="Normalny 7 2 2 3 2_RPP" xfId="1681" xr:uid="{00000000-0005-0000-0000-00008A080000}"/>
    <cellStyle name="Normalny 7 2 2 3 3" xfId="1682" xr:uid="{00000000-0005-0000-0000-00008B080000}"/>
    <cellStyle name="Normalny 7 2 2 3 3 2" xfId="1683" xr:uid="{00000000-0005-0000-0000-00008C080000}"/>
    <cellStyle name="Normalny 7 2 2 3 3 2 2" xfId="1684" xr:uid="{00000000-0005-0000-0000-00008D080000}"/>
    <cellStyle name="Normalny 7 2 2 3 3 3" xfId="1685" xr:uid="{00000000-0005-0000-0000-00008E080000}"/>
    <cellStyle name="Normalny 7 2 2 3 3_RPP" xfId="1686" xr:uid="{00000000-0005-0000-0000-00008F080000}"/>
    <cellStyle name="Normalny 7 2 2 3 4" xfId="1687" xr:uid="{00000000-0005-0000-0000-000090080000}"/>
    <cellStyle name="Normalny 7 2 2 3 4 2" xfId="1688" xr:uid="{00000000-0005-0000-0000-000091080000}"/>
    <cellStyle name="Normalny 7 2 2 3 5" xfId="1689" xr:uid="{00000000-0005-0000-0000-000092080000}"/>
    <cellStyle name="Normalny 7 2 2 3_RPP" xfId="1690" xr:uid="{00000000-0005-0000-0000-000093080000}"/>
    <cellStyle name="Normalny 7 2 2 4" xfId="1691" xr:uid="{00000000-0005-0000-0000-000094080000}"/>
    <cellStyle name="Normalny 7 2 2 4 2" xfId="1692" xr:uid="{00000000-0005-0000-0000-000095080000}"/>
    <cellStyle name="Normalny 7 2 2 4 2 2" xfId="1693" xr:uid="{00000000-0005-0000-0000-000096080000}"/>
    <cellStyle name="Normalny 7 2 2 4 2 2 2" xfId="1694" xr:uid="{00000000-0005-0000-0000-000097080000}"/>
    <cellStyle name="Normalny 7 2 2 4 2 3" xfId="1695" xr:uid="{00000000-0005-0000-0000-000098080000}"/>
    <cellStyle name="Normalny 7 2 2 4 2_RPP" xfId="1696" xr:uid="{00000000-0005-0000-0000-000099080000}"/>
    <cellStyle name="Normalny 7 2 2 4 3" xfId="1697" xr:uid="{00000000-0005-0000-0000-00009A080000}"/>
    <cellStyle name="Normalny 7 2 2 4 3 2" xfId="1698" xr:uid="{00000000-0005-0000-0000-00009B080000}"/>
    <cellStyle name="Normalny 7 2 2 4 4" xfId="1699" xr:uid="{00000000-0005-0000-0000-00009C080000}"/>
    <cellStyle name="Normalny 7 2 2 4_RPP" xfId="1700" xr:uid="{00000000-0005-0000-0000-00009D080000}"/>
    <cellStyle name="Normalny 7 2 2 5" xfId="1701" xr:uid="{00000000-0005-0000-0000-00009E080000}"/>
    <cellStyle name="Normalny 7 2 2 5 2" xfId="1702" xr:uid="{00000000-0005-0000-0000-00009F080000}"/>
    <cellStyle name="Normalny 7 2 2 5 2 2" xfId="1703" xr:uid="{00000000-0005-0000-0000-0000A0080000}"/>
    <cellStyle name="Normalny 7 2 2 5 3" xfId="1704" xr:uid="{00000000-0005-0000-0000-0000A1080000}"/>
    <cellStyle name="Normalny 7 2 2 5_RPP" xfId="1705" xr:uid="{00000000-0005-0000-0000-0000A2080000}"/>
    <cellStyle name="Normalny 7 2 2 6" xfId="1706" xr:uid="{00000000-0005-0000-0000-0000A3080000}"/>
    <cellStyle name="Normalny 7 2 2 6 2" xfId="1707" xr:uid="{00000000-0005-0000-0000-0000A4080000}"/>
    <cellStyle name="Normalny 7 2 2 7" xfId="1708" xr:uid="{00000000-0005-0000-0000-0000A5080000}"/>
    <cellStyle name="Normalny 7 2 2_RPP" xfId="1709" xr:uid="{00000000-0005-0000-0000-0000A6080000}"/>
    <cellStyle name="Normalny 7 2 3" xfId="1710" xr:uid="{00000000-0005-0000-0000-0000A7080000}"/>
    <cellStyle name="Normalny 7 2 3 2" xfId="1711" xr:uid="{00000000-0005-0000-0000-0000A8080000}"/>
    <cellStyle name="Normalny 7 2 3 2 2" xfId="1712" xr:uid="{00000000-0005-0000-0000-0000A9080000}"/>
    <cellStyle name="Normalny 7 2 3 2 2 2" xfId="1713" xr:uid="{00000000-0005-0000-0000-0000AA080000}"/>
    <cellStyle name="Normalny 7 2 3 2 2 2 2" xfId="1714" xr:uid="{00000000-0005-0000-0000-0000AB080000}"/>
    <cellStyle name="Normalny 7 2 3 2 2 3" xfId="1715" xr:uid="{00000000-0005-0000-0000-0000AC080000}"/>
    <cellStyle name="Normalny 7 2 3 2 2_RPP" xfId="1716" xr:uid="{00000000-0005-0000-0000-0000AD080000}"/>
    <cellStyle name="Normalny 7 2 3 2 3" xfId="1717" xr:uid="{00000000-0005-0000-0000-0000AE080000}"/>
    <cellStyle name="Normalny 7 2 3 2 3 2" xfId="1718" xr:uid="{00000000-0005-0000-0000-0000AF080000}"/>
    <cellStyle name="Normalny 7 2 3 2 4" xfId="1719" xr:uid="{00000000-0005-0000-0000-0000B0080000}"/>
    <cellStyle name="Normalny 7 2 3 2_RPP" xfId="1720" xr:uid="{00000000-0005-0000-0000-0000B1080000}"/>
    <cellStyle name="Normalny 7 2 3 3" xfId="1721" xr:uid="{00000000-0005-0000-0000-0000B2080000}"/>
    <cellStyle name="Normalny 7 2 3 3 2" xfId="1722" xr:uid="{00000000-0005-0000-0000-0000B3080000}"/>
    <cellStyle name="Normalny 7 2 3 3 2 2" xfId="1723" xr:uid="{00000000-0005-0000-0000-0000B4080000}"/>
    <cellStyle name="Normalny 7 2 3 3 3" xfId="1724" xr:uid="{00000000-0005-0000-0000-0000B5080000}"/>
    <cellStyle name="Normalny 7 2 3 3_RPP" xfId="1725" xr:uid="{00000000-0005-0000-0000-0000B6080000}"/>
    <cellStyle name="Normalny 7 2 3 4" xfId="1726" xr:uid="{00000000-0005-0000-0000-0000B7080000}"/>
    <cellStyle name="Normalny 7 2 3 4 2" xfId="1727" xr:uid="{00000000-0005-0000-0000-0000B8080000}"/>
    <cellStyle name="Normalny 7 2 3 5" xfId="1728" xr:uid="{00000000-0005-0000-0000-0000B9080000}"/>
    <cellStyle name="Normalny 7 2 3_RPP" xfId="1729" xr:uid="{00000000-0005-0000-0000-0000BA080000}"/>
    <cellStyle name="Normalny 7 2 4" xfId="1730" xr:uid="{00000000-0005-0000-0000-0000BB080000}"/>
    <cellStyle name="Normalny 7 2 4 2" xfId="1731" xr:uid="{00000000-0005-0000-0000-0000BC080000}"/>
    <cellStyle name="Normalny 7 2 4 2 2" xfId="1732" xr:uid="{00000000-0005-0000-0000-0000BD080000}"/>
    <cellStyle name="Normalny 7 2 4 2 2 2" xfId="1733" xr:uid="{00000000-0005-0000-0000-0000BE080000}"/>
    <cellStyle name="Normalny 7 2 4 2 2 2 2" xfId="1734" xr:uid="{00000000-0005-0000-0000-0000BF080000}"/>
    <cellStyle name="Normalny 7 2 4 2 2 3" xfId="1735" xr:uid="{00000000-0005-0000-0000-0000C0080000}"/>
    <cellStyle name="Normalny 7 2 4 2 2_RPP" xfId="1736" xr:uid="{00000000-0005-0000-0000-0000C1080000}"/>
    <cellStyle name="Normalny 7 2 4 2 3" xfId="1737" xr:uid="{00000000-0005-0000-0000-0000C2080000}"/>
    <cellStyle name="Normalny 7 2 4 2 3 2" xfId="1738" xr:uid="{00000000-0005-0000-0000-0000C3080000}"/>
    <cellStyle name="Normalny 7 2 4 2 4" xfId="1739" xr:uid="{00000000-0005-0000-0000-0000C4080000}"/>
    <cellStyle name="Normalny 7 2 4 2_RPP" xfId="1740" xr:uid="{00000000-0005-0000-0000-0000C5080000}"/>
    <cellStyle name="Normalny 7 2 4 3" xfId="1741" xr:uid="{00000000-0005-0000-0000-0000C6080000}"/>
    <cellStyle name="Normalny 7 2 4 3 2" xfId="1742" xr:uid="{00000000-0005-0000-0000-0000C7080000}"/>
    <cellStyle name="Normalny 7 2 4 3 2 2" xfId="1743" xr:uid="{00000000-0005-0000-0000-0000C8080000}"/>
    <cellStyle name="Normalny 7 2 4 3 3" xfId="1744" xr:uid="{00000000-0005-0000-0000-0000C9080000}"/>
    <cellStyle name="Normalny 7 2 4 3_RPP" xfId="1745" xr:uid="{00000000-0005-0000-0000-0000CA080000}"/>
    <cellStyle name="Normalny 7 2 4 4" xfId="1746" xr:uid="{00000000-0005-0000-0000-0000CB080000}"/>
    <cellStyle name="Normalny 7 2 4 4 2" xfId="1747" xr:uid="{00000000-0005-0000-0000-0000CC080000}"/>
    <cellStyle name="Normalny 7 2 4 5" xfId="1748" xr:uid="{00000000-0005-0000-0000-0000CD080000}"/>
    <cellStyle name="Normalny 7 2 4_RPP" xfId="1749" xr:uid="{00000000-0005-0000-0000-0000CE080000}"/>
    <cellStyle name="Normalny 7 2 5" xfId="1750" xr:uid="{00000000-0005-0000-0000-0000CF080000}"/>
    <cellStyle name="Normalny 7 2 5 2" xfId="1751" xr:uid="{00000000-0005-0000-0000-0000D0080000}"/>
    <cellStyle name="Normalny 7 2 5 2 2" xfId="1752" xr:uid="{00000000-0005-0000-0000-0000D1080000}"/>
    <cellStyle name="Normalny 7 2 5 2 2 2" xfId="1753" xr:uid="{00000000-0005-0000-0000-0000D2080000}"/>
    <cellStyle name="Normalny 7 2 5 2 3" xfId="1754" xr:uid="{00000000-0005-0000-0000-0000D3080000}"/>
    <cellStyle name="Normalny 7 2 5 2_RPP" xfId="1755" xr:uid="{00000000-0005-0000-0000-0000D4080000}"/>
    <cellStyle name="Normalny 7 2 5 3" xfId="1756" xr:uid="{00000000-0005-0000-0000-0000D5080000}"/>
    <cellStyle name="Normalny 7 2 5 3 2" xfId="1757" xr:uid="{00000000-0005-0000-0000-0000D6080000}"/>
    <cellStyle name="Normalny 7 2 5 4" xfId="1758" xr:uid="{00000000-0005-0000-0000-0000D7080000}"/>
    <cellStyle name="Normalny 7 2 5_RPP" xfId="1759" xr:uid="{00000000-0005-0000-0000-0000D8080000}"/>
    <cellStyle name="Normalny 7 2 6" xfId="1760" xr:uid="{00000000-0005-0000-0000-0000D9080000}"/>
    <cellStyle name="Normalny 7 2 6 2" xfId="1761" xr:uid="{00000000-0005-0000-0000-0000DA080000}"/>
    <cellStyle name="Normalny 7 2 6 2 2" xfId="1762" xr:uid="{00000000-0005-0000-0000-0000DB080000}"/>
    <cellStyle name="Normalny 7 2 6 3" xfId="1763" xr:uid="{00000000-0005-0000-0000-0000DC080000}"/>
    <cellStyle name="Normalny 7 2 6_RPP" xfId="1764" xr:uid="{00000000-0005-0000-0000-0000DD080000}"/>
    <cellStyle name="Normalny 7 2 7" xfId="1765" xr:uid="{00000000-0005-0000-0000-0000DE080000}"/>
    <cellStyle name="Normalny 7 2 7 2" xfId="1766" xr:uid="{00000000-0005-0000-0000-0000DF080000}"/>
    <cellStyle name="Normalny 7 2 8" xfId="1767" xr:uid="{00000000-0005-0000-0000-0000E0080000}"/>
    <cellStyle name="Normalny 7 2_RPP" xfId="1768" xr:uid="{00000000-0005-0000-0000-0000E1080000}"/>
    <cellStyle name="Normalny 7 3" xfId="1769" xr:uid="{00000000-0005-0000-0000-0000E2080000}"/>
    <cellStyle name="Normalny 7 3 2" xfId="1770" xr:uid="{00000000-0005-0000-0000-0000E3080000}"/>
    <cellStyle name="Normalny 7 3 2 2" xfId="1771" xr:uid="{00000000-0005-0000-0000-0000E4080000}"/>
    <cellStyle name="Normalny 7 3 2 2 2" xfId="1772" xr:uid="{00000000-0005-0000-0000-0000E5080000}"/>
    <cellStyle name="Normalny 7 3 2 2 2 2" xfId="1773" xr:uid="{00000000-0005-0000-0000-0000E6080000}"/>
    <cellStyle name="Normalny 7 3 2 2 2 2 2" xfId="1774" xr:uid="{00000000-0005-0000-0000-0000E7080000}"/>
    <cellStyle name="Normalny 7 3 2 2 2 3" xfId="1775" xr:uid="{00000000-0005-0000-0000-0000E8080000}"/>
    <cellStyle name="Normalny 7 3 2 2 2_RPP" xfId="1776" xr:uid="{00000000-0005-0000-0000-0000E9080000}"/>
    <cellStyle name="Normalny 7 3 2 2 3" xfId="1777" xr:uid="{00000000-0005-0000-0000-0000EA080000}"/>
    <cellStyle name="Normalny 7 3 2 2 3 2" xfId="1778" xr:uid="{00000000-0005-0000-0000-0000EB080000}"/>
    <cellStyle name="Normalny 7 3 2 2 4" xfId="1779" xr:uid="{00000000-0005-0000-0000-0000EC080000}"/>
    <cellStyle name="Normalny 7 3 2 2_RPP" xfId="1780" xr:uid="{00000000-0005-0000-0000-0000ED080000}"/>
    <cellStyle name="Normalny 7 3 2 3" xfId="1781" xr:uid="{00000000-0005-0000-0000-0000EE080000}"/>
    <cellStyle name="Normalny 7 3 2 3 2" xfId="1782" xr:uid="{00000000-0005-0000-0000-0000EF080000}"/>
    <cellStyle name="Normalny 7 3 2 3 2 2" xfId="1783" xr:uid="{00000000-0005-0000-0000-0000F0080000}"/>
    <cellStyle name="Normalny 7 3 2 3 3" xfId="1784" xr:uid="{00000000-0005-0000-0000-0000F1080000}"/>
    <cellStyle name="Normalny 7 3 2 3_RPP" xfId="1785" xr:uid="{00000000-0005-0000-0000-0000F2080000}"/>
    <cellStyle name="Normalny 7 3 2 4" xfId="1786" xr:uid="{00000000-0005-0000-0000-0000F3080000}"/>
    <cellStyle name="Normalny 7 3 2 4 2" xfId="1787" xr:uid="{00000000-0005-0000-0000-0000F4080000}"/>
    <cellStyle name="Normalny 7 3 2 5" xfId="1788" xr:uid="{00000000-0005-0000-0000-0000F5080000}"/>
    <cellStyle name="Normalny 7 3 2_RPP" xfId="1789" xr:uid="{00000000-0005-0000-0000-0000F6080000}"/>
    <cellStyle name="Normalny 7 3 3" xfId="1790" xr:uid="{00000000-0005-0000-0000-0000F7080000}"/>
    <cellStyle name="Normalny 7 3 3 2" xfId="1791" xr:uid="{00000000-0005-0000-0000-0000F8080000}"/>
    <cellStyle name="Normalny 7 3 3 2 2" xfId="1792" xr:uid="{00000000-0005-0000-0000-0000F9080000}"/>
    <cellStyle name="Normalny 7 3 3 2 2 2" xfId="1793" xr:uid="{00000000-0005-0000-0000-0000FA080000}"/>
    <cellStyle name="Normalny 7 3 3 2 2 2 2" xfId="1794" xr:uid="{00000000-0005-0000-0000-0000FB080000}"/>
    <cellStyle name="Normalny 7 3 3 2 2 3" xfId="1795" xr:uid="{00000000-0005-0000-0000-0000FC080000}"/>
    <cellStyle name="Normalny 7 3 3 2 2_RPP" xfId="1796" xr:uid="{00000000-0005-0000-0000-0000FD080000}"/>
    <cellStyle name="Normalny 7 3 3 2 3" xfId="1797" xr:uid="{00000000-0005-0000-0000-0000FE080000}"/>
    <cellStyle name="Normalny 7 3 3 2 3 2" xfId="1798" xr:uid="{00000000-0005-0000-0000-0000FF080000}"/>
    <cellStyle name="Normalny 7 3 3 2 4" xfId="1799" xr:uid="{00000000-0005-0000-0000-000000090000}"/>
    <cellStyle name="Normalny 7 3 3 2_RPP" xfId="1800" xr:uid="{00000000-0005-0000-0000-000001090000}"/>
    <cellStyle name="Normalny 7 3 3 3" xfId="1801" xr:uid="{00000000-0005-0000-0000-000002090000}"/>
    <cellStyle name="Normalny 7 3 3 3 2" xfId="1802" xr:uid="{00000000-0005-0000-0000-000003090000}"/>
    <cellStyle name="Normalny 7 3 3 3 2 2" xfId="1803" xr:uid="{00000000-0005-0000-0000-000004090000}"/>
    <cellStyle name="Normalny 7 3 3 3 3" xfId="1804" xr:uid="{00000000-0005-0000-0000-000005090000}"/>
    <cellStyle name="Normalny 7 3 3 3_RPP" xfId="1805" xr:uid="{00000000-0005-0000-0000-000006090000}"/>
    <cellStyle name="Normalny 7 3 3 4" xfId="1806" xr:uid="{00000000-0005-0000-0000-000007090000}"/>
    <cellStyle name="Normalny 7 3 3 4 2" xfId="1807" xr:uid="{00000000-0005-0000-0000-000008090000}"/>
    <cellStyle name="Normalny 7 3 3 5" xfId="1808" xr:uid="{00000000-0005-0000-0000-000009090000}"/>
    <cellStyle name="Normalny 7 3 3_RPP" xfId="1809" xr:uid="{00000000-0005-0000-0000-00000A090000}"/>
    <cellStyle name="Normalny 7 3 4" xfId="1810" xr:uid="{00000000-0005-0000-0000-00000B090000}"/>
    <cellStyle name="Normalny 7 3 4 2" xfId="1811" xr:uid="{00000000-0005-0000-0000-00000C090000}"/>
    <cellStyle name="Normalny 7 3 4 2 2" xfId="1812" xr:uid="{00000000-0005-0000-0000-00000D090000}"/>
    <cellStyle name="Normalny 7 3 4 2 2 2" xfId="1813" xr:uid="{00000000-0005-0000-0000-00000E090000}"/>
    <cellStyle name="Normalny 7 3 4 2 3" xfId="1814" xr:uid="{00000000-0005-0000-0000-00000F090000}"/>
    <cellStyle name="Normalny 7 3 4 2_RPP" xfId="1815" xr:uid="{00000000-0005-0000-0000-000010090000}"/>
    <cellStyle name="Normalny 7 3 4 3" xfId="1816" xr:uid="{00000000-0005-0000-0000-000011090000}"/>
    <cellStyle name="Normalny 7 3 4 3 2" xfId="1817" xr:uid="{00000000-0005-0000-0000-000012090000}"/>
    <cellStyle name="Normalny 7 3 4 4" xfId="1818" xr:uid="{00000000-0005-0000-0000-000013090000}"/>
    <cellStyle name="Normalny 7 3 4_RPP" xfId="1819" xr:uid="{00000000-0005-0000-0000-000014090000}"/>
    <cellStyle name="Normalny 7 3 5" xfId="1820" xr:uid="{00000000-0005-0000-0000-000015090000}"/>
    <cellStyle name="Normalny 7 3 5 2" xfId="1821" xr:uid="{00000000-0005-0000-0000-000016090000}"/>
    <cellStyle name="Normalny 7 3 5 2 2" xfId="1822" xr:uid="{00000000-0005-0000-0000-000017090000}"/>
    <cellStyle name="Normalny 7 3 5 3" xfId="1823" xr:uid="{00000000-0005-0000-0000-000018090000}"/>
    <cellStyle name="Normalny 7 3 5_RPP" xfId="1824" xr:uid="{00000000-0005-0000-0000-000019090000}"/>
    <cellStyle name="Normalny 7 3 6" xfId="1825" xr:uid="{00000000-0005-0000-0000-00001A090000}"/>
    <cellStyle name="Normalny 7 3 6 2" xfId="1826" xr:uid="{00000000-0005-0000-0000-00001B090000}"/>
    <cellStyle name="Normalny 7 3 7" xfId="1827" xr:uid="{00000000-0005-0000-0000-00001C090000}"/>
    <cellStyle name="Normalny 7 3_RPP" xfId="1828" xr:uid="{00000000-0005-0000-0000-00001D090000}"/>
    <cellStyle name="Normalny 7 4" xfId="1829" xr:uid="{00000000-0005-0000-0000-00001E090000}"/>
    <cellStyle name="Normalny 7 4 2" xfId="1830" xr:uid="{00000000-0005-0000-0000-00001F090000}"/>
    <cellStyle name="Normalny 7 4 2 2" xfId="1831" xr:uid="{00000000-0005-0000-0000-000020090000}"/>
    <cellStyle name="Normalny 7 4 2 2 2" xfId="1832" xr:uid="{00000000-0005-0000-0000-000021090000}"/>
    <cellStyle name="Normalny 7 4 2 2 2 2" xfId="1833" xr:uid="{00000000-0005-0000-0000-000022090000}"/>
    <cellStyle name="Normalny 7 4 2 2 3" xfId="1834" xr:uid="{00000000-0005-0000-0000-000023090000}"/>
    <cellStyle name="Normalny 7 4 2 2_RPP" xfId="1835" xr:uid="{00000000-0005-0000-0000-000024090000}"/>
    <cellStyle name="Normalny 7 4 2 3" xfId="1836" xr:uid="{00000000-0005-0000-0000-000025090000}"/>
    <cellStyle name="Normalny 7 4 2 3 2" xfId="1837" xr:uid="{00000000-0005-0000-0000-000026090000}"/>
    <cellStyle name="Normalny 7 4 2 4" xfId="1838" xr:uid="{00000000-0005-0000-0000-000027090000}"/>
    <cellStyle name="Normalny 7 4 2_RPP" xfId="1839" xr:uid="{00000000-0005-0000-0000-000028090000}"/>
    <cellStyle name="Normalny 7 4 3" xfId="1840" xr:uid="{00000000-0005-0000-0000-000029090000}"/>
    <cellStyle name="Normalny 7 4 3 2" xfId="1841" xr:uid="{00000000-0005-0000-0000-00002A090000}"/>
    <cellStyle name="Normalny 7 4 3 2 2" xfId="1842" xr:uid="{00000000-0005-0000-0000-00002B090000}"/>
    <cellStyle name="Normalny 7 4 3 3" xfId="1843" xr:uid="{00000000-0005-0000-0000-00002C090000}"/>
    <cellStyle name="Normalny 7 4 3_RPP" xfId="1844" xr:uid="{00000000-0005-0000-0000-00002D090000}"/>
    <cellStyle name="Normalny 7 4 4" xfId="1845" xr:uid="{00000000-0005-0000-0000-00002E090000}"/>
    <cellStyle name="Normalny 7 4 4 2" xfId="1846" xr:uid="{00000000-0005-0000-0000-00002F090000}"/>
    <cellStyle name="Normalny 7 4 5" xfId="1847" xr:uid="{00000000-0005-0000-0000-000030090000}"/>
    <cellStyle name="Normalny 7 4_RPP" xfId="1848" xr:uid="{00000000-0005-0000-0000-000031090000}"/>
    <cellStyle name="Normalny 7 5" xfId="1849" xr:uid="{00000000-0005-0000-0000-000032090000}"/>
    <cellStyle name="Normalny 7 5 2" xfId="1850" xr:uid="{00000000-0005-0000-0000-000033090000}"/>
    <cellStyle name="Normalny 7 5 2 2" xfId="1851" xr:uid="{00000000-0005-0000-0000-000034090000}"/>
    <cellStyle name="Normalny 7 5 2 2 2" xfId="1852" xr:uid="{00000000-0005-0000-0000-000035090000}"/>
    <cellStyle name="Normalny 7 5 2 2 2 2" xfId="1853" xr:uid="{00000000-0005-0000-0000-000036090000}"/>
    <cellStyle name="Normalny 7 5 2 2 3" xfId="1854" xr:uid="{00000000-0005-0000-0000-000037090000}"/>
    <cellStyle name="Normalny 7 5 2 2_RPP" xfId="1855" xr:uid="{00000000-0005-0000-0000-000038090000}"/>
    <cellStyle name="Normalny 7 5 2 3" xfId="1856" xr:uid="{00000000-0005-0000-0000-000039090000}"/>
    <cellStyle name="Normalny 7 5 2 3 2" xfId="1857" xr:uid="{00000000-0005-0000-0000-00003A090000}"/>
    <cellStyle name="Normalny 7 5 2 4" xfId="1858" xr:uid="{00000000-0005-0000-0000-00003B090000}"/>
    <cellStyle name="Normalny 7 5 2_RPP" xfId="1859" xr:uid="{00000000-0005-0000-0000-00003C090000}"/>
    <cellStyle name="Normalny 7 5 3" xfId="1860" xr:uid="{00000000-0005-0000-0000-00003D090000}"/>
    <cellStyle name="Normalny 7 5 3 2" xfId="1861" xr:uid="{00000000-0005-0000-0000-00003E090000}"/>
    <cellStyle name="Normalny 7 5 3 2 2" xfId="1862" xr:uid="{00000000-0005-0000-0000-00003F090000}"/>
    <cellStyle name="Normalny 7 5 3 3" xfId="1863" xr:uid="{00000000-0005-0000-0000-000040090000}"/>
    <cellStyle name="Normalny 7 5 3_RPP" xfId="1864" xr:uid="{00000000-0005-0000-0000-000041090000}"/>
    <cellStyle name="Normalny 7 5 4" xfId="1865" xr:uid="{00000000-0005-0000-0000-000042090000}"/>
    <cellStyle name="Normalny 7 5 4 2" xfId="1866" xr:uid="{00000000-0005-0000-0000-000043090000}"/>
    <cellStyle name="Normalny 7 5 5" xfId="1867" xr:uid="{00000000-0005-0000-0000-000044090000}"/>
    <cellStyle name="Normalny 7 5_RPP" xfId="1868" xr:uid="{00000000-0005-0000-0000-000045090000}"/>
    <cellStyle name="Normalny 7 6" xfId="1869" xr:uid="{00000000-0005-0000-0000-000046090000}"/>
    <cellStyle name="Normalny 7 6 2" xfId="1870" xr:uid="{00000000-0005-0000-0000-000047090000}"/>
    <cellStyle name="Normalny 7 6 2 2" xfId="1871" xr:uid="{00000000-0005-0000-0000-000048090000}"/>
    <cellStyle name="Normalny 7 6 2 2 2" xfId="1872" xr:uid="{00000000-0005-0000-0000-000049090000}"/>
    <cellStyle name="Normalny 7 6 2 3" xfId="1873" xr:uid="{00000000-0005-0000-0000-00004A090000}"/>
    <cellStyle name="Normalny 7 6 2_RPP" xfId="1874" xr:uid="{00000000-0005-0000-0000-00004B090000}"/>
    <cellStyle name="Normalny 7 6 3" xfId="1875" xr:uid="{00000000-0005-0000-0000-00004C090000}"/>
    <cellStyle name="Normalny 7 6 3 2" xfId="1876" xr:uid="{00000000-0005-0000-0000-00004D090000}"/>
    <cellStyle name="Normalny 7 6 4" xfId="1877" xr:uid="{00000000-0005-0000-0000-00004E090000}"/>
    <cellStyle name="Normalny 7 6_RPP" xfId="1878" xr:uid="{00000000-0005-0000-0000-00004F090000}"/>
    <cellStyle name="Normalny 7 7" xfId="1879" xr:uid="{00000000-0005-0000-0000-000050090000}"/>
    <cellStyle name="Normalny 7 7 2" xfId="1880" xr:uid="{00000000-0005-0000-0000-000051090000}"/>
    <cellStyle name="Normalny 7 7 2 2" xfId="1881" xr:uid="{00000000-0005-0000-0000-000052090000}"/>
    <cellStyle name="Normalny 7 7 3" xfId="1882" xr:uid="{00000000-0005-0000-0000-000053090000}"/>
    <cellStyle name="Normalny 7 7_RPP" xfId="1883" xr:uid="{00000000-0005-0000-0000-000054090000}"/>
    <cellStyle name="Normalny 7 8" xfId="1884" xr:uid="{00000000-0005-0000-0000-000055090000}"/>
    <cellStyle name="Normalny 7 8 2" xfId="1885" xr:uid="{00000000-0005-0000-0000-000056090000}"/>
    <cellStyle name="Normalny 7 9" xfId="1886" xr:uid="{00000000-0005-0000-0000-000057090000}"/>
    <cellStyle name="Normalny 7_RPP" xfId="1887" xr:uid="{00000000-0005-0000-0000-000058090000}"/>
    <cellStyle name="Normalny 70" xfId="1888" xr:uid="{00000000-0005-0000-0000-000059090000}"/>
    <cellStyle name="Normalny 70 2" xfId="1889" xr:uid="{00000000-0005-0000-0000-00005A090000}"/>
    <cellStyle name="Normalny 70 2 2" xfId="2210" xr:uid="{00000000-0005-0000-0000-00005B090000}"/>
    <cellStyle name="Normalny 70 2 2 2" xfId="2586" xr:uid="{00000000-0005-0000-0000-00005C090000}"/>
    <cellStyle name="Normalny 70 2 3" xfId="2401" xr:uid="{00000000-0005-0000-0000-00005D090000}"/>
    <cellStyle name="Normalny 70 3" xfId="2209" xr:uid="{00000000-0005-0000-0000-00005E090000}"/>
    <cellStyle name="Normalny 70 3 2" xfId="2585" xr:uid="{00000000-0005-0000-0000-00005F090000}"/>
    <cellStyle name="Normalny 70 4" xfId="2400" xr:uid="{00000000-0005-0000-0000-000060090000}"/>
    <cellStyle name="Normalny 71" xfId="1890" xr:uid="{00000000-0005-0000-0000-000061090000}"/>
    <cellStyle name="Normalny 71 2" xfId="1891" xr:uid="{00000000-0005-0000-0000-000062090000}"/>
    <cellStyle name="Normalny 71 2 2" xfId="2212" xr:uid="{00000000-0005-0000-0000-000063090000}"/>
    <cellStyle name="Normalny 71 2 2 2" xfId="2588" xr:uid="{00000000-0005-0000-0000-000064090000}"/>
    <cellStyle name="Normalny 71 2 3" xfId="2403" xr:uid="{00000000-0005-0000-0000-000065090000}"/>
    <cellStyle name="Normalny 71 3" xfId="2211" xr:uid="{00000000-0005-0000-0000-000066090000}"/>
    <cellStyle name="Normalny 71 3 2" xfId="2587" xr:uid="{00000000-0005-0000-0000-000067090000}"/>
    <cellStyle name="Normalny 71 4" xfId="2402" xr:uid="{00000000-0005-0000-0000-000068090000}"/>
    <cellStyle name="Normalny 72" xfId="1892" xr:uid="{00000000-0005-0000-0000-000069090000}"/>
    <cellStyle name="Normalny 72 2" xfId="1893" xr:uid="{00000000-0005-0000-0000-00006A090000}"/>
    <cellStyle name="Normalny 72 2 2" xfId="2214" xr:uid="{00000000-0005-0000-0000-00006B090000}"/>
    <cellStyle name="Normalny 72 2 2 2" xfId="2590" xr:uid="{00000000-0005-0000-0000-00006C090000}"/>
    <cellStyle name="Normalny 72 2 3" xfId="2405" xr:uid="{00000000-0005-0000-0000-00006D090000}"/>
    <cellStyle name="Normalny 72 3" xfId="2213" xr:uid="{00000000-0005-0000-0000-00006E090000}"/>
    <cellStyle name="Normalny 72 3 2" xfId="2589" xr:uid="{00000000-0005-0000-0000-00006F090000}"/>
    <cellStyle name="Normalny 72 4" xfId="2404" xr:uid="{00000000-0005-0000-0000-000070090000}"/>
    <cellStyle name="Normalny 73" xfId="1894" xr:uid="{00000000-0005-0000-0000-000071090000}"/>
    <cellStyle name="Normalny 73 2" xfId="1895" xr:uid="{00000000-0005-0000-0000-000072090000}"/>
    <cellStyle name="Normalny 73 2 2" xfId="2216" xr:uid="{00000000-0005-0000-0000-000073090000}"/>
    <cellStyle name="Normalny 73 2 2 2" xfId="2592" xr:uid="{00000000-0005-0000-0000-000074090000}"/>
    <cellStyle name="Normalny 73 2 3" xfId="2407" xr:uid="{00000000-0005-0000-0000-000075090000}"/>
    <cellStyle name="Normalny 73 3" xfId="2215" xr:uid="{00000000-0005-0000-0000-000076090000}"/>
    <cellStyle name="Normalny 73 3 2" xfId="2591" xr:uid="{00000000-0005-0000-0000-000077090000}"/>
    <cellStyle name="Normalny 73 4" xfId="2406" xr:uid="{00000000-0005-0000-0000-000078090000}"/>
    <cellStyle name="Normalny 74" xfId="1896" xr:uid="{00000000-0005-0000-0000-000079090000}"/>
    <cellStyle name="Normalny 74 2" xfId="2217" xr:uid="{00000000-0005-0000-0000-00007A090000}"/>
    <cellStyle name="Normalny 74 2 2" xfId="2593" xr:uid="{00000000-0005-0000-0000-00007B090000}"/>
    <cellStyle name="Normalny 74 3" xfId="2408" xr:uid="{00000000-0005-0000-0000-00007C090000}"/>
    <cellStyle name="Normalny 75" xfId="1897" xr:uid="{00000000-0005-0000-0000-00007D090000}"/>
    <cellStyle name="Normalny 75 2" xfId="2218" xr:uid="{00000000-0005-0000-0000-00007E090000}"/>
    <cellStyle name="Normalny 75 2 2" xfId="2594" xr:uid="{00000000-0005-0000-0000-00007F090000}"/>
    <cellStyle name="Normalny 75 3" xfId="2409" xr:uid="{00000000-0005-0000-0000-000080090000}"/>
    <cellStyle name="Normalny 76" xfId="1898" xr:uid="{00000000-0005-0000-0000-000081090000}"/>
    <cellStyle name="Normalny 77" xfId="1899" xr:uid="{00000000-0005-0000-0000-000082090000}"/>
    <cellStyle name="Normalny 78" xfId="1900" xr:uid="{00000000-0005-0000-0000-000083090000}"/>
    <cellStyle name="Normalny 79" xfId="1901" xr:uid="{00000000-0005-0000-0000-000084090000}"/>
    <cellStyle name="Normalny 8" xfId="1902" xr:uid="{00000000-0005-0000-0000-000085090000}"/>
    <cellStyle name="Normalny 8 2" xfId="1903" xr:uid="{00000000-0005-0000-0000-000086090000}"/>
    <cellStyle name="Normalny 8 3" xfId="1904" xr:uid="{00000000-0005-0000-0000-000087090000}"/>
    <cellStyle name="Normalny 8 3 2" xfId="1905" xr:uid="{00000000-0005-0000-0000-000088090000}"/>
    <cellStyle name="Normalny 8 3 2 2" xfId="2221" xr:uid="{00000000-0005-0000-0000-000089090000}"/>
    <cellStyle name="Normalny 8 3 2 2 2" xfId="2597" xr:uid="{00000000-0005-0000-0000-00008A090000}"/>
    <cellStyle name="Normalny 8 3 2 3" xfId="2412" xr:uid="{00000000-0005-0000-0000-00008B090000}"/>
    <cellStyle name="Normalny 8 3 3" xfId="2220" xr:uid="{00000000-0005-0000-0000-00008C090000}"/>
    <cellStyle name="Normalny 8 3 3 2" xfId="2596" xr:uid="{00000000-0005-0000-0000-00008D090000}"/>
    <cellStyle name="Normalny 8 3 4" xfId="2411" xr:uid="{00000000-0005-0000-0000-00008E090000}"/>
    <cellStyle name="Normalny 8 4" xfId="1906" xr:uid="{00000000-0005-0000-0000-00008F090000}"/>
    <cellStyle name="Normalny 8 4 2" xfId="1907" xr:uid="{00000000-0005-0000-0000-000090090000}"/>
    <cellStyle name="Normalny 8 4 2 2" xfId="2223" xr:uid="{00000000-0005-0000-0000-000091090000}"/>
    <cellStyle name="Normalny 8 4 2 2 2" xfId="2599" xr:uid="{00000000-0005-0000-0000-000092090000}"/>
    <cellStyle name="Normalny 8 4 2 3" xfId="2414" xr:uid="{00000000-0005-0000-0000-000093090000}"/>
    <cellStyle name="Normalny 8 4 3" xfId="2222" xr:uid="{00000000-0005-0000-0000-000094090000}"/>
    <cellStyle name="Normalny 8 4 3 2" xfId="2598" xr:uid="{00000000-0005-0000-0000-000095090000}"/>
    <cellStyle name="Normalny 8 4 4" xfId="2413" xr:uid="{00000000-0005-0000-0000-000096090000}"/>
    <cellStyle name="Normalny 8 5" xfId="1908" xr:uid="{00000000-0005-0000-0000-000097090000}"/>
    <cellStyle name="Normalny 8 5 2" xfId="2224" xr:uid="{00000000-0005-0000-0000-000098090000}"/>
    <cellStyle name="Normalny 8 5 2 2" xfId="2600" xr:uid="{00000000-0005-0000-0000-000099090000}"/>
    <cellStyle name="Normalny 8 5 3" xfId="2415" xr:uid="{00000000-0005-0000-0000-00009A090000}"/>
    <cellStyle name="Normalny 8 6" xfId="2219" xr:uid="{00000000-0005-0000-0000-00009B090000}"/>
    <cellStyle name="Normalny 8 6 2" xfId="2595" xr:uid="{00000000-0005-0000-0000-00009C090000}"/>
    <cellStyle name="Normalny 8 7" xfId="2410" xr:uid="{00000000-0005-0000-0000-00009D090000}"/>
    <cellStyle name="Normalny 80" xfId="15" xr:uid="{00000000-0005-0000-0000-00009E090000}"/>
    <cellStyle name="Normalny 81" xfId="1909" xr:uid="{00000000-0005-0000-0000-00009F090000}"/>
    <cellStyle name="Normalny 82" xfId="1910" xr:uid="{00000000-0005-0000-0000-0000A0090000}"/>
    <cellStyle name="Normalny 83" xfId="1911" xr:uid="{00000000-0005-0000-0000-0000A1090000}"/>
    <cellStyle name="Normalny 84" xfId="1912" xr:uid="{00000000-0005-0000-0000-0000A2090000}"/>
    <cellStyle name="Normalny 85" xfId="1913" xr:uid="{00000000-0005-0000-0000-0000A3090000}"/>
    <cellStyle name="Normalny 86" xfId="1914" xr:uid="{00000000-0005-0000-0000-0000A4090000}"/>
    <cellStyle name="Normalny 87" xfId="1915" xr:uid="{00000000-0005-0000-0000-0000A5090000}"/>
    <cellStyle name="Normalny 88" xfId="1916" xr:uid="{00000000-0005-0000-0000-0000A6090000}"/>
    <cellStyle name="Normalny 89" xfId="2226" xr:uid="{00000000-0005-0000-0000-0000A7090000}"/>
    <cellStyle name="Normalny 89 2" xfId="2601" xr:uid="{00000000-0005-0000-0000-0000A8090000}"/>
    <cellStyle name="Normalny 9" xfId="1917" xr:uid="{00000000-0005-0000-0000-0000A9090000}"/>
    <cellStyle name="Normalny 9 10" xfId="1918" xr:uid="{00000000-0005-0000-0000-0000AA090000}"/>
    <cellStyle name="Normalny 9 2" xfId="1919" xr:uid="{00000000-0005-0000-0000-0000AB090000}"/>
    <cellStyle name="Normalny 9 2 2" xfId="1920" xr:uid="{00000000-0005-0000-0000-0000AC090000}"/>
    <cellStyle name="Normalny 9 2 2 2" xfId="1921" xr:uid="{00000000-0005-0000-0000-0000AD090000}"/>
    <cellStyle name="Normalny 9 2 2 2 2" xfId="1922" xr:uid="{00000000-0005-0000-0000-0000AE090000}"/>
    <cellStyle name="Normalny 9 2 2 2 2 2" xfId="1923" xr:uid="{00000000-0005-0000-0000-0000AF090000}"/>
    <cellStyle name="Normalny 9 2 2 2 2 2 2" xfId="1924" xr:uid="{00000000-0005-0000-0000-0000B0090000}"/>
    <cellStyle name="Normalny 9 2 2 2 2 3" xfId="1925" xr:uid="{00000000-0005-0000-0000-0000B1090000}"/>
    <cellStyle name="Normalny 9 2 2 2 2_RPP" xfId="1926" xr:uid="{00000000-0005-0000-0000-0000B2090000}"/>
    <cellStyle name="Normalny 9 2 2 2 3" xfId="1927" xr:uid="{00000000-0005-0000-0000-0000B3090000}"/>
    <cellStyle name="Normalny 9 2 2 2 3 2" xfId="1928" xr:uid="{00000000-0005-0000-0000-0000B4090000}"/>
    <cellStyle name="Normalny 9 2 2 2 4" xfId="1929" xr:uid="{00000000-0005-0000-0000-0000B5090000}"/>
    <cellStyle name="Normalny 9 2 2 2_RPP" xfId="1930" xr:uid="{00000000-0005-0000-0000-0000B6090000}"/>
    <cellStyle name="Normalny 9 2 2 3" xfId="1931" xr:uid="{00000000-0005-0000-0000-0000B7090000}"/>
    <cellStyle name="Normalny 9 2 2 3 2" xfId="1932" xr:uid="{00000000-0005-0000-0000-0000B8090000}"/>
    <cellStyle name="Normalny 9 2 2 3 2 2" xfId="1933" xr:uid="{00000000-0005-0000-0000-0000B9090000}"/>
    <cellStyle name="Normalny 9 2 2 3 3" xfId="1934" xr:uid="{00000000-0005-0000-0000-0000BA090000}"/>
    <cellStyle name="Normalny 9 2 2 3_RPP" xfId="1935" xr:uid="{00000000-0005-0000-0000-0000BB090000}"/>
    <cellStyle name="Normalny 9 2 2 4" xfId="1936" xr:uid="{00000000-0005-0000-0000-0000BC090000}"/>
    <cellStyle name="Normalny 9 2 2 4 2" xfId="1937" xr:uid="{00000000-0005-0000-0000-0000BD090000}"/>
    <cellStyle name="Normalny 9 2 2 5" xfId="1938" xr:uid="{00000000-0005-0000-0000-0000BE090000}"/>
    <cellStyle name="Normalny 9 2 2_RPP" xfId="1939" xr:uid="{00000000-0005-0000-0000-0000BF090000}"/>
    <cellStyle name="Normalny 9 2 3" xfId="1940" xr:uid="{00000000-0005-0000-0000-0000C0090000}"/>
    <cellStyle name="Normalny 9 2 3 2" xfId="1941" xr:uid="{00000000-0005-0000-0000-0000C1090000}"/>
    <cellStyle name="Normalny 9 2 3 2 2" xfId="1942" xr:uid="{00000000-0005-0000-0000-0000C2090000}"/>
    <cellStyle name="Normalny 9 2 3 2 2 2" xfId="1943" xr:uid="{00000000-0005-0000-0000-0000C3090000}"/>
    <cellStyle name="Normalny 9 2 3 2 2 2 2" xfId="1944" xr:uid="{00000000-0005-0000-0000-0000C4090000}"/>
    <cellStyle name="Normalny 9 2 3 2 2 3" xfId="1945" xr:uid="{00000000-0005-0000-0000-0000C5090000}"/>
    <cellStyle name="Normalny 9 2 3 2 2_RPP" xfId="1946" xr:uid="{00000000-0005-0000-0000-0000C6090000}"/>
    <cellStyle name="Normalny 9 2 3 2 3" xfId="1947" xr:uid="{00000000-0005-0000-0000-0000C7090000}"/>
    <cellStyle name="Normalny 9 2 3 2 3 2" xfId="1948" xr:uid="{00000000-0005-0000-0000-0000C8090000}"/>
    <cellStyle name="Normalny 9 2 3 2 4" xfId="1949" xr:uid="{00000000-0005-0000-0000-0000C9090000}"/>
    <cellStyle name="Normalny 9 2 3 2_RPP" xfId="1950" xr:uid="{00000000-0005-0000-0000-0000CA090000}"/>
    <cellStyle name="Normalny 9 2 3 3" xfId="1951" xr:uid="{00000000-0005-0000-0000-0000CB090000}"/>
    <cellStyle name="Normalny 9 2 3 3 2" xfId="1952" xr:uid="{00000000-0005-0000-0000-0000CC090000}"/>
    <cellStyle name="Normalny 9 2 3 3 2 2" xfId="1953" xr:uid="{00000000-0005-0000-0000-0000CD090000}"/>
    <cellStyle name="Normalny 9 2 3 3 3" xfId="1954" xr:uid="{00000000-0005-0000-0000-0000CE090000}"/>
    <cellStyle name="Normalny 9 2 3 3_RPP" xfId="1955" xr:uid="{00000000-0005-0000-0000-0000CF090000}"/>
    <cellStyle name="Normalny 9 2 3 4" xfId="1956" xr:uid="{00000000-0005-0000-0000-0000D0090000}"/>
    <cellStyle name="Normalny 9 2 3 4 2" xfId="1957" xr:uid="{00000000-0005-0000-0000-0000D1090000}"/>
    <cellStyle name="Normalny 9 2 3 5" xfId="1958" xr:uid="{00000000-0005-0000-0000-0000D2090000}"/>
    <cellStyle name="Normalny 9 2 3_RPP" xfId="1959" xr:uid="{00000000-0005-0000-0000-0000D3090000}"/>
    <cellStyle name="Normalny 9 2 4" xfId="1960" xr:uid="{00000000-0005-0000-0000-0000D4090000}"/>
    <cellStyle name="Normalny 9 2 4 2" xfId="1961" xr:uid="{00000000-0005-0000-0000-0000D5090000}"/>
    <cellStyle name="Normalny 9 2 4 2 2" xfId="1962" xr:uid="{00000000-0005-0000-0000-0000D6090000}"/>
    <cellStyle name="Normalny 9 2 4 2 2 2" xfId="1963" xr:uid="{00000000-0005-0000-0000-0000D7090000}"/>
    <cellStyle name="Normalny 9 2 4 2 3" xfId="1964" xr:uid="{00000000-0005-0000-0000-0000D8090000}"/>
    <cellStyle name="Normalny 9 2 4 2_RPP" xfId="1965" xr:uid="{00000000-0005-0000-0000-0000D9090000}"/>
    <cellStyle name="Normalny 9 2 4 3" xfId="1966" xr:uid="{00000000-0005-0000-0000-0000DA090000}"/>
    <cellStyle name="Normalny 9 2 4 3 2" xfId="1967" xr:uid="{00000000-0005-0000-0000-0000DB090000}"/>
    <cellStyle name="Normalny 9 2 4 4" xfId="1968" xr:uid="{00000000-0005-0000-0000-0000DC090000}"/>
    <cellStyle name="Normalny 9 2 4_RPP" xfId="1969" xr:uid="{00000000-0005-0000-0000-0000DD090000}"/>
    <cellStyle name="Normalny 9 2 5" xfId="1970" xr:uid="{00000000-0005-0000-0000-0000DE090000}"/>
    <cellStyle name="Normalny 9 2 5 2" xfId="1971" xr:uid="{00000000-0005-0000-0000-0000DF090000}"/>
    <cellStyle name="Normalny 9 2 5 2 2" xfId="1972" xr:uid="{00000000-0005-0000-0000-0000E0090000}"/>
    <cellStyle name="Normalny 9 2 5 3" xfId="1973" xr:uid="{00000000-0005-0000-0000-0000E1090000}"/>
    <cellStyle name="Normalny 9 2 5_RPP" xfId="1974" xr:uid="{00000000-0005-0000-0000-0000E2090000}"/>
    <cellStyle name="Normalny 9 2 6" xfId="1975" xr:uid="{00000000-0005-0000-0000-0000E3090000}"/>
    <cellStyle name="Normalny 9 2 6 2" xfId="1976" xr:uid="{00000000-0005-0000-0000-0000E4090000}"/>
    <cellStyle name="Normalny 9 2 7" xfId="1977" xr:uid="{00000000-0005-0000-0000-0000E5090000}"/>
    <cellStyle name="Normalny 9 2_RPP" xfId="1978" xr:uid="{00000000-0005-0000-0000-0000E6090000}"/>
    <cellStyle name="Normalny 9 3" xfId="1979" xr:uid="{00000000-0005-0000-0000-0000E7090000}"/>
    <cellStyle name="Normalny 9 3 2" xfId="1980" xr:uid="{00000000-0005-0000-0000-0000E8090000}"/>
    <cellStyle name="Normalny 9 3 2 2" xfId="1981" xr:uid="{00000000-0005-0000-0000-0000E9090000}"/>
    <cellStyle name="Normalny 9 3 2 2 2" xfId="1982" xr:uid="{00000000-0005-0000-0000-0000EA090000}"/>
    <cellStyle name="Normalny 9 3 2 2 2 2" xfId="1983" xr:uid="{00000000-0005-0000-0000-0000EB090000}"/>
    <cellStyle name="Normalny 9 3 2 2 3" xfId="1984" xr:uid="{00000000-0005-0000-0000-0000EC090000}"/>
    <cellStyle name="Normalny 9 3 2 2_RPP" xfId="1985" xr:uid="{00000000-0005-0000-0000-0000ED090000}"/>
    <cellStyle name="Normalny 9 3 2 3" xfId="1986" xr:uid="{00000000-0005-0000-0000-0000EE090000}"/>
    <cellStyle name="Normalny 9 3 2 3 2" xfId="1987" xr:uid="{00000000-0005-0000-0000-0000EF090000}"/>
    <cellStyle name="Normalny 9 3 2 4" xfId="1988" xr:uid="{00000000-0005-0000-0000-0000F0090000}"/>
    <cellStyle name="Normalny 9 3 2_RPP" xfId="1989" xr:uid="{00000000-0005-0000-0000-0000F1090000}"/>
    <cellStyle name="Normalny 9 3 3" xfId="1990" xr:uid="{00000000-0005-0000-0000-0000F2090000}"/>
    <cellStyle name="Normalny 9 3 3 2" xfId="1991" xr:uid="{00000000-0005-0000-0000-0000F3090000}"/>
    <cellStyle name="Normalny 9 3 3 2 2" xfId="1992" xr:uid="{00000000-0005-0000-0000-0000F4090000}"/>
    <cellStyle name="Normalny 9 3 3 3" xfId="1993" xr:uid="{00000000-0005-0000-0000-0000F5090000}"/>
    <cellStyle name="Normalny 9 3 3_RPP" xfId="1994" xr:uid="{00000000-0005-0000-0000-0000F6090000}"/>
    <cellStyle name="Normalny 9 3 4" xfId="1995" xr:uid="{00000000-0005-0000-0000-0000F7090000}"/>
    <cellStyle name="Normalny 9 3 4 2" xfId="1996" xr:uid="{00000000-0005-0000-0000-0000F8090000}"/>
    <cellStyle name="Normalny 9 3 5" xfId="1997" xr:uid="{00000000-0005-0000-0000-0000F9090000}"/>
    <cellStyle name="Normalny 9 3_RPP" xfId="1998" xr:uid="{00000000-0005-0000-0000-0000FA090000}"/>
    <cellStyle name="Normalny 9 4" xfId="1999" xr:uid="{00000000-0005-0000-0000-0000FB090000}"/>
    <cellStyle name="Normalny 9 4 2" xfId="2000" xr:uid="{00000000-0005-0000-0000-0000FC090000}"/>
    <cellStyle name="Normalny 9 4 2 2" xfId="2001" xr:uid="{00000000-0005-0000-0000-0000FD090000}"/>
    <cellStyle name="Normalny 9 4 2 2 2" xfId="2002" xr:uid="{00000000-0005-0000-0000-0000FE090000}"/>
    <cellStyle name="Normalny 9 4 2 2 2 2" xfId="2003" xr:uid="{00000000-0005-0000-0000-0000FF090000}"/>
    <cellStyle name="Normalny 9 4 2 2 3" xfId="2004" xr:uid="{00000000-0005-0000-0000-0000000A0000}"/>
    <cellStyle name="Normalny 9 4 2 2_RPP" xfId="2005" xr:uid="{00000000-0005-0000-0000-0000010A0000}"/>
    <cellStyle name="Normalny 9 4 2 3" xfId="2006" xr:uid="{00000000-0005-0000-0000-0000020A0000}"/>
    <cellStyle name="Normalny 9 4 2 3 2" xfId="2007" xr:uid="{00000000-0005-0000-0000-0000030A0000}"/>
    <cellStyle name="Normalny 9 4 2 4" xfId="2008" xr:uid="{00000000-0005-0000-0000-0000040A0000}"/>
    <cellStyle name="Normalny 9 4 2_RPP" xfId="2009" xr:uid="{00000000-0005-0000-0000-0000050A0000}"/>
    <cellStyle name="Normalny 9 4 3" xfId="2010" xr:uid="{00000000-0005-0000-0000-0000060A0000}"/>
    <cellStyle name="Normalny 9 4 3 2" xfId="2011" xr:uid="{00000000-0005-0000-0000-0000070A0000}"/>
    <cellStyle name="Normalny 9 4 3 2 2" xfId="2012" xr:uid="{00000000-0005-0000-0000-0000080A0000}"/>
    <cellStyle name="Normalny 9 4 3 3" xfId="2013" xr:uid="{00000000-0005-0000-0000-0000090A0000}"/>
    <cellStyle name="Normalny 9 4 3_RPP" xfId="2014" xr:uid="{00000000-0005-0000-0000-00000A0A0000}"/>
    <cellStyle name="Normalny 9 4 4" xfId="2015" xr:uid="{00000000-0005-0000-0000-00000B0A0000}"/>
    <cellStyle name="Normalny 9 4 4 2" xfId="2016" xr:uid="{00000000-0005-0000-0000-00000C0A0000}"/>
    <cellStyle name="Normalny 9 4 5" xfId="2017" xr:uid="{00000000-0005-0000-0000-00000D0A0000}"/>
    <cellStyle name="Normalny 9 4_RPP" xfId="2018" xr:uid="{00000000-0005-0000-0000-00000E0A0000}"/>
    <cellStyle name="Normalny 9 5" xfId="2019" xr:uid="{00000000-0005-0000-0000-00000F0A0000}"/>
    <cellStyle name="Normalny 9 5 2" xfId="2020" xr:uid="{00000000-0005-0000-0000-0000100A0000}"/>
    <cellStyle name="Normalny 9 5 2 2" xfId="2021" xr:uid="{00000000-0005-0000-0000-0000110A0000}"/>
    <cellStyle name="Normalny 9 5 2 2 2" xfId="2022" xr:uid="{00000000-0005-0000-0000-0000120A0000}"/>
    <cellStyle name="Normalny 9 5 2 3" xfId="2023" xr:uid="{00000000-0005-0000-0000-0000130A0000}"/>
    <cellStyle name="Normalny 9 5 2_RPP" xfId="2024" xr:uid="{00000000-0005-0000-0000-0000140A0000}"/>
    <cellStyle name="Normalny 9 5 3" xfId="2025" xr:uid="{00000000-0005-0000-0000-0000150A0000}"/>
    <cellStyle name="Normalny 9 5 3 2" xfId="2026" xr:uid="{00000000-0005-0000-0000-0000160A0000}"/>
    <cellStyle name="Normalny 9 5 4" xfId="2027" xr:uid="{00000000-0005-0000-0000-0000170A0000}"/>
    <cellStyle name="Normalny 9 5_RPP" xfId="2028" xr:uid="{00000000-0005-0000-0000-0000180A0000}"/>
    <cellStyle name="Normalny 9 6" xfId="2029" xr:uid="{00000000-0005-0000-0000-0000190A0000}"/>
    <cellStyle name="Normalny 9 6 2" xfId="2030" xr:uid="{00000000-0005-0000-0000-00001A0A0000}"/>
    <cellStyle name="Normalny 9 6 2 2" xfId="2031" xr:uid="{00000000-0005-0000-0000-00001B0A0000}"/>
    <cellStyle name="Normalny 9 6 3" xfId="2032" xr:uid="{00000000-0005-0000-0000-00001C0A0000}"/>
    <cellStyle name="Normalny 9 6_RPP" xfId="2033" xr:uid="{00000000-0005-0000-0000-00001D0A0000}"/>
    <cellStyle name="Normalny 9 7" xfId="2034" xr:uid="{00000000-0005-0000-0000-00001E0A0000}"/>
    <cellStyle name="Normalny 9 7 2" xfId="2035" xr:uid="{00000000-0005-0000-0000-00001F0A0000}"/>
    <cellStyle name="Normalny 9 8" xfId="2036" xr:uid="{00000000-0005-0000-0000-0000200A0000}"/>
    <cellStyle name="Normalny 9 9" xfId="2037" xr:uid="{00000000-0005-0000-0000-0000210A0000}"/>
    <cellStyle name="Normalny 9_RPP" xfId="2038" xr:uid="{00000000-0005-0000-0000-0000220A0000}"/>
    <cellStyle name="Normalny 90" xfId="2227" xr:uid="{00000000-0005-0000-0000-0000230A0000}"/>
    <cellStyle name="Normalny 91" xfId="2228" xr:uid="{00000000-0005-0000-0000-0000240A0000}"/>
    <cellStyle name="Normalny 91 2" xfId="2602" xr:uid="{00000000-0005-0000-0000-0000250A0000}"/>
    <cellStyle name="Normalny 92" xfId="2229" xr:uid="{00000000-0005-0000-0000-0000260A0000}"/>
    <cellStyle name="Normalny 93 2" xfId="2604" xr:uid="{00000000-0005-0000-0000-0000270A0000}"/>
    <cellStyle name="Normalny 93 2 2" xfId="2607" xr:uid="{00000000-0005-0000-0000-0000280A0000}"/>
    <cellStyle name="Normalny 94" xfId="2609" xr:uid="{00000000-0005-0000-0000-0000290A0000}"/>
    <cellStyle name="Normalny_główny plik IMS" xfId="5" xr:uid="{00000000-0005-0000-0000-00002A0A0000}"/>
    <cellStyle name="Normalny_pkon - wzór" xfId="6" xr:uid="{00000000-0005-0000-0000-00002B0A0000}"/>
    <cellStyle name="Normalny_RoedlConsult_311202_sprawozdanie_z_dział_jedn" xfId="7" xr:uid="{00000000-0005-0000-0000-00002C0A0000}"/>
    <cellStyle name="Normalny_spółkaxxxxxxraportex" xfId="8" xr:uid="{00000000-0005-0000-0000-00002D0A0000}"/>
    <cellStyle name="Normalny_spółkaxxxxxxraportex 2" xfId="2225" xr:uid="{00000000-0005-0000-0000-00002E0A0000}"/>
    <cellStyle name="Normalny_Sprawozdanie Finansowe po korekcie II" xfId="9" xr:uid="{00000000-0005-0000-0000-00002F0A0000}"/>
    <cellStyle name="Normalny_TABELE " xfId="10" xr:uid="{00000000-0005-0000-0000-0000300A0000}"/>
    <cellStyle name="Normalny_tabele dla klienta" xfId="11" xr:uid="{00000000-0005-0000-0000-0000310A0000}"/>
    <cellStyle name="Procentowy" xfId="12" builtinId="5"/>
    <cellStyle name="Styl 1" xfId="2605" xr:uid="{00000000-0005-0000-0000-0000330A0000}"/>
  </cellStyles>
  <dxfs count="5">
    <dxf>
      <numFmt numFmtId="0" formatCode="General"/>
      <protection locked="0" hidden="0"/>
    </dxf>
    <dxf>
      <numFmt numFmtId="0" formatCode="General"/>
      <protection locked="0" hidden="0"/>
    </dxf>
    <dxf>
      <numFmt numFmtId="0" formatCode="General"/>
      <protection locked="0" hidden="0"/>
    </dxf>
    <dxf>
      <protection locked="0" hidden="0"/>
    </dxf>
    <dxf>
      <protection locked="0" hidden="0"/>
    </dxf>
  </dxfs>
  <tableStyles count="0" defaultTableStyle="TableStyleMedium9"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onnections" Target="connection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3524250</xdr:colOff>
      <xdr:row>0</xdr:row>
      <xdr:rowOff>0</xdr:rowOff>
    </xdr:from>
    <xdr:to>
      <xdr:col>2</xdr:col>
      <xdr:colOff>381000</xdr:colOff>
      <xdr:row>3</xdr:row>
      <xdr:rowOff>9525</xdr:rowOff>
    </xdr:to>
    <xdr:pic>
      <xdr:nvPicPr>
        <xdr:cNvPr id="30793" name="Picture 1">
          <a:extLst>
            <a:ext uri="{FF2B5EF4-FFF2-40B4-BE49-F238E27FC236}">
              <a16:creationId xmlns:a16="http://schemas.microsoft.com/office/drawing/2014/main" id="{00000000-0008-0000-0400-0000497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0" y="0"/>
          <a:ext cx="2047875" cy="495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244185</xdr:colOff>
      <xdr:row>1</xdr:row>
      <xdr:rowOff>506067</xdr:rowOff>
    </xdr:to>
    <xdr:pic>
      <xdr:nvPicPr>
        <xdr:cNvPr id="2" name="Obraz 1" descr="Rödl_Partner_Logo">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5" y="161925"/>
          <a:ext cx="2177760" cy="50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215610</xdr:colOff>
      <xdr:row>1</xdr:row>
      <xdr:rowOff>506067</xdr:rowOff>
    </xdr:to>
    <xdr:pic>
      <xdr:nvPicPr>
        <xdr:cNvPr id="2" name="Obraz 1" descr="Rödl_Partner_Logo">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5225" y="161925"/>
          <a:ext cx="2177760" cy="50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18</xdr:col>
      <xdr:colOff>320071</xdr:colOff>
      <xdr:row>9</xdr:row>
      <xdr:rowOff>83003</xdr:rowOff>
    </xdr:to>
    <xdr:sp macro="" textlink="">
      <xdr:nvSpPr>
        <xdr:cNvPr id="4" name="TextBox 3">
          <a:extLst>
            <a:ext uri="{FF2B5EF4-FFF2-40B4-BE49-F238E27FC236}">
              <a16:creationId xmlns:a16="http://schemas.microsoft.com/office/drawing/2014/main" id="{00000000-0008-0000-1F00-000004000000}"/>
            </a:ext>
          </a:extLst>
        </xdr:cNvPr>
        <xdr:cNvSpPr txBox="1"/>
      </xdr:nvSpPr>
      <xdr:spPr>
        <a:xfrm>
          <a:off x="11534775" y="161925"/>
          <a:ext cx="3510946" cy="1749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b="1"/>
            <a:t>Informacja Power BI:</a:t>
          </a:r>
        </a:p>
        <a:p>
          <a:endParaRPr lang="pl-PL" sz="1100"/>
        </a:p>
        <a:p>
          <a:r>
            <a:rPr lang="pl-PL" sz="1100"/>
            <a:t>Jeśli w sprawozdaniu nie będzie tego arkusza, to należy go tutaj ukryć (</a:t>
          </a:r>
          <a:r>
            <a:rPr lang="pl-PL" sz="1100" b="1"/>
            <a:t>nie kasować</a:t>
          </a:r>
          <a:r>
            <a:rPr lang="pl-PL" sz="1100"/>
            <a:t>) oraz w samym Power BI usunąć,stronę  CF mb, ktora</a:t>
          </a:r>
          <a:r>
            <a:rPr lang="pl-PL" sz="1100" baseline="0"/>
            <a:t> odpowiada temu arkuszowi </a:t>
          </a:r>
          <a:r>
            <a:rPr lang="pl-PL" sz="1100">
              <a:solidFill>
                <a:schemeClr val="dk1"/>
              </a:solidFill>
              <a:effectLst/>
              <a:latin typeface="+mn-lt"/>
              <a:ea typeface="+mn-ea"/>
              <a:cs typeface="+mn-cs"/>
            </a:rPr>
            <a:t> i pozostawić CF mp.</a:t>
          </a:r>
          <a:endParaRPr lang="pl-PL"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0</xdr:row>
      <xdr:rowOff>27214</xdr:rowOff>
    </xdr:from>
    <xdr:to>
      <xdr:col>20</xdr:col>
      <xdr:colOff>203200</xdr:colOff>
      <xdr:row>0</xdr:row>
      <xdr:rowOff>144326</xdr:rowOff>
    </xdr:to>
    <xdr:sp macro="" textlink="">
      <xdr:nvSpPr>
        <xdr:cNvPr id="4" name="Rectangle: Rounded Corners 3">
          <a:extLst>
            <a:ext uri="{FF2B5EF4-FFF2-40B4-BE49-F238E27FC236}">
              <a16:creationId xmlns:a16="http://schemas.microsoft.com/office/drawing/2014/main" id="{00000000-0008-0000-3200-000004000000}"/>
            </a:ext>
          </a:extLst>
        </xdr:cNvPr>
        <xdr:cNvSpPr>
          <a:spLocks noChangeAspect="1"/>
        </xdr:cNvSpPr>
      </xdr:nvSpPr>
      <xdr:spPr>
        <a:xfrm>
          <a:off x="21838557" y="27214"/>
          <a:ext cx="949325" cy="10885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1.%20KNOWLEDGE%20MANAGER\1.%20SF\3.%20Wz&#243;r%202023\Sprawozdanie%20finansowe%202023_JMA_wz&#243;r_v06.06.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ZiS%20Por."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ilans-korekty"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ilans%20po%20korektach"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ZiS%20Por.%20po%20korektach"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F%20kalkulacj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3"/>
      <sheetName val="Mapping (2)"/>
      <sheetName val="Szkielet (2)"/>
      <sheetName val="Mapping"/>
      <sheetName val="Szkielet"/>
      <sheetName val="Rob"/>
      <sheetName val="Połączenie z obiegiem"/>
      <sheetName val="Dane_current"/>
      <sheetName val="Dane_prev"/>
      <sheetName val="wskazówki"/>
      <sheetName val="Rob2"/>
      <sheetName val="GA"/>
      <sheetName val="check"/>
      <sheetName val="spis treści"/>
      <sheetName val="Mapowanie"/>
      <sheetName val="PKD"/>
      <sheetName val="ZOIS"/>
      <sheetName val="Tytułowa"/>
      <sheetName val="Wprowadzenie"/>
      <sheetName val="Bilans JIN"/>
      <sheetName val="Bilans-korekty"/>
      <sheetName val="F1"/>
      <sheetName val="F2"/>
      <sheetName val="Bilans po korektach"/>
      <sheetName val="Bilans"/>
      <sheetName val="RZiS JIN"/>
      <sheetName val="RZiS Por. po korektach"/>
      <sheetName val="F3"/>
      <sheetName val="FORMATKA_RPP bezpośredni"/>
      <sheetName val="F1 (2)"/>
      <sheetName val="F2 (2)"/>
      <sheetName val="Bilans JMA-korekty"/>
      <sheetName val="Bilans JMA po kor."/>
      <sheetName val="RZiS Por."/>
      <sheetName val="F3 (2)"/>
      <sheetName val="RZiS Kal."/>
      <sheetName val="RZiS JMA po kor"/>
      <sheetName val="CF mp"/>
      <sheetName val="F4"/>
      <sheetName val="CF kalkulacja"/>
      <sheetName val="nota do CF"/>
      <sheetName val="CF mb"/>
      <sheetName val="F6"/>
      <sheetName val="F5"/>
      <sheetName val="Z. Zm. w Kap."/>
      <sheetName val="Nota do Z. Zm. w Kap."/>
      <sheetName val="ID tytul"/>
      <sheetName val="nota 1.1.-1.2"/>
      <sheetName val="nota 1.3-1.5"/>
      <sheetName val="nota 1.6-1.8"/>
      <sheetName val="nota 1.9-1.16"/>
      <sheetName val="nota 1.17-1.20"/>
      <sheetName val="nota 2"/>
      <sheetName val="CIT2"/>
      <sheetName val="n"/>
      <sheetName val="SPRAWOZDANIE"/>
      <sheetName val="SPRAWOZDANIE S.A."/>
      <sheetName val="C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ZiS Por"/>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s-korekty"/>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s po korektach"/>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ZiS Por"/>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kalkulacja"/>
    </sheetNames>
    <sheetDataSet>
      <sheetData sheetId="0"/>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neZewnętrzne_1" connectionId="1" xr16:uid="{00000000-0016-0000-0000-000000000000}" autoFormatId="0" applyNumberFormats="0" applyBorderFormats="0" applyFontFormats="1" applyPatternFormats="1" applyAlignmentFormats="0" applyWidthHeightFormats="0">
  <queryTableRefresh preserveSortFilterLayout="0" nextId="4" unboundColumnsRight="2">
    <queryTableFields count="3">
      <queryTableField id="1" name="Name" tableColumnId="12"/>
      <queryTableField id="2" dataBound="0" tableColumnId="13"/>
      <queryTableField id="3" dataBound="0"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Kopia_Sprawozdanie_finansowe_2019___duże_jednostki_wzór_v_07_01_2020_z_AX_xlsm" displayName="Kopia_Sprawozdanie_finansowe_2019___duże_jednostki_wzór_v_07_01_2020_z_AX_xlsm" ref="B1:D49" tableType="queryTable" totalsRowShown="0" headerRowDxfId="4" dataDxfId="3">
  <autoFilter ref="B1:D49" xr:uid="{00000000-0009-0000-0100-000001000000}"/>
  <tableColumns count="3">
    <tableColumn id="12" xr3:uid="{00000000-0010-0000-0000-00000C000000}" uniqueName="12" name="1" queryTableFieldId="1" dataDxfId="2"/>
    <tableColumn id="13" xr3:uid="{00000000-0010-0000-0000-00000D000000}" uniqueName="13" name="2" queryTableFieldId="2" dataDxfId="1"/>
    <tableColumn id="14" xr3:uid="{00000000-0010-0000-0000-00000E000000}" uniqueName="14" name="3" queryTableFieldId="3" dataDxfId="0"/>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roedl.com/" TargetMode="External"/></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1"/>
  <dimension ref="A1:D49"/>
  <sheetViews>
    <sheetView workbookViewId="0"/>
  </sheetViews>
  <sheetFormatPr defaultColWidth="9.140625" defaultRowHeight="12.75"/>
  <cols>
    <col min="1" max="2" width="9.140625" style="424"/>
    <col min="3" max="3" width="13.28515625" style="424" bestFit="1" customWidth="1"/>
    <col min="4" max="16384" width="9.140625" style="424"/>
  </cols>
  <sheetData>
    <row r="1" spans="1:4" ht="15">
      <c r="A1" s="423"/>
      <c r="B1" s="67" t="s">
        <v>0</v>
      </c>
      <c r="C1" s="67" t="s">
        <v>1</v>
      </c>
      <c r="D1" s="67" t="s">
        <v>2</v>
      </c>
    </row>
    <row r="2" spans="1:4">
      <c r="A2" s="425" t="s">
        <v>3</v>
      </c>
      <c r="B2" s="67" t="s">
        <v>3</v>
      </c>
      <c r="C2" s="67" t="s">
        <v>4</v>
      </c>
      <c r="D2" s="426" t="s">
        <v>5</v>
      </c>
    </row>
    <row r="3" spans="1:4">
      <c r="A3" s="425" t="s">
        <v>6</v>
      </c>
      <c r="B3" s="67" t="s">
        <v>6</v>
      </c>
      <c r="C3" s="67" t="s">
        <v>7</v>
      </c>
      <c r="D3" s="67" t="s">
        <v>8</v>
      </c>
    </row>
    <row r="4" spans="1:4">
      <c r="A4" s="425" t="s">
        <v>9</v>
      </c>
      <c r="B4" s="67" t="s">
        <v>9</v>
      </c>
      <c r="C4" s="67" t="s">
        <v>10</v>
      </c>
      <c r="D4" s="67" t="s">
        <v>11</v>
      </c>
    </row>
    <row r="5" spans="1:4">
      <c r="A5" s="425" t="s">
        <v>12</v>
      </c>
      <c r="B5" s="67" t="s">
        <v>12</v>
      </c>
      <c r="C5" s="67" t="s">
        <v>13</v>
      </c>
      <c r="D5" s="67" t="s">
        <v>14</v>
      </c>
    </row>
    <row r="6" spans="1:4">
      <c r="A6" s="425" t="s">
        <v>15</v>
      </c>
      <c r="B6" s="67" t="s">
        <v>15</v>
      </c>
      <c r="C6" s="67" t="s">
        <v>16</v>
      </c>
      <c r="D6" s="67" t="s">
        <v>17</v>
      </c>
    </row>
    <row r="7" spans="1:4">
      <c r="A7" s="425" t="s">
        <v>18</v>
      </c>
      <c r="B7" s="67" t="s">
        <v>18</v>
      </c>
      <c r="C7" s="67" t="s">
        <v>19</v>
      </c>
      <c r="D7" s="67" t="s">
        <v>20</v>
      </c>
    </row>
    <row r="8" spans="1:4">
      <c r="A8" s="425" t="s">
        <v>21</v>
      </c>
      <c r="B8" s="67" t="s">
        <v>21</v>
      </c>
      <c r="C8" s="67" t="s">
        <v>22</v>
      </c>
      <c r="D8" s="67" t="s">
        <v>23</v>
      </c>
    </row>
    <row r="9" spans="1:4">
      <c r="A9" s="425" t="s">
        <v>24</v>
      </c>
      <c r="B9" s="67" t="s">
        <v>24</v>
      </c>
      <c r="C9" s="67" t="s">
        <v>25</v>
      </c>
      <c r="D9" s="67" t="s">
        <v>26</v>
      </c>
    </row>
    <row r="10" spans="1:4">
      <c r="A10" s="425" t="s">
        <v>27</v>
      </c>
      <c r="B10" s="67" t="s">
        <v>27</v>
      </c>
      <c r="C10" s="67" t="s">
        <v>28</v>
      </c>
      <c r="D10" s="67" t="s">
        <v>29</v>
      </c>
    </row>
    <row r="11" spans="1:4">
      <c r="A11" s="425" t="s">
        <v>30</v>
      </c>
      <c r="B11" s="67" t="s">
        <v>30</v>
      </c>
      <c r="C11" s="67" t="s">
        <v>31</v>
      </c>
      <c r="D11" s="67" t="s">
        <v>32</v>
      </c>
    </row>
    <row r="12" spans="1:4">
      <c r="A12" s="425" t="s">
        <v>33</v>
      </c>
      <c r="B12" s="67" t="s">
        <v>33</v>
      </c>
      <c r="C12" s="67" t="s">
        <v>34</v>
      </c>
      <c r="D12" s="67" t="s">
        <v>35</v>
      </c>
    </row>
    <row r="13" spans="1:4">
      <c r="A13" s="425" t="s">
        <v>36</v>
      </c>
      <c r="B13" s="67" t="s">
        <v>36</v>
      </c>
      <c r="C13" s="67" t="s">
        <v>37</v>
      </c>
      <c r="D13" s="67" t="s">
        <v>38</v>
      </c>
    </row>
    <row r="14" spans="1:4">
      <c r="A14" s="425" t="s">
        <v>39</v>
      </c>
      <c r="B14" s="67" t="s">
        <v>39</v>
      </c>
      <c r="C14" s="67" t="s">
        <v>40</v>
      </c>
      <c r="D14" s="67" t="s">
        <v>41</v>
      </c>
    </row>
    <row r="15" spans="1:4">
      <c r="A15" s="425" t="s">
        <v>42</v>
      </c>
      <c r="B15" s="67" t="s">
        <v>42</v>
      </c>
      <c r="C15" s="67" t="s">
        <v>43</v>
      </c>
      <c r="D15" s="67" t="s">
        <v>44</v>
      </c>
    </row>
    <row r="16" spans="1:4">
      <c r="A16" s="425" t="s">
        <v>45</v>
      </c>
      <c r="B16" s="67" t="s">
        <v>45</v>
      </c>
      <c r="C16" s="67" t="s">
        <v>46</v>
      </c>
      <c r="D16" s="67" t="s">
        <v>47</v>
      </c>
    </row>
    <row r="17" spans="1:4">
      <c r="A17" s="427" t="s">
        <v>48</v>
      </c>
      <c r="B17" s="67" t="s">
        <v>48</v>
      </c>
      <c r="C17" s="67" t="s">
        <v>49</v>
      </c>
      <c r="D17" s="67" t="s">
        <v>50</v>
      </c>
    </row>
    <row r="18" spans="1:4">
      <c r="A18" s="428" t="s">
        <v>4</v>
      </c>
      <c r="B18" s="67" t="s">
        <v>3</v>
      </c>
      <c r="C18" s="67" t="s">
        <v>4</v>
      </c>
      <c r="D18" s="426" t="s">
        <v>5</v>
      </c>
    </row>
    <row r="19" spans="1:4">
      <c r="A19" s="428" t="s">
        <v>7</v>
      </c>
      <c r="B19" s="67" t="s">
        <v>6</v>
      </c>
      <c r="C19" s="67" t="s">
        <v>7</v>
      </c>
      <c r="D19" s="67" t="s">
        <v>8</v>
      </c>
    </row>
    <row r="20" spans="1:4">
      <c r="A20" s="428" t="s">
        <v>10</v>
      </c>
      <c r="B20" s="67" t="s">
        <v>9</v>
      </c>
      <c r="C20" s="67" t="s">
        <v>10</v>
      </c>
      <c r="D20" s="67" t="s">
        <v>11</v>
      </c>
    </row>
    <row r="21" spans="1:4">
      <c r="A21" s="428" t="s">
        <v>13</v>
      </c>
      <c r="B21" s="67" t="s">
        <v>12</v>
      </c>
      <c r="C21" s="67" t="s">
        <v>13</v>
      </c>
      <c r="D21" s="67" t="s">
        <v>14</v>
      </c>
    </row>
    <row r="22" spans="1:4">
      <c r="A22" s="428" t="s">
        <v>16</v>
      </c>
      <c r="B22" s="67" t="s">
        <v>15</v>
      </c>
      <c r="C22" s="67" t="s">
        <v>16</v>
      </c>
      <c r="D22" s="67" t="s">
        <v>17</v>
      </c>
    </row>
    <row r="23" spans="1:4">
      <c r="A23" s="428" t="s">
        <v>19</v>
      </c>
      <c r="B23" s="67" t="s">
        <v>18</v>
      </c>
      <c r="C23" s="67" t="s">
        <v>19</v>
      </c>
      <c r="D23" s="67" t="s">
        <v>20</v>
      </c>
    </row>
    <row r="24" spans="1:4">
      <c r="A24" s="428" t="s">
        <v>22</v>
      </c>
      <c r="B24" s="67" t="s">
        <v>21</v>
      </c>
      <c r="C24" s="67" t="s">
        <v>22</v>
      </c>
      <c r="D24" s="67" t="s">
        <v>23</v>
      </c>
    </row>
    <row r="25" spans="1:4">
      <c r="A25" s="428" t="s">
        <v>25</v>
      </c>
      <c r="B25" s="67" t="s">
        <v>24</v>
      </c>
      <c r="C25" s="67" t="s">
        <v>25</v>
      </c>
      <c r="D25" s="67" t="s">
        <v>26</v>
      </c>
    </row>
    <row r="26" spans="1:4">
      <c r="A26" s="428" t="s">
        <v>28</v>
      </c>
      <c r="B26" s="67" t="s">
        <v>27</v>
      </c>
      <c r="C26" s="67" t="s">
        <v>28</v>
      </c>
      <c r="D26" s="67" t="s">
        <v>29</v>
      </c>
    </row>
    <row r="27" spans="1:4">
      <c r="A27" s="428" t="s">
        <v>31</v>
      </c>
      <c r="B27" s="67" t="s">
        <v>30</v>
      </c>
      <c r="C27" s="67" t="s">
        <v>31</v>
      </c>
      <c r="D27" s="67" t="s">
        <v>32</v>
      </c>
    </row>
    <row r="28" spans="1:4">
      <c r="A28" s="428" t="s">
        <v>34</v>
      </c>
      <c r="B28" s="67" t="s">
        <v>33</v>
      </c>
      <c r="C28" s="67" t="s">
        <v>34</v>
      </c>
      <c r="D28" s="67" t="s">
        <v>35</v>
      </c>
    </row>
    <row r="29" spans="1:4">
      <c r="A29" s="428" t="s">
        <v>37</v>
      </c>
      <c r="B29" s="67" t="s">
        <v>36</v>
      </c>
      <c r="C29" s="67" t="s">
        <v>37</v>
      </c>
      <c r="D29" s="67" t="s">
        <v>38</v>
      </c>
    </row>
    <row r="30" spans="1:4">
      <c r="A30" s="428" t="s">
        <v>40</v>
      </c>
      <c r="B30" s="67" t="s">
        <v>39</v>
      </c>
      <c r="C30" s="67" t="s">
        <v>40</v>
      </c>
      <c r="D30" s="67" t="s">
        <v>41</v>
      </c>
    </row>
    <row r="31" spans="1:4">
      <c r="A31" s="428" t="s">
        <v>43</v>
      </c>
      <c r="B31" s="67" t="s">
        <v>42</v>
      </c>
      <c r="C31" s="67" t="s">
        <v>43</v>
      </c>
      <c r="D31" s="67" t="s">
        <v>44</v>
      </c>
    </row>
    <row r="32" spans="1:4">
      <c r="A32" s="428" t="s">
        <v>46</v>
      </c>
      <c r="B32" s="67" t="s">
        <v>45</v>
      </c>
      <c r="C32" s="67" t="s">
        <v>46</v>
      </c>
      <c r="D32" s="67" t="s">
        <v>47</v>
      </c>
    </row>
    <row r="33" spans="1:4">
      <c r="A33" s="429" t="s">
        <v>49</v>
      </c>
      <c r="B33" s="67" t="s">
        <v>48</v>
      </c>
      <c r="C33" s="67" t="s">
        <v>49</v>
      </c>
      <c r="D33" s="67" t="s">
        <v>50</v>
      </c>
    </row>
    <row r="34" spans="1:4">
      <c r="A34" s="430" t="s">
        <v>5</v>
      </c>
      <c r="B34" s="67" t="s">
        <v>3</v>
      </c>
      <c r="C34" s="67" t="s">
        <v>4</v>
      </c>
      <c r="D34" s="426" t="s">
        <v>5</v>
      </c>
    </row>
    <row r="35" spans="1:4">
      <c r="A35" s="431" t="s">
        <v>8</v>
      </c>
      <c r="B35" s="67" t="s">
        <v>6</v>
      </c>
      <c r="C35" s="67" t="s">
        <v>7</v>
      </c>
      <c r="D35" s="67" t="s">
        <v>8</v>
      </c>
    </row>
    <row r="36" spans="1:4">
      <c r="A36" s="431" t="s">
        <v>11</v>
      </c>
      <c r="B36" s="67" t="s">
        <v>9</v>
      </c>
      <c r="C36" s="67" t="s">
        <v>10</v>
      </c>
      <c r="D36" s="67" t="s">
        <v>11</v>
      </c>
    </row>
    <row r="37" spans="1:4">
      <c r="A37" s="431" t="s">
        <v>14</v>
      </c>
      <c r="B37" s="67" t="s">
        <v>12</v>
      </c>
      <c r="C37" s="67" t="s">
        <v>13</v>
      </c>
      <c r="D37" s="67" t="s">
        <v>14</v>
      </c>
    </row>
    <row r="38" spans="1:4">
      <c r="A38" s="431" t="s">
        <v>17</v>
      </c>
      <c r="B38" s="67" t="s">
        <v>15</v>
      </c>
      <c r="C38" s="67" t="s">
        <v>16</v>
      </c>
      <c r="D38" s="67" t="s">
        <v>17</v>
      </c>
    </row>
    <row r="39" spans="1:4">
      <c r="A39" s="431" t="s">
        <v>20</v>
      </c>
      <c r="B39" s="67" t="s">
        <v>18</v>
      </c>
      <c r="C39" s="67" t="s">
        <v>19</v>
      </c>
      <c r="D39" s="67" t="s">
        <v>20</v>
      </c>
    </row>
    <row r="40" spans="1:4">
      <c r="A40" s="431" t="s">
        <v>23</v>
      </c>
      <c r="B40" s="67" t="s">
        <v>21</v>
      </c>
      <c r="C40" s="67" t="s">
        <v>22</v>
      </c>
      <c r="D40" s="67" t="s">
        <v>23</v>
      </c>
    </row>
    <row r="41" spans="1:4">
      <c r="A41" s="431" t="s">
        <v>26</v>
      </c>
      <c r="B41" s="67" t="s">
        <v>24</v>
      </c>
      <c r="C41" s="67" t="s">
        <v>25</v>
      </c>
      <c r="D41" s="67" t="s">
        <v>26</v>
      </c>
    </row>
    <row r="42" spans="1:4">
      <c r="A42" s="431" t="s">
        <v>29</v>
      </c>
      <c r="B42" s="67" t="s">
        <v>27</v>
      </c>
      <c r="C42" s="67" t="s">
        <v>28</v>
      </c>
      <c r="D42" s="67" t="s">
        <v>29</v>
      </c>
    </row>
    <row r="43" spans="1:4">
      <c r="A43" s="431" t="s">
        <v>32</v>
      </c>
      <c r="B43" s="67" t="s">
        <v>30</v>
      </c>
      <c r="C43" s="67" t="s">
        <v>31</v>
      </c>
      <c r="D43" s="67" t="s">
        <v>32</v>
      </c>
    </row>
    <row r="44" spans="1:4">
      <c r="A44" s="431" t="s">
        <v>35</v>
      </c>
      <c r="B44" s="67" t="s">
        <v>33</v>
      </c>
      <c r="C44" s="67" t="s">
        <v>34</v>
      </c>
      <c r="D44" s="67" t="s">
        <v>35</v>
      </c>
    </row>
    <row r="45" spans="1:4">
      <c r="A45" s="431" t="s">
        <v>38</v>
      </c>
      <c r="B45" s="67" t="s">
        <v>36</v>
      </c>
      <c r="C45" s="67" t="s">
        <v>37</v>
      </c>
      <c r="D45" s="67" t="s">
        <v>38</v>
      </c>
    </row>
    <row r="46" spans="1:4">
      <c r="A46" s="431" t="s">
        <v>41</v>
      </c>
      <c r="B46" s="67" t="s">
        <v>39</v>
      </c>
      <c r="C46" s="67" t="s">
        <v>40</v>
      </c>
      <c r="D46" s="67" t="s">
        <v>41</v>
      </c>
    </row>
    <row r="47" spans="1:4">
      <c r="A47" s="431" t="s">
        <v>44</v>
      </c>
      <c r="B47" s="67" t="s">
        <v>42</v>
      </c>
      <c r="C47" s="67" t="s">
        <v>43</v>
      </c>
      <c r="D47" s="67" t="s">
        <v>44</v>
      </c>
    </row>
    <row r="48" spans="1:4">
      <c r="A48" s="431" t="s">
        <v>47</v>
      </c>
      <c r="B48" s="67" t="s">
        <v>45</v>
      </c>
      <c r="C48" s="67" t="s">
        <v>46</v>
      </c>
      <c r="D48" s="67" t="s">
        <v>47</v>
      </c>
    </row>
    <row r="49" spans="1:4">
      <c r="A49" s="432" t="s">
        <v>50</v>
      </c>
      <c r="B49" s="67" t="s">
        <v>48</v>
      </c>
      <c r="C49" s="67" t="s">
        <v>49</v>
      </c>
      <c r="D49" s="67" t="s">
        <v>50</v>
      </c>
    </row>
  </sheetData>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45">
    <tabColor rgb="FFFFC000"/>
    <pageSetUpPr fitToPage="1"/>
  </sheetPr>
  <dimension ref="A1:AH151"/>
  <sheetViews>
    <sheetView showGridLines="0" view="pageBreakPreview" zoomScale="70" zoomScaleNormal="75" zoomScaleSheetLayoutView="70" workbookViewId="0">
      <selection activeCell="S20" sqref="S20"/>
    </sheetView>
  </sheetViews>
  <sheetFormatPr defaultColWidth="9.85546875" defaultRowHeight="12.75"/>
  <cols>
    <col min="1" max="1" width="9.85546875" style="66"/>
    <col min="2" max="3" width="13.85546875" style="66" bestFit="1" customWidth="1"/>
    <col min="4" max="5" width="3" style="241" customWidth="1"/>
    <col min="6" max="8" width="3" style="72" customWidth="1"/>
    <col min="9" max="9" width="42.7109375" style="66" customWidth="1"/>
    <col min="10" max="10" width="14.5703125" style="38" customWidth="1"/>
    <col min="11" max="11" width="14.5703125" style="38" bestFit="1" customWidth="1"/>
    <col min="12" max="13" width="3" style="66" customWidth="1"/>
    <col min="14" max="14" width="3.42578125" style="66" customWidth="1"/>
    <col min="15" max="17" width="3" style="66" customWidth="1"/>
    <col min="18" max="18" width="50.42578125" style="66" customWidth="1"/>
    <col min="19" max="19" width="14.5703125" style="38" customWidth="1"/>
    <col min="20" max="20" width="15.140625" style="38" bestFit="1" customWidth="1"/>
    <col min="21" max="21" width="13.7109375" style="66" customWidth="1"/>
    <col min="22" max="22" width="12.42578125" style="66" customWidth="1"/>
    <col min="23" max="25" width="9.85546875" style="66"/>
    <col min="26" max="26" width="9.85546875" style="67"/>
    <col min="27" max="16384" width="9.85546875" style="66"/>
  </cols>
  <sheetData>
    <row r="1" spans="1:28">
      <c r="B1" s="749" t="s">
        <v>3202</v>
      </c>
      <c r="C1" s="749"/>
      <c r="D1" s="749"/>
      <c r="E1" s="749"/>
      <c r="F1" s="749"/>
      <c r="G1" s="749"/>
      <c r="H1" s="749"/>
      <c r="I1" s="749"/>
      <c r="J1" s="749"/>
      <c r="K1" s="749"/>
      <c r="L1" s="749"/>
      <c r="M1" s="749"/>
      <c r="N1" s="749"/>
      <c r="O1" s="749"/>
      <c r="P1" s="749"/>
      <c r="Q1" s="749"/>
      <c r="R1" s="749"/>
      <c r="S1" s="749"/>
      <c r="T1" s="749"/>
      <c r="U1" s="749"/>
      <c r="V1" s="749"/>
    </row>
    <row r="2" spans="1:28">
      <c r="D2" s="750" t="str">
        <f>nazwa_spolki&amp;", "&amp;siedziba</f>
        <v>Rhenus Digital Workforce Sp. z o.o., Warszawa</v>
      </c>
      <c r="E2" s="750"/>
      <c r="F2" s="750"/>
      <c r="G2" s="750"/>
      <c r="H2" s="750"/>
      <c r="I2" s="750"/>
      <c r="J2" s="750"/>
      <c r="K2" s="750"/>
      <c r="L2" s="750"/>
      <c r="M2" s="750"/>
      <c r="N2" s="750"/>
      <c r="O2" s="750"/>
      <c r="P2" s="750"/>
      <c r="Q2" s="750"/>
      <c r="R2" s="750"/>
      <c r="S2" s="750"/>
      <c r="T2" s="750"/>
    </row>
    <row r="3" spans="1:28">
      <c r="D3" s="751" t="str">
        <f>CHOOSE(jezyk,n!A286,n!B286,n!C286,n!D286)</f>
        <v>Bilans na dzień 31.12.2024</v>
      </c>
      <c r="E3" s="751"/>
      <c r="F3" s="751"/>
      <c r="G3" s="751"/>
      <c r="H3" s="751"/>
      <c r="I3" s="751"/>
      <c r="J3" s="751"/>
      <c r="K3" s="751"/>
      <c r="L3" s="751"/>
      <c r="M3" s="751"/>
      <c r="N3" s="751"/>
      <c r="O3" s="751"/>
      <c r="P3" s="751"/>
      <c r="Q3" s="751"/>
      <c r="R3" s="751"/>
      <c r="S3" s="751"/>
      <c r="T3" s="751"/>
    </row>
    <row r="4" spans="1:28">
      <c r="D4" s="752" t="s">
        <v>4368</v>
      </c>
      <c r="E4" s="752" t="s">
        <v>4368</v>
      </c>
      <c r="F4" s="752" t="s">
        <v>4368</v>
      </c>
      <c r="G4" s="752"/>
      <c r="H4" s="752"/>
      <c r="I4" s="752" t="s">
        <v>4368</v>
      </c>
      <c r="J4" s="752" t="s">
        <v>4368</v>
      </c>
      <c r="K4" s="752" t="s">
        <v>4368</v>
      </c>
      <c r="L4" s="752" t="s">
        <v>4368</v>
      </c>
      <c r="M4" s="752" t="s">
        <v>4368</v>
      </c>
      <c r="N4" s="752" t="s">
        <v>4368</v>
      </c>
      <c r="O4" s="752" t="s">
        <v>4368</v>
      </c>
      <c r="P4" s="752"/>
      <c r="Q4" s="752"/>
      <c r="R4" s="752" t="s">
        <v>4368</v>
      </c>
      <c r="S4" s="752" t="s">
        <v>4368</v>
      </c>
      <c r="T4" s="752" t="s">
        <v>4368</v>
      </c>
    </row>
    <row r="5" spans="1:28">
      <c r="D5" s="243"/>
      <c r="E5" s="243"/>
      <c r="F5" s="243"/>
      <c r="G5" s="243"/>
      <c r="H5" s="243"/>
      <c r="I5" s="243"/>
      <c r="J5" s="244"/>
      <c r="K5" s="244"/>
      <c r="L5" s="244"/>
      <c r="M5" s="244"/>
      <c r="N5" s="244"/>
      <c r="O5" s="243"/>
      <c r="P5" s="243"/>
      <c r="Q5" s="243"/>
      <c r="R5" s="243"/>
      <c r="S5" s="244"/>
    </row>
    <row r="6" spans="1:28">
      <c r="B6" s="293"/>
      <c r="D6" s="92" t="str">
        <f>CHOOSE(jezyk,n!A292,n!B292,n!C292,n!D292)</f>
        <v>AKTYWA</v>
      </c>
      <c r="E6" s="66"/>
      <c r="F6" s="66"/>
      <c r="G6" s="66"/>
      <c r="H6" s="66"/>
      <c r="J6" s="294" t="str">
        <f>dzb</f>
        <v>31.12.2024</v>
      </c>
      <c r="K6" s="108" t="str">
        <f>CHOOSE(jezyk,n!A288,n!B288,n!C288,n!D288)</f>
        <v>Rok poprzedni</v>
      </c>
      <c r="L6" s="294"/>
      <c r="M6" s="92" t="str">
        <f>CHOOSE(jezyk,n!A360,n!B360,n!C360,n!D360)</f>
        <v>PASYWA</v>
      </c>
      <c r="N6" s="294"/>
      <c r="S6" s="294" t="str">
        <f>dzb</f>
        <v>31.12.2024</v>
      </c>
      <c r="T6" s="108" t="str">
        <f>CHOOSE(jezyk,n!A288,n!B288,n!C288,n!D288)</f>
        <v>Rok poprzedni</v>
      </c>
      <c r="Z6" s="66"/>
    </row>
    <row r="7" spans="1:28">
      <c r="D7" s="66"/>
      <c r="E7" s="66"/>
      <c r="F7" s="66"/>
      <c r="G7" s="66"/>
      <c r="H7" s="66"/>
      <c r="J7" s="295" t="s">
        <v>6583</v>
      </c>
      <c r="K7" s="295" t="s">
        <v>6583</v>
      </c>
      <c r="L7" s="294"/>
      <c r="M7" s="294"/>
      <c r="N7" s="294"/>
      <c r="O7" s="251"/>
      <c r="P7" s="251"/>
      <c r="Q7" s="251"/>
      <c r="S7" s="295" t="s">
        <v>6583</v>
      </c>
      <c r="T7" s="295" t="s">
        <v>6583</v>
      </c>
      <c r="Z7" s="66"/>
    </row>
    <row r="8" spans="1:28" s="243" customFormat="1">
      <c r="A8" s="66"/>
      <c r="B8" s="66"/>
      <c r="C8" s="66"/>
      <c r="D8" s="296"/>
      <c r="E8" s="297" t="s">
        <v>4368</v>
      </c>
      <c r="J8" s="244"/>
      <c r="K8" s="244"/>
      <c r="L8" s="244"/>
      <c r="M8" s="244"/>
      <c r="N8" s="244"/>
      <c r="R8" s="296"/>
      <c r="S8" s="244"/>
      <c r="T8" s="244"/>
      <c r="AB8" s="66"/>
    </row>
    <row r="9" spans="1:28">
      <c r="D9" s="241" t="s">
        <v>6584</v>
      </c>
      <c r="E9" s="118" t="str">
        <f>CHOOSE(jezyk,n!A293,n!B293,n!C293,n!D293)</f>
        <v>Aktywa trwałe</v>
      </c>
      <c r="F9" s="241"/>
      <c r="G9" s="241"/>
      <c r="H9" s="241"/>
      <c r="I9" s="241"/>
      <c r="J9" s="298">
        <f>SUM(J11,J18,J31,J37,J63)</f>
        <v>387461</v>
      </c>
      <c r="K9" s="298">
        <f>SUM(K11,K18,K31,K37,K63)</f>
        <v>0</v>
      </c>
      <c r="L9" s="38"/>
      <c r="M9" s="241" t="s">
        <v>6584</v>
      </c>
      <c r="N9" s="118" t="str">
        <f>CHOOSE(jezyk,n!A361,n!B361,n!C361,n!D361)</f>
        <v>Kapitał  (fundusz) własny</v>
      </c>
      <c r="O9" s="241"/>
      <c r="P9" s="241"/>
      <c r="Q9" s="241"/>
      <c r="R9" s="241"/>
      <c r="S9" s="298">
        <f>SUM(S11,S12,S14,S16,S19,S20,S21)</f>
        <v>463858.99000000081</v>
      </c>
      <c r="T9" s="298">
        <f>SUM(T11,T12,T14,T16,T19,T20,T21)</f>
        <v>4686.6201000000001</v>
      </c>
      <c r="Z9" s="66"/>
    </row>
    <row r="10" spans="1:28">
      <c r="B10" s="294" t="str">
        <f>dzb</f>
        <v>31.12.2024</v>
      </c>
      <c r="C10" s="108" t="str">
        <f>CHOOSE(jezyk,n!A288,n!B288,n!C288,n!D288)</f>
        <v>Rok poprzedni</v>
      </c>
      <c r="F10" s="66"/>
      <c r="G10" s="66"/>
      <c r="H10" s="66"/>
      <c r="L10" s="38"/>
      <c r="M10" s="72"/>
      <c r="N10" s="72"/>
      <c r="O10" s="111" t="s">
        <v>4368</v>
      </c>
      <c r="P10" s="111"/>
      <c r="Q10" s="111"/>
      <c r="S10" s="180"/>
      <c r="T10" s="180"/>
    </row>
    <row r="11" spans="1:28">
      <c r="B11" s="213">
        <f>J11-'nota 1.1.-1.2'!E37</f>
        <v>0</v>
      </c>
      <c r="C11" s="213">
        <f>K11-'nota 1.1.-1.2'!C37</f>
        <v>0</v>
      </c>
      <c r="E11" s="241" t="s">
        <v>6585</v>
      </c>
      <c r="F11" s="118" t="str">
        <f>CHOOSE(jezyk,n!A294,n!B294,n!C294,n!D294)</f>
        <v>Wartości niematerialne i prawne</v>
      </c>
      <c r="G11" s="118"/>
      <c r="H11" s="118"/>
      <c r="I11" s="241"/>
      <c r="J11" s="299">
        <f>SUM(J13:J16)</f>
        <v>79539</v>
      </c>
      <c r="K11" s="299">
        <f>SUM(K13:K16)</f>
        <v>0</v>
      </c>
      <c r="L11" s="38"/>
      <c r="M11" s="38"/>
      <c r="N11" s="111" t="s">
        <v>6585</v>
      </c>
      <c r="O11" s="118" t="str">
        <f>CHOOSE(jezyk,n!A362,n!B362,n!C362,n!D362)</f>
        <v>Kapitał (fundusz) podstawowy</v>
      </c>
      <c r="P11" s="118"/>
      <c r="Q11" s="118"/>
      <c r="S11" s="307">
        <v>100000</v>
      </c>
      <c r="T11" s="300">
        <v>5000</v>
      </c>
      <c r="X11" s="272"/>
    </row>
    <row r="12" spans="1:28">
      <c r="F12" s="111"/>
      <c r="G12" s="111"/>
      <c r="H12" s="111"/>
      <c r="L12" s="38"/>
      <c r="M12" s="38"/>
      <c r="N12" s="111" t="s">
        <v>6586</v>
      </c>
      <c r="O12" s="118" t="str">
        <f>CHOOSE(jezyk,n!A365,n!B365,n!C365,n!D365)</f>
        <v>Kapitał (fundusz) zapasowy, w tym:</v>
      </c>
      <c r="P12" s="118"/>
      <c r="Q12" s="118"/>
      <c r="S12" s="307">
        <f>IFERROR(VLOOKUP(X12,#REF!,2,FALSE),0)*-1</f>
        <v>0</v>
      </c>
      <c r="T12" s="300">
        <f>IFERROR(VLOOKUP(X12,#REF!,2,FALSE),0)*-1</f>
        <v>0</v>
      </c>
      <c r="X12" s="272"/>
    </row>
    <row r="13" spans="1:28" ht="27.75" customHeight="1">
      <c r="B13" s="213">
        <f>J13-'nota 1.1.-1.2'!E33</f>
        <v>0</v>
      </c>
      <c r="C13" s="213">
        <f>K13-'nota 1.1.-1.2'!C33</f>
        <v>0</v>
      </c>
      <c r="F13" s="72" t="s">
        <v>6530</v>
      </c>
      <c r="G13" s="92" t="str">
        <f>CHOOSE(jezyk,n!A295,n!B295,n!C295,n!D295)</f>
        <v>Koszty zakończonych prac rozwojowych</v>
      </c>
      <c r="H13" s="92"/>
      <c r="I13" s="72"/>
      <c r="J13" s="115">
        <f>IFERROR(VLOOKUP(AB13,#REF!,2,FALSE),0)</f>
        <v>0</v>
      </c>
      <c r="K13" s="115">
        <f>IFERROR(VLOOKUP(AB13,#REF!,2,FALSE),0)</f>
        <v>0</v>
      </c>
      <c r="L13" s="38"/>
      <c r="M13" s="38"/>
      <c r="N13" s="111"/>
      <c r="O13" s="118"/>
      <c r="P13" s="72" t="s">
        <v>6547</v>
      </c>
      <c r="Q13" s="746" t="str">
        <f>CHOOSE(jezyk,n!A366,n!B366,n!C366,n!D366)</f>
        <v>nadwyżka wartości sprzedaży (wartości emisyjnej) nad wartością nominalną udziałów (akcji)</v>
      </c>
      <c r="R13" s="746"/>
      <c r="S13" s="307">
        <f>IFERROR(VLOOKUP(X13,#REF!,2,FALSE),0)*-1</f>
        <v>0</v>
      </c>
      <c r="T13" s="300">
        <f>IFERROR(VLOOKUP(X13,#REF!,2,FALSE),0)*-1</f>
        <v>0</v>
      </c>
      <c r="X13" s="272"/>
      <c r="AB13" s="301"/>
    </row>
    <row r="14" spans="1:28">
      <c r="B14" s="213">
        <f>J14-'nota 1.1.-1.2'!E34</f>
        <v>0</v>
      </c>
      <c r="C14" s="213">
        <f>K14-'nota 1.1.-1.2'!C34</f>
        <v>0</v>
      </c>
      <c r="F14" s="72" t="s">
        <v>6540</v>
      </c>
      <c r="G14" s="92" t="str">
        <f>CHOOSE(jezyk,n!A296,n!B296,n!C296,n!D296)</f>
        <v>Wartość firmy</v>
      </c>
      <c r="H14" s="92"/>
      <c r="I14" s="72"/>
      <c r="J14" s="115">
        <v>28334</v>
      </c>
      <c r="K14" s="115">
        <f>IFERROR(VLOOKUP(AB14,#REF!,2,FALSE),0)</f>
        <v>0</v>
      </c>
      <c r="L14" s="38"/>
      <c r="M14" s="38"/>
      <c r="N14" s="241" t="s">
        <v>6587</v>
      </c>
      <c r="O14" s="118" t="str">
        <f>CHOOSE(jezyk,n!A367,n!B367,n!C367,n!D367)</f>
        <v>Kapitał (fundusz) z aktualizacji wyceny, w tym:</v>
      </c>
      <c r="P14" s="118"/>
      <c r="Q14" s="118"/>
      <c r="S14" s="307">
        <f>IFERROR(VLOOKUP(X14,#REF!,2,FALSE),0)*-1</f>
        <v>0</v>
      </c>
      <c r="T14" s="300">
        <f>IFERROR(VLOOKUP(X14,#REF!,2,FALSE),0)*-1</f>
        <v>0</v>
      </c>
      <c r="X14" s="272"/>
      <c r="AB14" s="301"/>
    </row>
    <row r="15" spans="1:28">
      <c r="B15" s="213">
        <f>J15-'nota 1.1.-1.2'!E35</f>
        <v>0</v>
      </c>
      <c r="C15" s="213">
        <f>K15-'nota 1.1.-1.2'!C35</f>
        <v>0</v>
      </c>
      <c r="F15" s="72" t="s">
        <v>6544</v>
      </c>
      <c r="G15" s="92" t="str">
        <f>CHOOSE(jezyk,n!A297,n!B297,n!C297,n!D297)</f>
        <v>Inne wartości niematerialne i prawne</v>
      </c>
      <c r="H15" s="92"/>
      <c r="I15" s="72"/>
      <c r="J15" s="115">
        <v>51205</v>
      </c>
      <c r="K15" s="115">
        <f>IFERROR(VLOOKUP(AB15,#REF!,2,FALSE),0)</f>
        <v>0</v>
      </c>
      <c r="L15" s="38"/>
      <c r="M15" s="38"/>
      <c r="N15" s="241"/>
      <c r="O15" s="118"/>
      <c r="P15" s="72" t="s">
        <v>6547</v>
      </c>
      <c r="Q15" s="92" t="str">
        <f>CHOOSE(jezyk,n!A368,n!B368,n!C368,n!D368)</f>
        <v>z tytułu aktualizacji wartości godziwej</v>
      </c>
      <c r="S15" s="307">
        <f>IFERROR(VLOOKUP(X15,#REF!,2,FALSE),0)*-1</f>
        <v>0</v>
      </c>
      <c r="T15" s="300">
        <f>IFERROR(VLOOKUP(X15,#REF!,2,FALSE),0)*-1</f>
        <v>0</v>
      </c>
      <c r="X15" s="272"/>
      <c r="AB15" s="301"/>
    </row>
    <row r="16" spans="1:28">
      <c r="B16" s="213">
        <f>J16-'nota 1.1.-1.2'!E36</f>
        <v>0</v>
      </c>
      <c r="C16" s="213">
        <f>K16-'nota 1.1.-1.2'!C36</f>
        <v>0</v>
      </c>
      <c r="F16" s="72" t="s">
        <v>6545</v>
      </c>
      <c r="G16" s="92" t="str">
        <f>CHOOSE(jezyk,n!A298,n!B298,n!C298,n!D298)</f>
        <v>Zaliczki na wartości niematerialne i prawne</v>
      </c>
      <c r="H16" s="92"/>
      <c r="I16" s="72"/>
      <c r="J16" s="115">
        <f>IFERROR(VLOOKUP(AB16,#REF!,2,FALSE),0)</f>
        <v>0</v>
      </c>
      <c r="K16" s="115">
        <f>IFERROR(VLOOKUP(AB16,#REF!,2,FALSE),0)</f>
        <v>0</v>
      </c>
      <c r="L16" s="38"/>
      <c r="M16" s="38"/>
      <c r="N16" s="111" t="s">
        <v>6588</v>
      </c>
      <c r="O16" s="118" t="str">
        <f>CHOOSE(jezyk,n!A369,n!B369,n!C369,n!D369)</f>
        <v>Pozostałe kapitały (fundusze) rezerwowe, w tym:</v>
      </c>
      <c r="P16" s="118"/>
      <c r="Q16" s="118"/>
      <c r="S16" s="307">
        <f>IFERROR(VLOOKUP(X16,#REF!,2,FALSE),0)*-1</f>
        <v>0</v>
      </c>
      <c r="T16" s="300">
        <f>IFERROR(VLOOKUP(X16,#REF!,2,FALSE),0)*-1</f>
        <v>0</v>
      </c>
      <c r="X16" s="272"/>
      <c r="AB16" s="301"/>
    </row>
    <row r="17" spans="2:28">
      <c r="I17" s="92"/>
      <c r="J17" s="304"/>
      <c r="L17" s="38"/>
      <c r="M17" s="38"/>
      <c r="N17" s="111"/>
      <c r="O17" s="118"/>
      <c r="P17" s="72" t="s">
        <v>6547</v>
      </c>
      <c r="Q17" s="92" t="str">
        <f>CHOOSE(jezyk,n!A370,n!B370,n!C370,n!D370)</f>
        <v>tworzone zgodnie z umową (statutem) spółki</v>
      </c>
      <c r="S17" s="307">
        <f>IFERROR(VLOOKUP(X17,#REF!,2,FALSE),0)*-1</f>
        <v>0</v>
      </c>
      <c r="T17" s="300">
        <f>IFERROR(VLOOKUP(X17,#REF!,2,FALSE),0)*-1</f>
        <v>0</v>
      </c>
      <c r="U17" s="294" t="str">
        <f>dzb</f>
        <v>31.12.2024</v>
      </c>
      <c r="V17" s="108" t="str">
        <f>CHOOSE(jezyk,n!A288,n!B288,n!C288,n!D288)</f>
        <v>Rok poprzedni</v>
      </c>
      <c r="X17" s="303"/>
    </row>
    <row r="18" spans="2:28">
      <c r="B18" s="213">
        <f>J18-'nota 1.1.-1.2'!F113</f>
        <v>0</v>
      </c>
      <c r="C18" s="213">
        <f>K18-'nota 1.1.-1.2'!E113</f>
        <v>0</v>
      </c>
      <c r="E18" s="241" t="s">
        <v>6586</v>
      </c>
      <c r="F18" s="118" t="str">
        <f>CHOOSE(jezyk,n!A299,n!B299,n!C299,n!D299)</f>
        <v>Rzeczowe aktywa trwałe</v>
      </c>
      <c r="G18" s="118"/>
      <c r="H18" s="118"/>
      <c r="I18" s="111"/>
      <c r="J18" s="299">
        <f>SUM(J26:J29)</f>
        <v>226772</v>
      </c>
      <c r="K18" s="299">
        <f>SUM(K26:K29)</f>
        <v>0</v>
      </c>
      <c r="L18" s="38"/>
      <c r="M18" s="38"/>
      <c r="N18" s="111"/>
      <c r="O18" s="118"/>
      <c r="P18" s="72" t="s">
        <v>6547</v>
      </c>
      <c r="Q18" s="92" t="str">
        <f>CHOOSE(jezyk,n!A371,n!B371,n!C371,n!D371)</f>
        <v>na udziały (akcje) własne</v>
      </c>
      <c r="S18" s="307">
        <f>IFERROR(VLOOKUP(X18,#REF!,2,FALSE),0)*-1</f>
        <v>0</v>
      </c>
      <c r="T18" s="300">
        <f>IFERROR(VLOOKUP(X18,#REF!,2,FALSE),0)*-1</f>
        <v>0</v>
      </c>
      <c r="U18" s="213">
        <f>IF(wrach=1,S20-'RZiS Por. '!E81,S20-'RZiS Kal.'!F77)</f>
        <v>0</v>
      </c>
      <c r="V18" s="213">
        <f>IF(wrach=1,T20-'RZiS Por. '!F81,T20-'RZiS Kal.'!G77)</f>
        <v>0</v>
      </c>
      <c r="X18" s="301"/>
    </row>
    <row r="19" spans="2:28">
      <c r="I19" s="72"/>
      <c r="K19" s="304"/>
      <c r="L19" s="38"/>
      <c r="M19" s="38"/>
      <c r="N19" s="180" t="s">
        <v>6589</v>
      </c>
      <c r="O19" s="118" t="str">
        <f>CHOOSE(jezyk,n!A372,n!B372,n!C372,n!D372)</f>
        <v>Zysk (strata) z lat ubiegłych</v>
      </c>
      <c r="P19" s="118"/>
      <c r="Q19" s="118"/>
      <c r="R19" s="305"/>
      <c r="S19" s="307">
        <v>-313.38</v>
      </c>
      <c r="T19" s="300">
        <f>IFERROR(VLOOKUP(X19,#REF!,2,FALSE),0)*-1</f>
        <v>0</v>
      </c>
      <c r="X19" s="272"/>
    </row>
    <row r="20" spans="2:28">
      <c r="D20" s="72" t="s">
        <v>4368</v>
      </c>
      <c r="F20" s="72" t="s">
        <v>6530</v>
      </c>
      <c r="G20" s="92" t="str">
        <f>CHOOSE(jezyk,n!A300,n!B300,n!C300,n!D300)</f>
        <v>Środki trwałe</v>
      </c>
      <c r="H20" s="92"/>
      <c r="I20" s="72"/>
      <c r="L20" s="38"/>
      <c r="M20" s="38"/>
      <c r="N20" s="180" t="s">
        <v>6590</v>
      </c>
      <c r="O20" s="118" t="str">
        <f>CHOOSE(jezyk,n!A373,n!B373,n!C373,n!D373)</f>
        <v>Zysk (strata) netto</v>
      </c>
      <c r="P20" s="118"/>
      <c r="Q20" s="118"/>
      <c r="R20" s="305"/>
      <c r="S20" s="306">
        <f>IF(wrach=1,'RZiS Por. '!E81,'RZiS Kal.'!F77)</f>
        <v>364172.37000000081</v>
      </c>
      <c r="T20" s="306">
        <f>IF(wrach=1,'RZiS Por. '!F81,'RZiS Kal.'!G77)</f>
        <v>-313.37990000000002</v>
      </c>
      <c r="X20" s="272"/>
    </row>
    <row r="21" spans="2:28">
      <c r="B21" s="213">
        <f>J21-'nota 1.1.-1.2'!F106</f>
        <v>0</v>
      </c>
      <c r="C21" s="213">
        <f>K21-'nota 1.1.-1.2'!E106</f>
        <v>0</v>
      </c>
      <c r="G21" s="72" t="s">
        <v>6591</v>
      </c>
      <c r="H21" s="92" t="str">
        <f>CHOOSE(jezyk,n!A301,n!B301,n!C301,n!D301)</f>
        <v>grunty (w tym prawo użytkowania wieczystego gruntu)</v>
      </c>
      <c r="J21" s="115">
        <f>IFERROR(VLOOKUP(AB21,#REF!,2,FALSE),0)</f>
        <v>0</v>
      </c>
      <c r="K21" s="115">
        <f>IFERROR(VLOOKUP(AB21,#REF!,2,FALSE),0)</f>
        <v>0</v>
      </c>
      <c r="L21" s="38"/>
      <c r="M21" s="38"/>
      <c r="N21" s="118" t="s">
        <v>6592</v>
      </c>
      <c r="O21" s="748" t="str">
        <f>CHOOSE(jezyk,n!A374,n!B374,n!C374,n!D374)</f>
        <v>Odpisy z zysku netto w ciągu roku obrotowego
 (wielkość ujemna)</v>
      </c>
      <c r="P21" s="748"/>
      <c r="Q21" s="748"/>
      <c r="R21" s="748"/>
      <c r="S21" s="119">
        <f>IFERROR(VLOOKUP(X21,#REF!,2,FALSE),0)*-1</f>
        <v>0</v>
      </c>
      <c r="T21" s="119">
        <f>IFERROR(VLOOKUP(X21,#REF!,2,FALSE),0)*-1</f>
        <v>0</v>
      </c>
      <c r="X21" s="272"/>
      <c r="AB21" s="272"/>
    </row>
    <row r="22" spans="2:28" ht="30.75" customHeight="1">
      <c r="B22" s="213">
        <f>J22-'nota 1.1.-1.2'!F107</f>
        <v>0</v>
      </c>
      <c r="C22" s="213">
        <f>K22-'nota 1.1.-1.2'!E107</f>
        <v>0</v>
      </c>
      <c r="F22" s="111"/>
      <c r="G22" s="72" t="s">
        <v>6593</v>
      </c>
      <c r="H22" s="746" t="str">
        <f>CHOOSE(jezyk,n!A302,n!B302,n!C302,n!D302)</f>
        <v>budynki, lokale, prawa do lokali i obiekty inżynierii lądowej i wodnej</v>
      </c>
      <c r="I22" s="746"/>
      <c r="J22" s="307">
        <f>IFERROR(VLOOKUP(AB22,#REF!,2,FALSE),0)</f>
        <v>0</v>
      </c>
      <c r="K22" s="115">
        <f>IFERROR(VLOOKUP(AB22,#REF!,2,FALSE),0)</f>
        <v>0</v>
      </c>
      <c r="L22" s="38"/>
      <c r="M22" s="38"/>
      <c r="O22" s="748"/>
      <c r="P22" s="748"/>
      <c r="Q22" s="748"/>
      <c r="R22" s="748"/>
      <c r="AB22" s="272"/>
    </row>
    <row r="23" spans="2:28">
      <c r="B23" s="213">
        <f>J23-'nota 1.1.-1.2'!F108</f>
        <v>0</v>
      </c>
      <c r="C23" s="213">
        <f>K23-'nota 1.1.-1.2'!E108</f>
        <v>0</v>
      </c>
      <c r="G23" s="72" t="s">
        <v>6594</v>
      </c>
      <c r="H23" s="92" t="str">
        <f>CHOOSE(jezyk,n!A303,n!B303,n!C303,n!D303)</f>
        <v>urządzenia techniczne i maszyny</v>
      </c>
      <c r="J23" s="307">
        <v>226772</v>
      </c>
      <c r="K23" s="115">
        <f>IFERROR(VLOOKUP(AB23,#REF!,2,FALSE),0)</f>
        <v>0</v>
      </c>
      <c r="L23" s="38"/>
      <c r="X23" s="108"/>
      <c r="AB23" s="272"/>
    </row>
    <row r="24" spans="2:28">
      <c r="B24" s="213">
        <f>J24-'nota 1.1.-1.2'!F109</f>
        <v>0</v>
      </c>
      <c r="C24" s="213">
        <f>K24-'nota 1.1.-1.2'!E109</f>
        <v>0</v>
      </c>
      <c r="G24" s="72" t="s">
        <v>6595</v>
      </c>
      <c r="H24" s="92" t="str">
        <f>CHOOSE(jezyk,n!A304,n!B304,n!C304,n!D304)</f>
        <v>środki transportu</v>
      </c>
      <c r="J24" s="307">
        <f>IFERROR(VLOOKUP(AB24,#REF!,2,FALSE),0)</f>
        <v>0</v>
      </c>
      <c r="K24" s="115">
        <f>IFERROR(VLOOKUP(AB24,#REF!,2,FALSE),0)</f>
        <v>0</v>
      </c>
      <c r="L24" s="38"/>
      <c r="X24" s="108"/>
      <c r="AB24" s="272"/>
    </row>
    <row r="25" spans="2:28">
      <c r="B25" s="213">
        <f>J25-'nota 1.1.-1.2'!F110</f>
        <v>0</v>
      </c>
      <c r="C25" s="213">
        <f>K25-'nota 1.1.-1.2'!E110</f>
        <v>0</v>
      </c>
      <c r="G25" s="72" t="s">
        <v>6596</v>
      </c>
      <c r="H25" s="92" t="str">
        <f>CHOOSE(jezyk,n!A305,n!B305,n!C305,n!D305)</f>
        <v>inne środki trwałe</v>
      </c>
      <c r="J25" s="308">
        <f>IFERROR(VLOOKUP(AB25,#REF!,2,FALSE),0)</f>
        <v>0</v>
      </c>
      <c r="K25" s="115">
        <f>IFERROR(VLOOKUP(AB25,#REF!,2,FALSE),0)</f>
        <v>0</v>
      </c>
      <c r="L25" s="38"/>
      <c r="M25" s="38"/>
      <c r="N25" s="38"/>
      <c r="O25" s="118"/>
      <c r="P25" s="118"/>
      <c r="Q25" s="118"/>
      <c r="R25" s="305"/>
      <c r="U25" s="294" t="str">
        <f>dzb</f>
        <v>31.12.2024</v>
      </c>
      <c r="V25" s="108" t="str">
        <f>CHOOSE(jezyk,n!A288,n!B288,n!C288,n!D288)</f>
        <v>Rok poprzedni</v>
      </c>
      <c r="AB25" s="272"/>
    </row>
    <row r="26" spans="2:28">
      <c r="I26" s="92"/>
      <c r="J26" s="309">
        <f>SUM(J21:J25)</f>
        <v>226772</v>
      </c>
      <c r="K26" s="309">
        <f>SUM(K21:K25)</f>
        <v>0</v>
      </c>
      <c r="L26" s="38"/>
      <c r="M26" s="180" t="s">
        <v>6597</v>
      </c>
      <c r="N26" s="180" t="str">
        <f>CHOOSE(jezyk,n!A375,n!B375,n!C375,n!D375)</f>
        <v>Zobowiązania i rezerwy na zobowiązania</v>
      </c>
      <c r="O26" s="111"/>
      <c r="P26" s="111"/>
      <c r="Q26" s="111"/>
      <c r="R26" s="310"/>
      <c r="S26" s="299">
        <f>SUM(S28,S41,S55,S92)</f>
        <v>3394382.79</v>
      </c>
      <c r="T26" s="299">
        <f>SUM(T28,T41,T55,T92)</f>
        <v>0</v>
      </c>
      <c r="U26" s="213">
        <f>S28-'nota 1.11-1.15'!H22</f>
        <v>309406.46999999997</v>
      </c>
      <c r="V26" s="213">
        <f>T28-'nota 1.11-1.15'!J22</f>
        <v>0</v>
      </c>
    </row>
    <row r="27" spans="2:28">
      <c r="B27" s="213">
        <f>J28-'nota 1.1.-1.2'!F111</f>
        <v>0</v>
      </c>
      <c r="C27" s="213">
        <f>K28-'nota 1.1.-1.2'!E111</f>
        <v>0</v>
      </c>
      <c r="I27" s="92"/>
      <c r="K27" s="304"/>
      <c r="L27" s="38"/>
      <c r="M27" s="38"/>
      <c r="O27" s="72"/>
      <c r="P27" s="72"/>
      <c r="Q27" s="72"/>
      <c r="R27" s="72"/>
      <c r="S27" s="304"/>
      <c r="T27" s="92"/>
    </row>
    <row r="28" spans="2:28">
      <c r="B28" s="213">
        <f>J29-'nota 1.1.-1.2'!F112</f>
        <v>0</v>
      </c>
      <c r="C28" s="213">
        <f>K29-'nota 1.1.-1.2'!E112</f>
        <v>0</v>
      </c>
      <c r="F28" s="72" t="s">
        <v>6540</v>
      </c>
      <c r="G28" s="92" t="str">
        <f>CHOOSE(jezyk,n!A306,n!B306,n!C306,n!D306)</f>
        <v>Środki trwałe w budowie</v>
      </c>
      <c r="H28" s="92"/>
      <c r="I28" s="72"/>
      <c r="J28" s="307">
        <f>IFERROR(VLOOKUP(AB28,#REF!,2,FALSE),0)</f>
        <v>0</v>
      </c>
      <c r="K28" s="300">
        <f>IFERROR(VLOOKUP(AB28,#REF!,2,FALSE),0)</f>
        <v>0</v>
      </c>
      <c r="L28" s="38"/>
      <c r="M28" s="38"/>
      <c r="N28" s="241" t="s">
        <v>6585</v>
      </c>
      <c r="O28" s="118" t="str">
        <f>CHOOSE(jezyk,n!A376,n!B376,n!C376,n!D376)</f>
        <v>Rezerwy na zobowiązania</v>
      </c>
      <c r="P28" s="72"/>
      <c r="Q28" s="72"/>
      <c r="R28" s="72"/>
      <c r="S28" s="112">
        <f>SUM(S30,S34,S38)</f>
        <v>309406.46999999997</v>
      </c>
      <c r="T28" s="112">
        <f>SUM(T30,T34,T38)</f>
        <v>0</v>
      </c>
      <c r="AB28" s="272"/>
    </row>
    <row r="29" spans="2:28">
      <c r="F29" s="72" t="s">
        <v>6544</v>
      </c>
      <c r="G29" s="92" t="str">
        <f>CHOOSE(jezyk,n!A307,n!B307,n!C307,n!D307)</f>
        <v>Zaliczki na środki trwałe w budowie</v>
      </c>
      <c r="H29" s="92"/>
      <c r="I29" s="72"/>
      <c r="J29" s="307">
        <f>IFERROR(VLOOKUP(AB29,#REF!,2,FALSE),0)</f>
        <v>0</v>
      </c>
      <c r="K29" s="300">
        <f>IFERROR(VLOOKUP(AB29,#REF!,2,FALSE),0)</f>
        <v>0</v>
      </c>
      <c r="L29" s="38"/>
      <c r="N29" s="241"/>
      <c r="O29" s="118"/>
      <c r="P29" s="72"/>
      <c r="Q29" s="72"/>
      <c r="R29" s="72"/>
      <c r="S29" s="304"/>
      <c r="T29" s="304"/>
      <c r="AB29" s="272"/>
    </row>
    <row r="30" spans="2:28">
      <c r="I30" s="72"/>
      <c r="J30" s="304"/>
      <c r="L30" s="38"/>
      <c r="M30" s="38"/>
      <c r="N30" s="111"/>
      <c r="O30" s="72" t="s">
        <v>6530</v>
      </c>
      <c r="P30" s="92" t="str">
        <f>CHOOSE(jezyk,n!A377,n!B377,n!C377,n!D377)</f>
        <v>Rezerwa z tytułu odroczonego podatku dochodowego</v>
      </c>
      <c r="Q30" s="72"/>
      <c r="S30" s="300">
        <f>IFERROR(VLOOKUP(X30,#REF!,2,FALSE),0)*-1</f>
        <v>0</v>
      </c>
      <c r="T30" s="115">
        <f>IFERROR(VLOOKUP(X30,#REF!,2,FALSE),0)*-1</f>
        <v>0</v>
      </c>
      <c r="X30" s="272"/>
    </row>
    <row r="31" spans="2:28">
      <c r="E31" s="241" t="s">
        <v>6587</v>
      </c>
      <c r="F31" s="118" t="str">
        <f>CHOOSE(jezyk,n!A308,n!B308,n!C308,n!D308)</f>
        <v>Należności długoterminowe</v>
      </c>
      <c r="G31" s="111"/>
      <c r="H31" s="111"/>
      <c r="I31" s="111"/>
      <c r="J31" s="299">
        <f>SUM(J33:J35)</f>
        <v>0</v>
      </c>
      <c r="K31" s="299">
        <f>SUM(K33:K35)</f>
        <v>0</v>
      </c>
      <c r="L31" s="38"/>
      <c r="M31" s="38"/>
      <c r="N31" s="72"/>
      <c r="O31" s="72" t="s">
        <v>6540</v>
      </c>
      <c r="P31" s="92" t="str">
        <f>CHOOSE(jezyk,n!A378,n!B378,n!C378,n!D378)</f>
        <v>Rezerwa na świadczenia emerytalne i podobne</v>
      </c>
      <c r="Q31" s="72"/>
      <c r="S31" s="304"/>
      <c r="T31" s="92"/>
      <c r="X31" s="272"/>
    </row>
    <row r="32" spans="2:28">
      <c r="I32" s="72" t="s">
        <v>4368</v>
      </c>
      <c r="K32" s="304"/>
      <c r="L32" s="38"/>
      <c r="M32" s="38"/>
      <c r="N32" s="72"/>
      <c r="O32" s="72"/>
      <c r="P32" s="72" t="s">
        <v>6547</v>
      </c>
      <c r="Q32" s="92" t="str">
        <f>CHOOSE(jezyk,n!A379,n!B379,n!C379,n!D379)</f>
        <v>długoterminowa</v>
      </c>
      <c r="S32" s="300">
        <v>26152</v>
      </c>
      <c r="T32" s="115">
        <f>IFERROR(VLOOKUP(X32,#REF!,2,FALSE),0)*-1</f>
        <v>0</v>
      </c>
      <c r="X32" s="272"/>
    </row>
    <row r="33" spans="2:28" ht="12.75" customHeight="1">
      <c r="F33" s="72" t="s">
        <v>6530</v>
      </c>
      <c r="G33" s="92" t="str">
        <f>CHOOSE(jezyk,n!A309,n!B309,n!C309,n!D309)</f>
        <v>Od jednostek powiązanych</v>
      </c>
      <c r="H33" s="92"/>
      <c r="J33" s="307">
        <f>IFERROR(VLOOKUP(AB33,#REF!,2,FALSE),0)</f>
        <v>0</v>
      </c>
      <c r="K33" s="307">
        <f>IFERROR(VLOOKUP(AB33,#REF!,2,FALSE),0)</f>
        <v>0</v>
      </c>
      <c r="L33" s="38"/>
      <c r="M33" s="38"/>
      <c r="N33" s="72"/>
      <c r="O33" s="72"/>
      <c r="P33" s="72" t="s">
        <v>6547</v>
      </c>
      <c r="Q33" s="92" t="str">
        <f>CHOOSE(jezyk,n!A380,n!B380,n!C380,n!D380)</f>
        <v>krótkoterminowa</v>
      </c>
      <c r="S33" s="313">
        <v>97383.01</v>
      </c>
      <c r="T33" s="115">
        <f>IFERROR(VLOOKUP(X33,#REF!,2,FALSE),0)*-1</f>
        <v>0</v>
      </c>
      <c r="X33" s="272"/>
      <c r="AB33" s="272"/>
    </row>
    <row r="34" spans="2:28" ht="27" customHeight="1">
      <c r="B34" s="294" t="str">
        <f>dzb</f>
        <v>31.12.2024</v>
      </c>
      <c r="C34" s="108" t="str">
        <f>CHOOSE(jezyk,n!A288,n!B288,n!C288,n!D288)</f>
        <v>Rok poprzedni</v>
      </c>
      <c r="F34" s="72" t="s">
        <v>6540</v>
      </c>
      <c r="G34" s="746" t="str">
        <f>CHOOSE(jezyk,n!A310,n!B310,n!C310,n!D310)</f>
        <v>Od pozostałych jednostek, w których jednostka posiada zaangażowanie w kapitale</v>
      </c>
      <c r="H34" s="746"/>
      <c r="I34" s="746"/>
      <c r="J34" s="311">
        <f>IFERROR(VLOOKUP(AB34,#REF!,2,FALSE),0)</f>
        <v>0</v>
      </c>
      <c r="K34" s="307">
        <f>IFERROR(VLOOKUP(AB34,#REF!,2,FALSE),0)</f>
        <v>0</v>
      </c>
      <c r="L34" s="38"/>
      <c r="M34" s="38"/>
      <c r="N34" s="111"/>
      <c r="O34" s="72"/>
      <c r="Q34" s="72"/>
      <c r="S34" s="116">
        <f>SUM(S32:S33)</f>
        <v>123535.01</v>
      </c>
      <c r="T34" s="116">
        <f>SUM(T32:T33)</f>
        <v>0</v>
      </c>
      <c r="X34" s="272"/>
      <c r="AB34" s="272"/>
    </row>
    <row r="35" spans="2:28">
      <c r="B35" s="213">
        <f>J37-'nota 1.1.-1.2'!E190</f>
        <v>0</v>
      </c>
      <c r="C35" s="213">
        <f>K37-'nota 1.1.-1.2'!D190</f>
        <v>0</v>
      </c>
      <c r="F35" s="72" t="s">
        <v>6544</v>
      </c>
      <c r="G35" s="92" t="str">
        <f>CHOOSE(jezyk,n!A311,n!B311,n!C311,n!D311)</f>
        <v>Od pozostałych jednostek</v>
      </c>
      <c r="H35" s="92"/>
      <c r="J35" s="307">
        <f>IFERROR(VLOOKUP(AB35,#REF!,2,FALSE),0)</f>
        <v>0</v>
      </c>
      <c r="K35" s="307">
        <f>IFERROR(VLOOKUP(AB35,#REF!,2,FALSE),0)</f>
        <v>0</v>
      </c>
      <c r="L35" s="38"/>
      <c r="M35" s="38"/>
      <c r="N35" s="72"/>
      <c r="O35" s="72" t="s">
        <v>6544</v>
      </c>
      <c r="P35" s="92" t="str">
        <f>CHOOSE(jezyk,n!A381,n!B381,n!C381,n!D381)</f>
        <v>Pozostałe rezerwy</v>
      </c>
      <c r="S35" s="304"/>
      <c r="T35" s="304"/>
      <c r="X35" s="272"/>
      <c r="AB35" s="272"/>
    </row>
    <row r="36" spans="2:28">
      <c r="B36" s="38"/>
      <c r="C36" s="38"/>
      <c r="L36" s="38"/>
      <c r="M36" s="38"/>
      <c r="N36" s="111"/>
      <c r="O36" s="72"/>
      <c r="P36" s="72" t="s">
        <v>6547</v>
      </c>
      <c r="Q36" s="92" t="str">
        <f>CHOOSE(jezyk,n!A382,n!B382,n!C74,n!D382)</f>
        <v>długoterminowe</v>
      </c>
      <c r="S36" s="300">
        <f>IFERROR(VLOOKUP(X36,#REF!,2,FALSE),0)*-1</f>
        <v>0</v>
      </c>
      <c r="T36" s="115">
        <f>IFERROR(VLOOKUP(X36,#REF!,2,FALSE),0)*-1</f>
        <v>0</v>
      </c>
      <c r="X36" s="272"/>
    </row>
    <row r="37" spans="2:28">
      <c r="B37" s="213">
        <f>J39-'nota 1.1.-1.2'!E186</f>
        <v>0</v>
      </c>
      <c r="C37" s="213">
        <f>K39-'nota 1.1.-1.2'!D186</f>
        <v>0</v>
      </c>
      <c r="E37" s="241" t="s">
        <v>6588</v>
      </c>
      <c r="F37" s="118" t="str">
        <f>CHOOSE(jezyk,n!A312,n!B312,n!C312,n!D312)</f>
        <v>Inwestycje długoterminowe</v>
      </c>
      <c r="G37" s="111"/>
      <c r="H37" s="111"/>
      <c r="I37" s="111"/>
      <c r="J37" s="298">
        <f>SUM(J39:J40,J41,J61)</f>
        <v>0</v>
      </c>
      <c r="K37" s="298">
        <f>SUM(K39:K40,K41,K61)</f>
        <v>0</v>
      </c>
      <c r="L37" s="72"/>
      <c r="M37" s="38"/>
      <c r="N37" s="38"/>
      <c r="O37" s="72" t="s">
        <v>4368</v>
      </c>
      <c r="P37" s="72" t="s">
        <v>6547</v>
      </c>
      <c r="Q37" s="92" t="str">
        <f>CHOOSE(jezyk,n!A383,n!B383,n!C383,n!D383)</f>
        <v>krótkoterminowe</v>
      </c>
      <c r="R37" s="72"/>
      <c r="S37" s="300">
        <v>185871.46</v>
      </c>
      <c r="T37" s="115">
        <f>IFERROR(VLOOKUP(X37,#REF!,2,FALSE),0)*-1</f>
        <v>0</v>
      </c>
      <c r="X37" s="272"/>
    </row>
    <row r="38" spans="2:28">
      <c r="B38" s="213">
        <f>J40-'nota 1.1.-1.2'!E187</f>
        <v>0</v>
      </c>
      <c r="C38" s="213">
        <f>K40-'nota 1.1.-1.2'!D187</f>
        <v>0</v>
      </c>
      <c r="I38" s="72"/>
      <c r="K38" s="304"/>
      <c r="M38" s="38"/>
      <c r="N38" s="111"/>
      <c r="O38" s="118"/>
      <c r="P38" s="111"/>
      <c r="Q38" s="111"/>
      <c r="S38" s="116">
        <f>SUM(S36:S37)</f>
        <v>185871.46</v>
      </c>
      <c r="T38" s="116">
        <f>SUM(T36:T37)</f>
        <v>0</v>
      </c>
    </row>
    <row r="39" spans="2:28">
      <c r="B39" s="213">
        <f>J41-'nota 1.1.-1.2'!E188</f>
        <v>0</v>
      </c>
      <c r="C39" s="213">
        <f>K41-'nota 1.1.-1.2'!D188</f>
        <v>0</v>
      </c>
      <c r="D39" s="66"/>
      <c r="F39" s="72" t="s">
        <v>6530</v>
      </c>
      <c r="G39" s="92" t="str">
        <f>CHOOSE(jezyk,n!A313,n!B313,n!C313,n!D313)</f>
        <v>Nieruchomości</v>
      </c>
      <c r="H39" s="92"/>
      <c r="I39" s="72"/>
      <c r="J39" s="115">
        <f>IFERROR(VLOOKUP(AB39,#REF!,2,FALSE),0)</f>
        <v>0</v>
      </c>
      <c r="K39" s="115">
        <f>IFERROR(VLOOKUP(AB39,#REF!,2,FALSE),0)</f>
        <v>0</v>
      </c>
      <c r="M39" s="72"/>
      <c r="N39" s="111"/>
      <c r="O39" s="118"/>
      <c r="P39" s="111"/>
      <c r="Q39" s="111"/>
      <c r="S39" s="304"/>
      <c r="T39" s="92"/>
      <c r="AB39" s="272"/>
    </row>
    <row r="40" spans="2:28" ht="12.75" customHeight="1">
      <c r="F40" s="66" t="s">
        <v>6540</v>
      </c>
      <c r="G40" s="92" t="str">
        <f>CHOOSE(jezyk,n!A314,n!B314,n!C314,n!D314)</f>
        <v>Wartości niematerialne i prawne</v>
      </c>
      <c r="H40" s="92"/>
      <c r="J40" s="307">
        <f>IFERROR(VLOOKUP(AB40,#REF!,2,FALSE),0)</f>
        <v>0</v>
      </c>
      <c r="K40" s="115">
        <f>IFERROR(VLOOKUP(AB40,#REF!,2,FALSE),0)</f>
        <v>0</v>
      </c>
      <c r="M40" s="38"/>
      <c r="S40" s="66"/>
      <c r="T40" s="66"/>
      <c r="AB40" s="272"/>
    </row>
    <row r="41" spans="2:28">
      <c r="F41" s="72" t="s">
        <v>6544</v>
      </c>
      <c r="G41" s="92" t="str">
        <f>CHOOSE(jezyk,n!A315,n!B315,n!C315,n!D315)</f>
        <v>Długoterminowe aktywa finansowe</v>
      </c>
      <c r="H41" s="92"/>
      <c r="J41" s="312">
        <f>J47+J53+J59</f>
        <v>0</v>
      </c>
      <c r="K41" s="312">
        <f>K47+K53+K59</f>
        <v>0</v>
      </c>
      <c r="M41" s="38"/>
      <c r="N41" s="241" t="s">
        <v>6586</v>
      </c>
      <c r="O41" s="118" t="str">
        <f>CHOOSE(jezyk,n!A384,n!B384,n!C384,n!D384)</f>
        <v>Zobowiązania długoterminowe</v>
      </c>
      <c r="P41" s="241"/>
      <c r="Q41" s="241"/>
      <c r="R41" s="241"/>
      <c r="S41" s="112">
        <f>SUM(S43,,S44,S52)</f>
        <v>0</v>
      </c>
      <c r="T41" s="112">
        <f>SUM(T43,,T44,T52)</f>
        <v>0</v>
      </c>
      <c r="U41" s="294" t="str">
        <f>dzb</f>
        <v>31.12.2024</v>
      </c>
    </row>
    <row r="42" spans="2:28" ht="12.75" customHeight="1">
      <c r="F42" s="111"/>
      <c r="G42" s="72" t="s">
        <v>6591</v>
      </c>
      <c r="H42" s="92" t="str">
        <f>CHOOSE(jezyk,n!A316,n!B316,n!C316,n!D316)</f>
        <v>w jednostkach powiązanych</v>
      </c>
      <c r="M42" s="38"/>
      <c r="O42" s="118"/>
      <c r="S42" s="304"/>
      <c r="T42" s="304"/>
      <c r="U42" s="213">
        <f>S43-'nota 1.11-1.15'!H52</f>
        <v>-201380.84</v>
      </c>
    </row>
    <row r="43" spans="2:28">
      <c r="E43" s="111"/>
      <c r="F43" s="111"/>
      <c r="G43" s="111"/>
      <c r="H43" s="111" t="s">
        <v>6547</v>
      </c>
      <c r="I43" s="92" t="str">
        <f>CHOOSE(jezyk,n!A317,n!B317,n!C317,n!D317)</f>
        <v>udziały lub akcje</v>
      </c>
      <c r="J43" s="307">
        <f>IFERROR(VLOOKUP(AB43,#REF!,2,FALSE),0)</f>
        <v>0</v>
      </c>
      <c r="K43" s="307">
        <f>IFERROR(VLOOKUP(AB43,#REF!,2,FALSE),0)</f>
        <v>0</v>
      </c>
      <c r="M43" s="38"/>
      <c r="N43" s="111"/>
      <c r="O43" s="38" t="s">
        <v>6530</v>
      </c>
      <c r="P43" s="38" t="str">
        <f>CHOOSE(jezyk,n!A385,n!B385,n!C385,n!D385)</f>
        <v>Wobec jednostek powiązanych</v>
      </c>
      <c r="Q43" s="38"/>
      <c r="S43" s="300">
        <f>IFERROR(VLOOKUP(X43,#REF!,2,FALSE),0)*-1</f>
        <v>0</v>
      </c>
      <c r="T43" s="300">
        <f>IFERROR(VLOOKUP(X43,#REF!,2,FALSE),0)*-1</f>
        <v>0</v>
      </c>
      <c r="X43" s="272"/>
      <c r="AB43" s="272"/>
    </row>
    <row r="44" spans="2:28">
      <c r="E44" s="111"/>
      <c r="F44" s="111"/>
      <c r="G44" s="111"/>
      <c r="H44" s="111" t="s">
        <v>6547</v>
      </c>
      <c r="I44" s="92" t="str">
        <f>CHOOSE(jezyk,n!A318,n!B318,n!C318,n!D318)</f>
        <v>inne papiery wartościowe</v>
      </c>
      <c r="J44" s="307">
        <f>IFERROR(VLOOKUP(AB44,#REF!,2,FALSE),0)</f>
        <v>0</v>
      </c>
      <c r="K44" s="307">
        <f>IFERROR(VLOOKUP(AB44,#REF!,2,FALSE),0)</f>
        <v>0</v>
      </c>
      <c r="M44" s="38"/>
      <c r="N44" s="111"/>
      <c r="O44" s="92" t="s">
        <v>6540</v>
      </c>
      <c r="P44" s="746" t="str">
        <f>CHOOSE(jezyk,n!A386,n!B386,n!C386,n!D386)</f>
        <v>Wobec jednostek, w których jednostka posiada zaangażowanie w kapitale</v>
      </c>
      <c r="Q44" s="746"/>
      <c r="R44" s="746"/>
      <c r="S44" s="300">
        <f>IFERROR(VLOOKUP(X44,#REF!,2,FALSE),0)*-1</f>
        <v>0</v>
      </c>
      <c r="T44" s="300">
        <f>IFERROR(VLOOKUP(X44,#REF!,2,FALSE),0)*-1</f>
        <v>0</v>
      </c>
      <c r="X44" s="272"/>
      <c r="AB44" s="272"/>
    </row>
    <row r="45" spans="2:28" ht="17.25" customHeight="1">
      <c r="E45" s="111"/>
      <c r="F45" s="111"/>
      <c r="G45" s="111"/>
      <c r="H45" s="111" t="s">
        <v>6547</v>
      </c>
      <c r="I45" s="92" t="str">
        <f>CHOOSE(jezyk,n!A319,n!B319,n!C319,n!D319)</f>
        <v>udzielone pożyczki</v>
      </c>
      <c r="J45" s="307">
        <f>IFERROR(VLOOKUP(AB45,#REF!,2,FALSE),0)</f>
        <v>0</v>
      </c>
      <c r="K45" s="307">
        <f>IFERROR(VLOOKUP(AB45,#REF!,2,FALSE),0)</f>
        <v>0</v>
      </c>
      <c r="M45" s="38"/>
      <c r="N45" s="111"/>
      <c r="O45" s="92"/>
      <c r="P45" s="746"/>
      <c r="Q45" s="746"/>
      <c r="R45" s="746"/>
      <c r="S45" s="300">
        <f>IFERROR(VLOOKUP(X45,#REF!,2,FALSE),0)*-1</f>
        <v>0</v>
      </c>
      <c r="T45" s="300">
        <f>IFERROR(VLOOKUP(X45,#REF!,2,FALSE),0)*-1</f>
        <v>0</v>
      </c>
      <c r="AB45" s="272"/>
    </row>
    <row r="46" spans="2:28">
      <c r="E46" s="111"/>
      <c r="F46" s="111"/>
      <c r="G46" s="111"/>
      <c r="H46" s="111" t="s">
        <v>6547</v>
      </c>
      <c r="I46" s="92" t="str">
        <f>CHOOSE(jezyk,n!A320,n!B320,n!C320,n!D320)</f>
        <v>inne długoterminowe aktywa finansowe</v>
      </c>
      <c r="J46" s="308">
        <f>IFERROR(VLOOKUP(AB46,#REF!,2,FALSE),0)</f>
        <v>0</v>
      </c>
      <c r="K46" s="307">
        <f>IFERROR(VLOOKUP(AB46,#REF!,2,FALSE),0)</f>
        <v>0</v>
      </c>
      <c r="M46" s="241"/>
      <c r="N46" s="72"/>
      <c r="O46" s="38" t="s">
        <v>6544</v>
      </c>
      <c r="P46" s="38" t="str">
        <f>CHOOSE(jezyk,n!A387,n!B387,n!C387,n!D387)</f>
        <v>Wobec pozostałych jednostek</v>
      </c>
      <c r="Q46" s="38"/>
      <c r="S46" s="304"/>
      <c r="T46" s="92"/>
      <c r="X46" s="272"/>
      <c r="AB46" s="272"/>
    </row>
    <row r="47" spans="2:28" ht="12.75" customHeight="1">
      <c r="E47" s="111"/>
      <c r="F47" s="111"/>
      <c r="G47" s="111"/>
      <c r="H47" s="111"/>
      <c r="I47" s="92"/>
      <c r="J47" s="312">
        <f>SUM(J43:J46)</f>
        <v>0</v>
      </c>
      <c r="K47" s="312">
        <f>SUM(K43:K46)</f>
        <v>0</v>
      </c>
      <c r="M47" s="111"/>
      <c r="N47" s="72"/>
      <c r="O47" s="72"/>
      <c r="P47" s="72" t="s">
        <v>6591</v>
      </c>
      <c r="Q47" s="92" t="str">
        <f>CHOOSE(jezyk,n!A388,n!B388,n!C388,n!D388)</f>
        <v>kredyty i pożyczki</v>
      </c>
      <c r="S47" s="300">
        <f>IFERROR(VLOOKUP(X47,#REF!,2,FALSE),0)*-1</f>
        <v>0</v>
      </c>
      <c r="T47" s="115">
        <f>IFERROR(VLOOKUP(X47,#REF!,2,FALSE),0)*-1</f>
        <v>0</v>
      </c>
      <c r="U47" s="294" t="str">
        <f>dzb</f>
        <v>31.12.2024</v>
      </c>
      <c r="X47" s="272"/>
    </row>
    <row r="48" spans="2:28" ht="27.75" customHeight="1">
      <c r="E48" s="111"/>
      <c r="F48" s="111"/>
      <c r="G48" s="72" t="s">
        <v>6593</v>
      </c>
      <c r="H48" s="746" t="str">
        <f>CHOOSE(jezyk,n!A322,n!B322,n!C322,n!D322)</f>
        <v>w pozostałych jednostkach, w których jednostka posiada zaangażowanie w kapitale</v>
      </c>
      <c r="I48" s="746"/>
      <c r="M48" s="111"/>
      <c r="N48" s="72"/>
      <c r="O48" s="72"/>
      <c r="P48" s="72" t="s">
        <v>6593</v>
      </c>
      <c r="Q48" s="92" t="str">
        <f>CHOOSE(jezyk,n!A389,n!B389,n!C389,n!D389)</f>
        <v>z tytułu emisji dłużnych papierów wartościowych</v>
      </c>
      <c r="S48" s="300">
        <f>IFERROR(VLOOKUP(X48,#REF!,2,FALSE),0)*-1</f>
        <v>0</v>
      </c>
      <c r="T48" s="115">
        <f>IFERROR(VLOOKUP(X48,#REF!,2,FALSE),0)*-1</f>
        <v>0</v>
      </c>
      <c r="U48" s="213">
        <f>S52-'nota 1.16-1.19'!F30</f>
        <v>0</v>
      </c>
      <c r="X48" s="272"/>
    </row>
    <row r="49" spans="2:28">
      <c r="E49" s="111"/>
      <c r="F49" s="111"/>
      <c r="G49" s="111"/>
      <c r="H49" s="111" t="s">
        <v>6547</v>
      </c>
      <c r="I49" s="92" t="str">
        <f>I43</f>
        <v>udziały lub akcje</v>
      </c>
      <c r="J49" s="301">
        <f>IFERROR(VLOOKUP(AB49,#REF!,2,FALSE),0)</f>
        <v>0</v>
      </c>
      <c r="K49" s="301">
        <f>IFERROR(VLOOKUP(AB49,#REF!,2,FALSE),0)</f>
        <v>0</v>
      </c>
      <c r="M49" s="72"/>
      <c r="N49" s="72"/>
      <c r="O49" s="72"/>
      <c r="P49" s="72" t="s">
        <v>6594</v>
      </c>
      <c r="Q49" s="92" t="str">
        <f>CHOOSE(jezyk,n!A390,n!B390,n!C390,n!D390)</f>
        <v>inne zobowiązania finansowe</v>
      </c>
      <c r="S49" s="300">
        <f>IFERROR(VLOOKUP(X49,#REF!,2,FALSE),0)*-1</f>
        <v>0</v>
      </c>
      <c r="T49" s="115">
        <f>IFERROR(VLOOKUP(X49,#REF!,2,FALSE),0)*-1</f>
        <v>0</v>
      </c>
      <c r="X49" s="272"/>
      <c r="AB49" s="272"/>
    </row>
    <row r="50" spans="2:28">
      <c r="E50" s="111"/>
      <c r="F50" s="111"/>
      <c r="G50" s="111"/>
      <c r="H50" s="111" t="s">
        <v>6547</v>
      </c>
      <c r="I50" s="92" t="str">
        <f>I44</f>
        <v>inne papiery wartościowe</v>
      </c>
      <c r="J50" s="301">
        <f>IFERROR(VLOOKUP(AB50,#REF!,2,FALSE),0)</f>
        <v>0</v>
      </c>
      <c r="K50" s="301">
        <f>IFERROR(VLOOKUP(AB50,#REF!,2,FALSE),0)</f>
        <v>0</v>
      </c>
      <c r="M50" s="72"/>
      <c r="P50" s="66" t="s">
        <v>6595</v>
      </c>
      <c r="Q50" s="92" t="str">
        <f>CHOOSE(jezyk,n!A391,n!B391,n!C391,n!D391)</f>
        <v>zobowiązania wekslowe</v>
      </c>
      <c r="S50" s="300">
        <f>IFERROR(VLOOKUP(X50,#REF!,2,FALSE),0)*-1</f>
        <v>0</v>
      </c>
      <c r="T50" s="115">
        <f>IFERROR(VLOOKUP(X50,#REF!,2,FALSE),0)*-1</f>
        <v>0</v>
      </c>
      <c r="X50" s="272"/>
      <c r="AB50" s="272"/>
    </row>
    <row r="51" spans="2:28">
      <c r="E51" s="111"/>
      <c r="F51" s="111"/>
      <c r="G51" s="111"/>
      <c r="H51" s="111" t="s">
        <v>6547</v>
      </c>
      <c r="I51" s="92" t="str">
        <f>I45</f>
        <v>udzielone pożyczki</v>
      </c>
      <c r="J51" s="301">
        <f>IFERROR(VLOOKUP(AB51,#REF!,2,FALSE),0)</f>
        <v>0</v>
      </c>
      <c r="K51" s="301">
        <f>IFERROR(VLOOKUP(AB51,#REF!,2,FALSE),0)</f>
        <v>0</v>
      </c>
      <c r="M51" s="38"/>
      <c r="P51" s="72" t="s">
        <v>6596</v>
      </c>
      <c r="Q51" s="92" t="str">
        <f>CHOOSE(jezyk,n!A392,n!B392,n!C392,n!D392)</f>
        <v>inne</v>
      </c>
      <c r="S51" s="300">
        <f>IFERROR(VLOOKUP(X51,#REF!,2,FALSE),0)*-1</f>
        <v>0</v>
      </c>
      <c r="T51" s="115">
        <f>IFERROR(VLOOKUP(X51,#REF!,2,FALSE),0)*-1</f>
        <v>0</v>
      </c>
      <c r="X51" s="272"/>
      <c r="AB51" s="272"/>
    </row>
    <row r="52" spans="2:28">
      <c r="E52" s="111"/>
      <c r="F52" s="111"/>
      <c r="G52" s="111"/>
      <c r="H52" s="111" t="s">
        <v>6547</v>
      </c>
      <c r="I52" s="92" t="str">
        <f>I46</f>
        <v>inne długoterminowe aktywa finansowe</v>
      </c>
      <c r="J52" s="301">
        <f>IFERROR(VLOOKUP(AB52,#REF!,2,FALSE),0)</f>
        <v>0</v>
      </c>
      <c r="K52" s="301">
        <f>IFERROR(VLOOKUP(AB52,#REF!,2,FALSE),0)</f>
        <v>0</v>
      </c>
      <c r="M52" s="38"/>
      <c r="N52" s="111"/>
      <c r="O52" s="38"/>
      <c r="P52" s="38"/>
      <c r="Q52" s="38"/>
      <c r="S52" s="309">
        <f>SUM(S47:S51)</f>
        <v>0</v>
      </c>
      <c r="T52" s="309">
        <f>SUM(T47:T51)</f>
        <v>0</v>
      </c>
      <c r="AB52" s="272"/>
    </row>
    <row r="53" spans="2:28">
      <c r="E53" s="111"/>
      <c r="F53" s="111"/>
      <c r="G53" s="111"/>
      <c r="H53" s="111"/>
      <c r="I53" s="92"/>
      <c r="J53" s="312">
        <f>SUM(J49:J52)</f>
        <v>0</v>
      </c>
      <c r="K53" s="312">
        <f>SUM(K49:K52)</f>
        <v>0</v>
      </c>
      <c r="M53" s="38"/>
      <c r="N53" s="111"/>
      <c r="O53" s="38"/>
      <c r="P53" s="38"/>
      <c r="Q53" s="38"/>
      <c r="S53" s="304"/>
      <c r="T53" s="304"/>
    </row>
    <row r="54" spans="2:28">
      <c r="E54" s="111"/>
      <c r="F54" s="111"/>
      <c r="G54" s="72" t="s">
        <v>6594</v>
      </c>
      <c r="H54" s="92" t="str">
        <f>CHOOSE(jezyk,n!A321,n!B321,n!C321,n!D321)</f>
        <v>w pozostałych jednostkach</v>
      </c>
      <c r="M54" s="38"/>
      <c r="S54" s="66"/>
      <c r="T54" s="66"/>
    </row>
    <row r="55" spans="2:28">
      <c r="E55" s="111"/>
      <c r="F55" s="111"/>
      <c r="G55" s="111"/>
      <c r="H55" s="111" t="s">
        <v>6547</v>
      </c>
      <c r="I55" s="92" t="str">
        <f>CHOOSE(jezyk,n!A317,n!B317,n!C317,n!D317)</f>
        <v>udziały lub akcje</v>
      </c>
      <c r="J55" s="307">
        <f>IFERROR(VLOOKUP(AB55,#REF!,2,FALSE),0)</f>
        <v>0</v>
      </c>
      <c r="K55" s="307">
        <f>IFERROR(VLOOKUP(AB55,#REF!,2,FALSE),0)</f>
        <v>0</v>
      </c>
      <c r="M55" s="38"/>
      <c r="N55" s="111" t="s">
        <v>6587</v>
      </c>
      <c r="O55" s="180" t="str">
        <f>CHOOSE(jezyk,n!A393,n!B393,n!C393,n!D393)</f>
        <v>Zobowiązania krótkoterminowe</v>
      </c>
      <c r="P55" s="180"/>
      <c r="Q55" s="180"/>
      <c r="R55" s="241"/>
      <c r="S55" s="309">
        <f>SUM(S57,S65,S74,S89)</f>
        <v>2301450.2800000003</v>
      </c>
      <c r="T55" s="309">
        <f>SUM(T57,T65,T74,T89)</f>
        <v>0</v>
      </c>
      <c r="AB55" s="272"/>
    </row>
    <row r="56" spans="2:28">
      <c r="E56" s="111"/>
      <c r="F56" s="111"/>
      <c r="G56" s="111"/>
      <c r="H56" s="111" t="s">
        <v>6547</v>
      </c>
      <c r="I56" s="92" t="str">
        <f>CHOOSE(jezyk,n!A318,n!B318,n!C318,n!D318)</f>
        <v>inne papiery wartościowe</v>
      </c>
      <c r="J56" s="307">
        <f>IFERROR(VLOOKUP(AB56,#REF!,2,FALSE),0)</f>
        <v>0</v>
      </c>
      <c r="K56" s="307">
        <f>IFERROR(VLOOKUP(AB56,#REF!,2,FALSE),0)</f>
        <v>0</v>
      </c>
      <c r="M56" s="38"/>
      <c r="N56" s="111"/>
      <c r="O56" s="180"/>
      <c r="P56" s="38"/>
      <c r="Q56" s="38"/>
      <c r="S56" s="304"/>
      <c r="T56" s="304"/>
      <c r="U56" s="294"/>
      <c r="AB56" s="272"/>
    </row>
    <row r="57" spans="2:28">
      <c r="E57" s="111"/>
      <c r="F57" s="111"/>
      <c r="G57" s="111"/>
      <c r="H57" s="111" t="s">
        <v>6547</v>
      </c>
      <c r="I57" s="92" t="str">
        <f>CHOOSE(jezyk,n!A319,n!B319,n!C319,n!D319)</f>
        <v>udzielone pożyczki</v>
      </c>
      <c r="J57" s="307">
        <f>IFERROR(VLOOKUP(AB57,#REF!,2,FALSE),0)</f>
        <v>0</v>
      </c>
      <c r="K57" s="307">
        <f>IFERROR(VLOOKUP(AB57,#REF!,2,FALSE),0)</f>
        <v>0</v>
      </c>
      <c r="M57" s="38"/>
      <c r="N57" s="72"/>
      <c r="O57" s="72" t="s">
        <v>6530</v>
      </c>
      <c r="P57" s="92" t="str">
        <f>CHOOSE(jezyk,n!A394,n!B394,n!C394,n!D394)</f>
        <v>Zobowiązania wobec jednostek powiązanych</v>
      </c>
      <c r="Q57" s="72"/>
      <c r="S57" s="309">
        <f>SUM(S61:S63)</f>
        <v>808100.8</v>
      </c>
      <c r="T57" s="309">
        <f>SUM(T61:T63)</f>
        <v>0</v>
      </c>
      <c r="U57" s="213"/>
      <c r="AB57" s="272"/>
    </row>
    <row r="58" spans="2:28">
      <c r="E58" s="111"/>
      <c r="F58" s="111"/>
      <c r="G58" s="111"/>
      <c r="H58" s="111" t="s">
        <v>6547</v>
      </c>
      <c r="I58" s="92" t="str">
        <f>CHOOSE(jezyk,n!A320,n!B320,n!C320,n!D320)</f>
        <v>inne długoterminowe aktywa finansowe</v>
      </c>
      <c r="J58" s="307">
        <f>IFERROR(VLOOKUP(AB58,#REF!,2,FALSE),0)</f>
        <v>0</v>
      </c>
      <c r="K58" s="307">
        <f>IFERROR(VLOOKUP(AB58,#REF!,2,FALSE),0)</f>
        <v>0</v>
      </c>
      <c r="M58" s="38"/>
      <c r="N58" s="72"/>
      <c r="O58" s="72"/>
      <c r="P58" s="72" t="s">
        <v>6591</v>
      </c>
      <c r="Q58" s="92" t="str">
        <f>CHOOSE(jezyk,n!A396,n!B396,n!C396,n!D396)</f>
        <v>z tytułu dostaw i usług, o okresie wymagalności:</v>
      </c>
      <c r="S58" s="304"/>
      <c r="T58" s="304"/>
      <c r="AB58" s="272"/>
    </row>
    <row r="59" spans="2:28" ht="12.75" customHeight="1">
      <c r="E59" s="111"/>
      <c r="F59" s="111"/>
      <c r="G59" s="111"/>
      <c r="H59" s="111"/>
      <c r="J59" s="312">
        <f>SUM(J55:J58)</f>
        <v>0</v>
      </c>
      <c r="K59" s="312">
        <f>SUM(K55:K58)</f>
        <v>0</v>
      </c>
      <c r="M59" s="38"/>
      <c r="N59" s="72"/>
      <c r="O59" s="72"/>
      <c r="P59" s="72"/>
      <c r="Q59" s="72" t="s">
        <v>6547</v>
      </c>
      <c r="R59" s="38" t="str">
        <f>CHOOSE(jezyk,n!A397,n!B397,n!C397,n!D397)</f>
        <v>do 12 miesięcy</v>
      </c>
      <c r="S59" s="300">
        <v>808100.8</v>
      </c>
      <c r="T59" s="300">
        <f>IFERROR(VLOOKUP(X59,#REF!,2,FALSE),0)*-1</f>
        <v>0</v>
      </c>
      <c r="X59" s="272"/>
    </row>
    <row r="60" spans="2:28">
      <c r="B60" s="294" t="str">
        <f>dzb</f>
        <v>31.12.2024</v>
      </c>
      <c r="C60" s="108" t="str">
        <f>CHOOSE(jezyk,n!A288,n!B288,n!C288,n!D288)</f>
        <v>Rok poprzedni</v>
      </c>
      <c r="E60" s="111"/>
      <c r="H60" s="111"/>
      <c r="M60" s="38"/>
      <c r="N60" s="72"/>
      <c r="O60" s="72"/>
      <c r="P60" s="72"/>
      <c r="Q60" s="72" t="s">
        <v>6547</v>
      </c>
      <c r="R60" s="38" t="str">
        <f>CHOOSE(jezyk,n!A398,n!B398,n!C398,n!D398)</f>
        <v>powyżej 12 miesięcy</v>
      </c>
      <c r="S60" s="300">
        <f>IFERROR(VLOOKUP(X60,#REF!,2,FALSE),0)*-1</f>
        <v>0</v>
      </c>
      <c r="T60" s="300">
        <f>IFERROR(VLOOKUP(X60,#REF!,2,FALSE),0)*-1</f>
        <v>0</v>
      </c>
      <c r="X60" s="272"/>
    </row>
    <row r="61" spans="2:28" ht="12.75" customHeight="1">
      <c r="B61" s="213">
        <f>J61-'nota 1.1.-1.2'!E189</f>
        <v>0</v>
      </c>
      <c r="C61" s="213">
        <f>K61-'nota 1.1.-1.2'!D189</f>
        <v>0</v>
      </c>
      <c r="E61" s="111"/>
      <c r="F61" s="72" t="s">
        <v>6545</v>
      </c>
      <c r="G61" s="92" t="str">
        <f>CHOOSE(jezyk,n!A323,n!B323,n!C323,n!D323)</f>
        <v>Inne inwestycje długoterminowe</v>
      </c>
      <c r="H61" s="111"/>
      <c r="J61" s="307">
        <f>IFERROR(VLOOKUP(AB61,#REF!,2,FALSE),0)</f>
        <v>0</v>
      </c>
      <c r="K61" s="307">
        <f>IFERROR(VLOOKUP(AB61,#REF!,2,FALSE),0)</f>
        <v>0</v>
      </c>
      <c r="M61" s="38"/>
      <c r="N61" s="72"/>
      <c r="O61" s="72"/>
      <c r="P61" s="72"/>
      <c r="Q61" s="72"/>
      <c r="R61" s="38"/>
      <c r="S61" s="312">
        <f>SUM(S59:S60)</f>
        <v>808100.8</v>
      </c>
      <c r="T61" s="312">
        <f>SUM(T59:T60)</f>
        <v>0</v>
      </c>
      <c r="X61" s="301"/>
      <c r="AB61" s="272"/>
    </row>
    <row r="62" spans="2:28">
      <c r="E62" s="111"/>
      <c r="F62" s="111"/>
      <c r="G62" s="111"/>
      <c r="H62" s="111"/>
      <c r="M62" s="38"/>
      <c r="N62" s="72"/>
      <c r="O62" s="72"/>
      <c r="P62" s="72"/>
      <c r="Q62" s="72"/>
      <c r="R62" s="38"/>
      <c r="S62" s="304"/>
      <c r="T62" s="304"/>
      <c r="X62" s="272"/>
    </row>
    <row r="63" spans="2:28">
      <c r="B63" s="213">
        <f>J63+J130-'nota 1.11-1.15'!G96</f>
        <v>700646.9</v>
      </c>
      <c r="C63" s="213"/>
      <c r="E63" s="111" t="s">
        <v>6589</v>
      </c>
      <c r="F63" s="118" t="str">
        <f>CHOOSE(jezyk,n!A324,n!B324,n!C324,n!D324)</f>
        <v>Długoterminowe rozliczenia międzyokresowe</v>
      </c>
      <c r="G63" s="111"/>
      <c r="H63" s="111"/>
      <c r="I63" s="241"/>
      <c r="J63" s="298">
        <f>SUM(J65:J66)</f>
        <v>81150</v>
      </c>
      <c r="K63" s="298">
        <f>SUM(K65:K66)</f>
        <v>0</v>
      </c>
      <c r="M63" s="38"/>
      <c r="N63" s="72"/>
      <c r="O63" s="72"/>
      <c r="P63" s="72" t="s">
        <v>6593</v>
      </c>
      <c r="Q63" s="92" t="str">
        <f>CHOOSE(jezyk,n!A399,n!B399,n!C399,n!D399)</f>
        <v>inne</v>
      </c>
      <c r="S63" s="300">
        <f>IFERROR(VLOOKUP(X63,#REF!,2,FALSE),0)*-1</f>
        <v>0</v>
      </c>
      <c r="T63" s="300">
        <f>IFERROR(VLOOKUP(X63,#REF!,2,FALSE),0)*-1</f>
        <v>0</v>
      </c>
      <c r="X63" s="272"/>
    </row>
    <row r="64" spans="2:28">
      <c r="E64" s="111"/>
      <c r="F64" s="111"/>
      <c r="G64" s="111"/>
      <c r="H64" s="111"/>
      <c r="M64" s="38"/>
      <c r="N64" s="72"/>
      <c r="O64" s="72"/>
      <c r="Q64" s="72"/>
      <c r="X64" s="272"/>
    </row>
    <row r="65" spans="2:28">
      <c r="E65" s="72"/>
      <c r="F65" s="72" t="s">
        <v>6530</v>
      </c>
      <c r="G65" s="92" t="str">
        <f>CHOOSE(jezyk,n!A325,n!B325,n!C325,n!D325)</f>
        <v>Aktywa z tytułu odroczonego podatku dochodowego</v>
      </c>
      <c r="H65" s="111"/>
      <c r="J65" s="307">
        <v>81150</v>
      </c>
      <c r="K65" s="307">
        <f>IFERROR(VLOOKUP(AB65,#REF!,2,FALSE),0)</f>
        <v>0</v>
      </c>
      <c r="M65" s="38"/>
      <c r="N65" s="72"/>
      <c r="O65" s="72" t="s">
        <v>6540</v>
      </c>
      <c r="P65" s="746" t="str">
        <f>CHOOSE(jezyk,n!A395,n!B395,n!C395,n!D395)</f>
        <v>Zobowiązania wobec pozostałych jednostek, w których jednostka posiada zaangażowanie w kapitale</v>
      </c>
      <c r="Q65" s="746"/>
      <c r="R65" s="746"/>
      <c r="S65" s="309">
        <f>SUM(S70:S72)</f>
        <v>0</v>
      </c>
      <c r="T65" s="309">
        <f>SUM(T70:T72)</f>
        <v>0</v>
      </c>
      <c r="X65" s="301"/>
      <c r="AB65" s="272"/>
    </row>
    <row r="66" spans="2:28">
      <c r="E66" s="72"/>
      <c r="F66" s="72" t="s">
        <v>6540</v>
      </c>
      <c r="G66" s="92" t="str">
        <f>CHOOSE(jezyk,n!A326,n!B326,n!C326,n!D326)</f>
        <v>Inne rozliczenia międzyokresowe</v>
      </c>
      <c r="H66" s="111"/>
      <c r="J66" s="307">
        <f>IFERROR(VLOOKUP(AB66,#REF!,2,FALSE),0)</f>
        <v>0</v>
      </c>
      <c r="K66" s="307">
        <f>IFERROR(VLOOKUP(AB66,#REF!,2,FALSE),0)</f>
        <v>0</v>
      </c>
      <c r="L66" s="72"/>
      <c r="M66" s="38"/>
      <c r="N66" s="72"/>
      <c r="O66" s="72"/>
      <c r="P66" s="746"/>
      <c r="Q66" s="746"/>
      <c r="R66" s="746"/>
      <c r="S66" s="304"/>
      <c r="T66" s="304"/>
      <c r="U66" s="294"/>
      <c r="X66" s="301"/>
      <c r="AB66" s="272"/>
    </row>
    <row r="67" spans="2:28">
      <c r="E67" s="111"/>
      <c r="F67" s="111"/>
      <c r="G67" s="111"/>
      <c r="H67" s="111"/>
      <c r="L67" s="72"/>
      <c r="M67" s="38"/>
      <c r="N67" s="72"/>
      <c r="O67" s="72"/>
      <c r="P67" s="72" t="s">
        <v>6591</v>
      </c>
      <c r="Q67" s="92" t="str">
        <f>Q58</f>
        <v>z tytułu dostaw i usług, o okresie wymagalności:</v>
      </c>
      <c r="S67" s="304"/>
      <c r="T67" s="304"/>
      <c r="U67" s="213"/>
      <c r="X67" s="272"/>
    </row>
    <row r="68" spans="2:28">
      <c r="E68" s="111"/>
      <c r="F68" s="111"/>
      <c r="G68" s="111"/>
      <c r="H68" s="111"/>
      <c r="L68" s="72"/>
      <c r="M68" s="38"/>
      <c r="N68" s="72"/>
      <c r="O68" s="72"/>
      <c r="P68" s="72"/>
      <c r="Q68" s="72" t="s">
        <v>6547</v>
      </c>
      <c r="R68" s="38" t="str">
        <f>R59</f>
        <v>do 12 miesięcy</v>
      </c>
      <c r="S68" s="300">
        <f>IFERROR(VLOOKUP(X68,#REF!,2,FALSE),0)*-1</f>
        <v>0</v>
      </c>
      <c r="T68" s="300">
        <f>IFERROR(VLOOKUP(X68,#REF!,2,FALSE),0)*-1</f>
        <v>0</v>
      </c>
      <c r="X68" s="272"/>
    </row>
    <row r="69" spans="2:28">
      <c r="D69" s="241" t="s">
        <v>6597</v>
      </c>
      <c r="E69" s="118" t="str">
        <f>CHOOSE(jezyk,n!A327,n!B327,n!C327,n!D327)</f>
        <v>Aktywa obrotowe</v>
      </c>
      <c r="F69" s="241"/>
      <c r="G69" s="241"/>
      <c r="H69" s="241"/>
      <c r="I69" s="241"/>
      <c r="J69" s="112">
        <f>SUM(J71,J79,J107,J130)</f>
        <v>3471094.1599999997</v>
      </c>
      <c r="K69" s="112">
        <f>SUM(K71,K79,K107,K130)</f>
        <v>4686.62</v>
      </c>
      <c r="L69" s="72"/>
      <c r="M69" s="38"/>
      <c r="N69" s="72"/>
      <c r="O69" s="72"/>
      <c r="P69" s="72"/>
      <c r="Q69" s="72" t="s">
        <v>6547</v>
      </c>
      <c r="R69" s="38" t="str">
        <f>R60</f>
        <v>powyżej 12 miesięcy</v>
      </c>
      <c r="S69" s="300">
        <f>IFERROR(VLOOKUP(X69,#REF!,2,FALSE),0)*-1</f>
        <v>0</v>
      </c>
      <c r="T69" s="300">
        <f>IFERROR(VLOOKUP(X69,#REF!,2,FALSE),0)*-1</f>
        <v>0</v>
      </c>
      <c r="X69" s="272"/>
    </row>
    <row r="70" spans="2:28">
      <c r="F70" s="111" t="s">
        <v>4368</v>
      </c>
      <c r="G70" s="111"/>
      <c r="H70" s="111"/>
      <c r="L70" s="72"/>
      <c r="M70" s="38"/>
      <c r="N70" s="72"/>
      <c r="O70" s="72"/>
      <c r="P70" s="72"/>
      <c r="Q70" s="72"/>
      <c r="R70" s="38"/>
      <c r="S70" s="312">
        <f>SUM(S68:S69)</f>
        <v>0</v>
      </c>
      <c r="T70" s="312">
        <f>SUM(T68:T69)</f>
        <v>0</v>
      </c>
      <c r="U70" s="38"/>
    </row>
    <row r="71" spans="2:28">
      <c r="E71" s="241" t="s">
        <v>6585</v>
      </c>
      <c r="F71" s="118" t="str">
        <f>CHOOSE(jezyk,n!A328,n!B328,n!C328,n!D328)</f>
        <v>Zapasy</v>
      </c>
      <c r="G71" s="111"/>
      <c r="H71" s="111"/>
      <c r="I71" s="241"/>
      <c r="J71" s="112">
        <f>SUM(J73:J77)</f>
        <v>0</v>
      </c>
      <c r="K71" s="112">
        <f>SUM(K73:K77)</f>
        <v>0</v>
      </c>
      <c r="L71" s="72"/>
      <c r="M71" s="38"/>
      <c r="N71" s="72"/>
      <c r="O71" s="72"/>
      <c r="P71" s="72"/>
      <c r="Q71" s="72"/>
      <c r="R71" s="38"/>
      <c r="S71" s="304"/>
      <c r="T71" s="304"/>
    </row>
    <row r="72" spans="2:28">
      <c r="F72" s="111"/>
      <c r="G72" s="111"/>
      <c r="H72" s="111"/>
      <c r="M72" s="38"/>
      <c r="N72" s="72"/>
      <c r="O72" s="72"/>
      <c r="P72" s="72" t="s">
        <v>6593</v>
      </c>
      <c r="Q72" s="92" t="str">
        <f>Q63</f>
        <v>inne</v>
      </c>
      <c r="S72" s="300">
        <f>IFERROR(VLOOKUP(X72,#REF!,2,FALSE),0)*-1</f>
        <v>0</v>
      </c>
      <c r="T72" s="300">
        <f>IFERROR(VLOOKUP(X72,#REF!,2,FALSE),0)*-1</f>
        <v>0</v>
      </c>
      <c r="X72" s="272"/>
    </row>
    <row r="73" spans="2:28">
      <c r="F73" s="72" t="s">
        <v>6530</v>
      </c>
      <c r="G73" s="92" t="str">
        <f>CHOOSE(jezyk,n!A329,n!B329,n!C329,n!D329)</f>
        <v>Materiały</v>
      </c>
      <c r="I73" s="72"/>
      <c r="J73" s="115">
        <f>IFERROR(VLOOKUP(AB73,#REF!,2,FALSE),0)</f>
        <v>0</v>
      </c>
      <c r="K73" s="115">
        <f>IFERROR(VLOOKUP(AB73,#REF!,2,FALSE),0)</f>
        <v>0</v>
      </c>
      <c r="M73" s="38"/>
      <c r="N73" s="72"/>
      <c r="O73" s="72"/>
      <c r="Q73" s="72"/>
      <c r="AB73" s="272"/>
    </row>
    <row r="74" spans="2:28">
      <c r="F74" s="72" t="s">
        <v>6540</v>
      </c>
      <c r="G74" s="92" t="str">
        <f>CHOOSE(jezyk,n!A330,n!B330,n!C330,n!D330)</f>
        <v>Półprodukty i produkty w toku</v>
      </c>
      <c r="I74" s="72"/>
      <c r="J74" s="115">
        <f>IFERROR(VLOOKUP(AB74,#REF!,2,FALSE),0)</f>
        <v>0</v>
      </c>
      <c r="K74" s="115">
        <f>IFERROR(VLOOKUP(AB74,#REF!,2,FALSE),0)</f>
        <v>0</v>
      </c>
      <c r="L74" s="72"/>
      <c r="M74" s="38"/>
      <c r="N74" s="72"/>
      <c r="O74" s="72" t="s">
        <v>6544</v>
      </c>
      <c r="P74" s="92" t="str">
        <f>CHOOSE(jezyk,n!A400,n!B400,n!C400,n!D400)</f>
        <v>Zobowiązania wobec pozostałych jednostek</v>
      </c>
      <c r="S74" s="116">
        <f>SUM(S75:S77,S81,S82:S87)</f>
        <v>1493349.4800000002</v>
      </c>
      <c r="T74" s="116">
        <f>SUM(T75:T77,T81,T82:T87)</f>
        <v>0</v>
      </c>
      <c r="AB74" s="272"/>
    </row>
    <row r="75" spans="2:28">
      <c r="F75" s="72" t="s">
        <v>6544</v>
      </c>
      <c r="G75" s="92" t="str">
        <f>CHOOSE(jezyk,n!A331,n!B331,n!C331,n!D331)</f>
        <v>Produkty gotowe</v>
      </c>
      <c r="I75" s="72"/>
      <c r="J75" s="115">
        <f>IFERROR(VLOOKUP(AB75,#REF!,2,FALSE),0)</f>
        <v>0</v>
      </c>
      <c r="K75" s="115">
        <f>IFERROR(VLOOKUP(AB75,#REF!,2,FALSE),0)</f>
        <v>0</v>
      </c>
      <c r="L75" s="72"/>
      <c r="M75" s="38"/>
      <c r="N75" s="72"/>
      <c r="O75" s="72"/>
      <c r="P75" s="72" t="s">
        <v>6591</v>
      </c>
      <c r="Q75" s="92" t="str">
        <f>CHOOSE(jezyk,n!A388,n!B388,n!C388,n!D388)</f>
        <v>kredyty i pożyczki</v>
      </c>
      <c r="S75" s="300">
        <f>IFERROR(VLOOKUP(X75,#REF!,2,FALSE),0)*-1</f>
        <v>0</v>
      </c>
      <c r="T75" s="300">
        <f>IFERROR(VLOOKUP(X75,#REF!,2,FALSE),0)*-1</f>
        <v>0</v>
      </c>
      <c r="X75" s="272"/>
      <c r="AB75" s="272"/>
    </row>
    <row r="76" spans="2:28">
      <c r="F76" s="72" t="s">
        <v>6545</v>
      </c>
      <c r="G76" s="92" t="str">
        <f>CHOOSE(jezyk,n!A332,n!B332,n!C332,n!D332)</f>
        <v>Towary</v>
      </c>
      <c r="I76" s="72"/>
      <c r="J76" s="115">
        <f>IFERROR(VLOOKUP(AB76,#REF!,2,FALSE),0)</f>
        <v>0</v>
      </c>
      <c r="K76" s="115">
        <f>IFERROR(VLOOKUP(AB76,#REF!,2,FALSE),0)</f>
        <v>0</v>
      </c>
      <c r="L76" s="72"/>
      <c r="M76" s="38"/>
      <c r="N76" s="72"/>
      <c r="O76" s="72"/>
      <c r="P76" s="72" t="s">
        <v>6593</v>
      </c>
      <c r="Q76" s="92" t="str">
        <f>CHOOSE(jezyk,n!A389,n!B389,n!C389,n!D389)</f>
        <v>z tytułu emisji dłużnych papierów wartościowych</v>
      </c>
      <c r="S76" s="300">
        <f>IFERROR(VLOOKUP(X76,#REF!,2,FALSE),0)*-1</f>
        <v>0</v>
      </c>
      <c r="T76" s="300">
        <f>IFERROR(VLOOKUP(X76,#REF!,2,FALSE),0)*-1</f>
        <v>0</v>
      </c>
      <c r="V76" s="108"/>
      <c r="X76" s="272"/>
      <c r="AB76" s="272"/>
    </row>
    <row r="77" spans="2:28">
      <c r="F77" s="72" t="s">
        <v>6550</v>
      </c>
      <c r="G77" s="92" t="str">
        <f>CHOOSE(jezyk,n!A333,n!B333,n!C333,n!D333)</f>
        <v>Zaliczki na dostawy i usługi</v>
      </c>
      <c r="I77" s="72"/>
      <c r="J77" s="115">
        <f>IFERROR(VLOOKUP(AB77,#REF!,2,FALSE),0)</f>
        <v>0</v>
      </c>
      <c r="K77" s="115">
        <f>IFERROR(VLOOKUP(AB77,#REF!,2,FALSE),0)</f>
        <v>0</v>
      </c>
      <c r="L77" s="72"/>
      <c r="M77" s="38"/>
      <c r="N77" s="72"/>
      <c r="O77" s="72"/>
      <c r="P77" s="72" t="s">
        <v>6594</v>
      </c>
      <c r="Q77" s="92" t="str">
        <f>CHOOSE(jezyk,n!A390,n!B390,n!C390,n!D390)</f>
        <v>inne zobowiązania finansowe</v>
      </c>
      <c r="S77" s="300">
        <f>IFERROR(VLOOKUP(X77,#REF!,2,FALSE),0)*-1</f>
        <v>0</v>
      </c>
      <c r="T77" s="300">
        <f>IFERROR(VLOOKUP(X77,#REF!,2,FALSE),0)*-1</f>
        <v>0</v>
      </c>
      <c r="U77" s="294"/>
      <c r="V77" s="213"/>
      <c r="X77" s="272"/>
      <c r="AB77" s="272"/>
    </row>
    <row r="78" spans="2:28">
      <c r="F78" s="111" t="s">
        <v>4368</v>
      </c>
      <c r="G78" s="111"/>
      <c r="H78" s="111"/>
      <c r="I78" s="72"/>
      <c r="L78" s="72"/>
      <c r="M78" s="38"/>
      <c r="N78" s="72"/>
      <c r="O78" s="72"/>
      <c r="P78" s="72" t="s">
        <v>6595</v>
      </c>
      <c r="Q78" s="92" t="str">
        <f>CHOOSE(jezyk,n!A396,n!B396,n!C396,n!D396)</f>
        <v>z tytułu dostaw i usług, o okresie wymagalności:</v>
      </c>
      <c r="S78" s="304"/>
      <c r="U78" s="213"/>
    </row>
    <row r="79" spans="2:28" ht="12.75" customHeight="1">
      <c r="E79" s="241" t="s">
        <v>6586</v>
      </c>
      <c r="F79" s="118" t="str">
        <f>CHOOSE(jezyk,n!A334,n!B334,n!C334,n!D334)</f>
        <v>Należności krótkoterminowe</v>
      </c>
      <c r="G79" s="111"/>
      <c r="H79" s="111"/>
      <c r="I79" s="241"/>
      <c r="J79" s="112">
        <f>J81+J89+J97</f>
        <v>2578432.0999999996</v>
      </c>
      <c r="K79" s="112">
        <f>K81+K89+K97</f>
        <v>40.4</v>
      </c>
      <c r="L79" s="72"/>
      <c r="M79" s="38"/>
      <c r="N79" s="72"/>
      <c r="O79" s="72"/>
      <c r="P79" s="72"/>
      <c r="Q79" s="72" t="s">
        <v>6547</v>
      </c>
      <c r="R79" s="38" t="str">
        <f>CHOOSE(jezyk,n!A397,n!B397,n!C397,n!D397)</f>
        <v>do 12 miesięcy</v>
      </c>
      <c r="S79" s="300">
        <v>1196299.6000000001</v>
      </c>
      <c r="T79" s="300">
        <f>IFERROR(VLOOKUP(X79,#REF!,2,FALSE),0)*-1</f>
        <v>0</v>
      </c>
      <c r="X79" s="272"/>
    </row>
    <row r="80" spans="2:28" ht="12.75" customHeight="1">
      <c r="B80" s="294"/>
      <c r="F80" s="111"/>
      <c r="G80" s="111"/>
      <c r="H80" s="111"/>
      <c r="L80" s="72"/>
      <c r="M80" s="38"/>
      <c r="N80" s="72"/>
      <c r="O80" s="72"/>
      <c r="P80" s="72"/>
      <c r="Q80" s="72" t="s">
        <v>6547</v>
      </c>
      <c r="R80" s="38" t="str">
        <f>CHOOSE(jezyk,n!A398,n!B398,n!C398,n!D398)</f>
        <v>powyżej 12 miesięcy</v>
      </c>
      <c r="S80" s="300">
        <f>IFERROR(VLOOKUP(X80,#REF!,2,FALSE),0)*-1</f>
        <v>0</v>
      </c>
      <c r="T80" s="300">
        <f>IFERROR(VLOOKUP(X80,#REF!,2,FALSE),0)*-1</f>
        <v>0</v>
      </c>
      <c r="U80" s="294" t="str">
        <f>dzb</f>
        <v>31.12.2024</v>
      </c>
      <c r="X80" s="272"/>
    </row>
    <row r="81" spans="2:28">
      <c r="B81" s="213"/>
      <c r="F81" s="72" t="s">
        <v>6530</v>
      </c>
      <c r="G81" s="92" t="str">
        <f>CHOOSE(jezyk,n!A335,n!B335,n!C335,n!D335)</f>
        <v>Należności od jednostek powiązanych</v>
      </c>
      <c r="I81" s="72"/>
      <c r="J81" s="116">
        <f>SUM(J85:J87)</f>
        <v>1679777.14</v>
      </c>
      <c r="K81" s="116">
        <f>SUM(K85:K87)</f>
        <v>0</v>
      </c>
      <c r="L81" s="72"/>
      <c r="M81" s="38"/>
      <c r="N81" s="72"/>
      <c r="O81" s="72"/>
      <c r="P81" s="72"/>
      <c r="Q81" s="72"/>
      <c r="R81" s="38"/>
      <c r="S81" s="309">
        <f>SUM(S79:S80)</f>
        <v>1196299.6000000001</v>
      </c>
      <c r="T81" s="309">
        <f>SUM(T79:T80)</f>
        <v>0</v>
      </c>
      <c r="U81" s="213">
        <f>S92-'nota 1.11-1.15'!D106</f>
        <v>783526.04</v>
      </c>
    </row>
    <row r="82" spans="2:28">
      <c r="G82" s="72" t="s">
        <v>6591</v>
      </c>
      <c r="H82" s="92" t="str">
        <f>CHOOSE(jezyk,n!A337,n!B337,n!C337,n!D337)</f>
        <v>z tytułu dostaw i usług, o okresie spłaty:</v>
      </c>
      <c r="I82" s="72"/>
      <c r="J82" s="92"/>
      <c r="K82" s="92"/>
      <c r="L82" s="72"/>
      <c r="M82" s="38"/>
      <c r="N82" s="72"/>
      <c r="O82" s="72"/>
      <c r="P82" s="72" t="s">
        <v>6596</v>
      </c>
      <c r="Q82" s="92" t="str">
        <f>CHOOSE(jezyk,n!A401,n!B401,n!C401,n!D401)</f>
        <v>zaliczki otrzymane na dostawy i usługi</v>
      </c>
      <c r="S82" s="300">
        <f>IFERROR(VLOOKUP(X82,#REF!,2,FALSE),0)*-1</f>
        <v>0</v>
      </c>
      <c r="T82" s="300">
        <f>IFERROR(VLOOKUP(X82,#REF!,2,FALSE),0)*-1</f>
        <v>0</v>
      </c>
      <c r="X82" s="272"/>
    </row>
    <row r="83" spans="2:28">
      <c r="H83" s="72" t="s">
        <v>6547</v>
      </c>
      <c r="I83" s="92" t="str">
        <f>CHOOSE(jezyk,n!A338,n!B338,n!C338,n!D338)</f>
        <v>do 12 miesięcy</v>
      </c>
      <c r="J83" s="115">
        <v>1679777.14</v>
      </c>
      <c r="K83" s="115">
        <f>IFERROR(VLOOKUP(AB83,#REF!,2,FALSE),0)</f>
        <v>0</v>
      </c>
      <c r="L83" s="72"/>
      <c r="M83" s="38"/>
      <c r="N83" s="72"/>
      <c r="O83" s="72"/>
      <c r="P83" s="72" t="s">
        <v>6598</v>
      </c>
      <c r="Q83" s="92" t="str">
        <f>CHOOSE(jezyk,n!A402,n!B402,n!C402,n!D402)</f>
        <v>zobowiązania wekslowe</v>
      </c>
      <c r="S83" s="300">
        <f>IFERROR(VLOOKUP(X83,#REF!,2,FALSE),0)*-1</f>
        <v>0</v>
      </c>
      <c r="T83" s="300">
        <f>IFERROR(VLOOKUP(X83,#REF!,2,FALSE),0)*-1</f>
        <v>0</v>
      </c>
      <c r="X83" s="272"/>
      <c r="AB83" s="272"/>
    </row>
    <row r="84" spans="2:28">
      <c r="H84" s="72" t="s">
        <v>6547</v>
      </c>
      <c r="I84" s="92" t="str">
        <f>CHOOSE(jezyk,n!A339,n!B339,n!C339,n!D339)</f>
        <v>powyżej 12 miesięcy</v>
      </c>
      <c r="J84" s="115">
        <f>IFERROR(VLOOKUP(AB84,#REF!,2,FALSE),0)</f>
        <v>0</v>
      </c>
      <c r="K84" s="115">
        <f>IFERROR(VLOOKUP(AB84,#REF!,2,FALSE),0)</f>
        <v>0</v>
      </c>
      <c r="L84" s="72"/>
      <c r="M84" s="38"/>
      <c r="N84" s="72"/>
      <c r="O84" s="72"/>
      <c r="P84" s="72" t="s">
        <v>6599</v>
      </c>
      <c r="Q84" s="746" t="str">
        <f>CHOOSE(jezyk,n!A403,n!B403,n!C403,n!D403)</f>
        <v>z tytułu podatków, ceł, ubezpieczeń społecznych i zdrowotnych oraz innych tytułów publicznoprawnych</v>
      </c>
      <c r="R84" s="746"/>
      <c r="S84" s="311">
        <v>201380.84</v>
      </c>
      <c r="T84" s="311">
        <f>IFERROR(VLOOKUP(X84,#REF!,2,FALSE),0)*-1</f>
        <v>0</v>
      </c>
      <c r="X84" s="272"/>
      <c r="AB84" s="272"/>
    </row>
    <row r="85" spans="2:28" ht="15" customHeight="1">
      <c r="I85" s="92"/>
      <c r="J85" s="116">
        <f>SUM(J83:J84)</f>
        <v>1679777.14</v>
      </c>
      <c r="K85" s="116">
        <f>SUM(K83:K84)</f>
        <v>0</v>
      </c>
      <c r="L85" s="72"/>
      <c r="M85" s="38"/>
      <c r="N85" s="72"/>
      <c r="O85" s="72"/>
      <c r="P85" s="72"/>
      <c r="Q85" s="746"/>
      <c r="R85" s="746"/>
      <c r="S85" s="311">
        <v>95669.04</v>
      </c>
      <c r="T85" s="311"/>
      <c r="X85" s="314"/>
    </row>
    <row r="86" spans="2:28">
      <c r="I86" s="92"/>
      <c r="J86" s="92"/>
      <c r="K86" s="92"/>
      <c r="L86" s="72"/>
      <c r="M86" s="38"/>
      <c r="N86" s="72"/>
      <c r="O86" s="72"/>
      <c r="P86" s="72" t="s">
        <v>6600</v>
      </c>
      <c r="Q86" s="92" t="str">
        <f>CHOOSE(jezyk,n!A404,n!B404,n!C404,n!D404)</f>
        <v>z tytułu wynagrodzeń</v>
      </c>
      <c r="S86" s="300">
        <f>IFERROR(VLOOKUP(X86,#REF!,2,FALSE),0)*-1</f>
        <v>0</v>
      </c>
      <c r="T86" s="300">
        <f>IFERROR(VLOOKUP(X86,#REF!,2,FALSE),0)*-1</f>
        <v>0</v>
      </c>
      <c r="X86" s="272"/>
    </row>
    <row r="87" spans="2:28">
      <c r="G87" s="72" t="s">
        <v>6593</v>
      </c>
      <c r="H87" s="92" t="str">
        <f>CHOOSE(jezyk,n!A340,n!B340,n!C340,n!D340)</f>
        <v>inne</v>
      </c>
      <c r="I87" s="72"/>
      <c r="J87" s="115">
        <f>IFERROR(VLOOKUP(AB87,#REF!,2,FALSE),0)</f>
        <v>0</v>
      </c>
      <c r="K87" s="115">
        <f>IFERROR(VLOOKUP(AB87,#REF!,2,FALSE),0)</f>
        <v>0</v>
      </c>
      <c r="L87" s="72"/>
      <c r="M87" s="38"/>
      <c r="N87" s="72"/>
      <c r="O87" s="72"/>
      <c r="P87" s="72" t="s">
        <v>6601</v>
      </c>
      <c r="Q87" s="92" t="str">
        <f>CHOOSE(jezyk,n!A392,n!B392,n!C392,n!D392)</f>
        <v>inne</v>
      </c>
      <c r="S87" s="300">
        <f>IFERROR(VLOOKUP(X87,#REF!,2,FALSE),0)*-1</f>
        <v>0</v>
      </c>
      <c r="T87" s="300">
        <f>IFERROR(VLOOKUP(X87,#REF!,2,FALSE),0)*-1</f>
        <v>0</v>
      </c>
      <c r="X87" s="272"/>
      <c r="AB87" s="272"/>
    </row>
    <row r="88" spans="2:28" ht="12.75" customHeight="1">
      <c r="B88" s="294"/>
      <c r="H88" s="92"/>
      <c r="I88" s="72"/>
      <c r="L88" s="72"/>
      <c r="M88" s="241"/>
      <c r="N88" s="72"/>
      <c r="O88" s="72"/>
      <c r="Q88" s="72"/>
      <c r="T88" s="92"/>
    </row>
    <row r="89" spans="2:28" ht="27.75" customHeight="1">
      <c r="B89" s="213"/>
      <c r="F89" s="72" t="s">
        <v>6540</v>
      </c>
      <c r="G89" s="746" t="str">
        <f>CHOOSE(jezyk,n!A336,n!B336,n!C336,n!D336)</f>
        <v>Należności od pozostałych jednostek, w których jednostka posiada zaangażowanie w kapitale</v>
      </c>
      <c r="H89" s="746"/>
      <c r="I89" s="746"/>
      <c r="J89" s="116">
        <f>SUM(J93:J94)</f>
        <v>0</v>
      </c>
      <c r="K89" s="116">
        <f>SUM(K93:K94)</f>
        <v>0</v>
      </c>
      <c r="L89" s="72"/>
      <c r="M89" s="111" t="s">
        <v>4368</v>
      </c>
      <c r="N89" s="72"/>
      <c r="O89" s="72" t="s">
        <v>6545</v>
      </c>
      <c r="P89" s="92" t="str">
        <f>CHOOSE(jezyk,n!A405,n!B405,n!C405,n!D405)</f>
        <v>Fundusze specjalne</v>
      </c>
      <c r="Q89" s="72"/>
      <c r="S89" s="115">
        <f>IFERROR(VLOOKUP(X89,#REF!,2,FALSE),0)*-1</f>
        <v>0</v>
      </c>
      <c r="T89" s="115">
        <f>IFERROR(VLOOKUP(X89,#REF!,2,FALSE),0)*-1</f>
        <v>0</v>
      </c>
      <c r="X89" s="103"/>
    </row>
    <row r="90" spans="2:28" ht="12.75" customHeight="1">
      <c r="G90" s="72" t="s">
        <v>6591</v>
      </c>
      <c r="H90" s="92" t="str">
        <f>H82</f>
        <v>z tytułu dostaw i usług, o okresie spłaty:</v>
      </c>
      <c r="I90" s="72"/>
      <c r="J90" s="92"/>
      <c r="K90" s="92"/>
      <c r="L90" s="72"/>
      <c r="M90" s="38"/>
      <c r="S90" s="66"/>
      <c r="T90" s="66"/>
    </row>
    <row r="91" spans="2:28">
      <c r="H91" s="72" t="s">
        <v>6547</v>
      </c>
      <c r="I91" s="92" t="str">
        <f>I83</f>
        <v>do 12 miesięcy</v>
      </c>
      <c r="J91" s="115">
        <v>0</v>
      </c>
      <c r="K91" s="115">
        <f>IFERROR(VLOOKUP(AB91,#REF!,2,FALSE),0)</f>
        <v>0</v>
      </c>
      <c r="L91" s="72"/>
      <c r="M91" s="38"/>
      <c r="S91" s="66"/>
      <c r="T91" s="66"/>
      <c r="V91" s="315"/>
      <c r="AB91" s="272"/>
    </row>
    <row r="92" spans="2:28">
      <c r="H92" s="72" t="s">
        <v>6547</v>
      </c>
      <c r="I92" s="92" t="str">
        <f>I84</f>
        <v>powyżej 12 miesięcy</v>
      </c>
      <c r="J92" s="115">
        <f>IFERROR(VLOOKUP(AB92,#REF!,2,FALSE),0)</f>
        <v>0</v>
      </c>
      <c r="K92" s="115">
        <f>IFERROR(VLOOKUP(AB92,#REF!,2,FALSE),0)</f>
        <v>0</v>
      </c>
      <c r="L92" s="72"/>
      <c r="M92" s="38"/>
      <c r="N92" s="111" t="s">
        <v>6588</v>
      </c>
      <c r="O92" s="118" t="str">
        <f>CHOOSE(jezyk,n!A406,n!B406,n!C406,n!D406)</f>
        <v>Rozliczenia międzyokresowe</v>
      </c>
      <c r="P92" s="111"/>
      <c r="Q92" s="111"/>
      <c r="R92" s="241"/>
      <c r="S92" s="299">
        <f>SUM(S94,S99)</f>
        <v>783526.04</v>
      </c>
      <c r="T92" s="299">
        <f>SUM(T94,T99)</f>
        <v>0</v>
      </c>
      <c r="AB92" s="272"/>
    </row>
    <row r="93" spans="2:28">
      <c r="I93" s="92"/>
      <c r="J93" s="116">
        <f>SUM(J91:J92)</f>
        <v>0</v>
      </c>
      <c r="K93" s="116">
        <f>SUM(K91:K92)</f>
        <v>0</v>
      </c>
      <c r="L93" s="72"/>
      <c r="M93" s="38"/>
    </row>
    <row r="94" spans="2:28">
      <c r="G94" s="72" t="s">
        <v>6593</v>
      </c>
      <c r="H94" s="92" t="str">
        <f>H87</f>
        <v>inne</v>
      </c>
      <c r="I94" s="72"/>
      <c r="J94" s="115">
        <f>IFERROR(VLOOKUP(AB94,#REF!,2,FALSE),0)</f>
        <v>0</v>
      </c>
      <c r="K94" s="115">
        <f>IFERROR(VLOOKUP(AB94,#REF!,2,FALSE),0)</f>
        <v>0</v>
      </c>
      <c r="L94" s="72"/>
      <c r="M94" s="38"/>
      <c r="N94" s="72"/>
      <c r="O94" s="72" t="s">
        <v>6530</v>
      </c>
      <c r="P94" s="92" t="str">
        <f>CHOOSE(jezyk,n!A407,n!B407,n!C407,n!D407)</f>
        <v>Ujemna wartość firmy</v>
      </c>
      <c r="Q94" s="72"/>
      <c r="S94" s="307">
        <f>IFERROR(VLOOKUP(X94,#REF!,2,FALSE),0)*-1</f>
        <v>0</v>
      </c>
      <c r="T94" s="300">
        <f>IFERROR(VLOOKUP(X94,#REF!,2,FALSE),0)*-1</f>
        <v>0</v>
      </c>
      <c r="X94" s="463"/>
      <c r="AB94" s="272"/>
    </row>
    <row r="95" spans="2:28" ht="0.75" customHeight="1">
      <c r="B95" s="294"/>
      <c r="J95" s="38">
        <v>0</v>
      </c>
      <c r="K95" s="38">
        <v>0</v>
      </c>
      <c r="L95" s="72"/>
      <c r="M95" s="38"/>
      <c r="N95" s="72"/>
      <c r="S95" s="38">
        <v>0</v>
      </c>
      <c r="T95" s="38">
        <v>0</v>
      </c>
      <c r="U95" s="315"/>
      <c r="X95" s="272"/>
      <c r="AB95" s="272"/>
    </row>
    <row r="96" spans="2:28">
      <c r="B96" s="213"/>
      <c r="H96" s="92"/>
      <c r="I96" s="72"/>
      <c r="L96" s="72"/>
      <c r="M96" s="38"/>
      <c r="N96" s="72"/>
      <c r="O96" s="72" t="s">
        <v>6540</v>
      </c>
      <c r="P96" s="92" t="str">
        <f>CHOOSE(jezyk,n!A408,n!B408,n!C408,n!D408)</f>
        <v>Inne rozliczenia międzyokresowe</v>
      </c>
      <c r="Q96" s="72"/>
      <c r="T96" s="304"/>
    </row>
    <row r="97" spans="2:28">
      <c r="F97" s="72" t="s">
        <v>6544</v>
      </c>
      <c r="G97" s="92" t="str">
        <f>CHOOSE(jezyk,n!A341,n!B341,n!C341,n!D341)</f>
        <v>Należności od pozostałych jednostek</v>
      </c>
      <c r="I97" s="72"/>
      <c r="J97" s="116">
        <f>SUM(J101:J105)</f>
        <v>898654.96</v>
      </c>
      <c r="K97" s="116">
        <f>SUM(K101:K105)</f>
        <v>40.4</v>
      </c>
      <c r="L97" s="72"/>
      <c r="M97" s="38"/>
      <c r="N97" s="72"/>
      <c r="O97" s="72"/>
      <c r="P97" s="72" t="s">
        <v>6547</v>
      </c>
      <c r="Q97" s="92" t="str">
        <f>CHOOSE(jezyk,n!A409,n!B409,n!C409,n!D409)</f>
        <v>długoterminowe</v>
      </c>
      <c r="S97" s="307">
        <f>IFERROR(VLOOKUP(X97,#REF!,2,FALSE),0)*-1</f>
        <v>0</v>
      </c>
      <c r="T97" s="300">
        <f>IFERROR(VLOOKUP(X97,#REF!,2,FALSE),0)*-1</f>
        <v>0</v>
      </c>
      <c r="X97" s="272"/>
    </row>
    <row r="98" spans="2:28" ht="15">
      <c r="F98" s="111" t="s">
        <v>4368</v>
      </c>
      <c r="G98" s="72" t="s">
        <v>6591</v>
      </c>
      <c r="H98" s="92" t="str">
        <f>CHOOSE(jezyk,n!A337,n!B337,n!C337,n!D337)</f>
        <v>z tytułu dostaw i usług, o okresie spłaty:</v>
      </c>
      <c r="I98" s="72"/>
      <c r="J98" s="92"/>
      <c r="K98" s="92"/>
      <c r="L98" s="72"/>
      <c r="M98" s="38"/>
      <c r="O98" s="72"/>
      <c r="P98" s="72" t="s">
        <v>6547</v>
      </c>
      <c r="Q98" s="92" t="str">
        <f>CHOOSE(jezyk,n!A410,n!B410,n!C410,n!D410)</f>
        <v>krótkoterminowe</v>
      </c>
      <c r="S98" s="307">
        <v>783526.04</v>
      </c>
      <c r="T98" s="300">
        <f>IFERROR(VLOOKUP(X98,#REF!,2,FALSE),0)*-1</f>
        <v>0</v>
      </c>
      <c r="X98" s="272"/>
      <c r="AB98" s="314"/>
    </row>
    <row r="99" spans="2:28">
      <c r="F99" s="111"/>
      <c r="H99" s="111" t="s">
        <v>6547</v>
      </c>
      <c r="I99" s="92" t="str">
        <f>CHOOSE(jezyk,n!A338,n!B338,n!C338,n!D338)</f>
        <v>do 12 miesięcy</v>
      </c>
      <c r="J99" s="115">
        <v>677229.98</v>
      </c>
      <c r="K99" s="115">
        <f>IFERROR(VLOOKUP(AB99,#REF!,2,FALSE),0)</f>
        <v>0</v>
      </c>
      <c r="L99" s="72"/>
      <c r="M99" s="38"/>
      <c r="N99" s="111"/>
      <c r="S99" s="309">
        <f>SUM(S97:S98)</f>
        <v>783526.04</v>
      </c>
      <c r="T99" s="309">
        <f>SUM(T97:T98)</f>
        <v>0</v>
      </c>
      <c r="AB99" s="272"/>
    </row>
    <row r="100" spans="2:28">
      <c r="F100" s="111"/>
      <c r="H100" s="111" t="s">
        <v>6547</v>
      </c>
      <c r="I100" s="92" t="str">
        <f>CHOOSE(jezyk,n!A339,n!B339,n!C339,n!D339)</f>
        <v>powyżej 12 miesięcy</v>
      </c>
      <c r="J100" s="115">
        <f>IFERROR(VLOOKUP(AB100,#REF!,2,FALSE),0)</f>
        <v>0</v>
      </c>
      <c r="K100" s="115">
        <f>IFERROR(VLOOKUP(AB100,#REF!,2,FALSE),0)</f>
        <v>0</v>
      </c>
      <c r="L100" s="72"/>
      <c r="M100" s="38"/>
      <c r="N100" s="38"/>
      <c r="AB100" s="272"/>
    </row>
    <row r="101" spans="2:28">
      <c r="F101" s="111"/>
      <c r="H101" s="111"/>
      <c r="I101" s="92"/>
      <c r="J101" s="116">
        <f>SUM(J99:J100)</f>
        <v>677229.98</v>
      </c>
      <c r="K101" s="116">
        <f>SUM(K99:K100)</f>
        <v>0</v>
      </c>
      <c r="M101" s="38"/>
      <c r="N101" s="38"/>
      <c r="O101" s="72"/>
      <c r="P101" s="72"/>
      <c r="Q101" s="72"/>
      <c r="R101" s="72"/>
      <c r="T101" s="92"/>
    </row>
    <row r="102" spans="2:28" ht="12.75" customHeight="1">
      <c r="F102" s="111"/>
      <c r="H102" s="111"/>
      <c r="I102" s="92"/>
      <c r="J102" s="92"/>
      <c r="K102" s="92"/>
      <c r="M102" s="38"/>
      <c r="N102" s="38"/>
      <c r="O102" s="72"/>
      <c r="P102" s="72"/>
      <c r="Q102" s="72"/>
      <c r="R102" s="72"/>
      <c r="T102" s="304"/>
    </row>
    <row r="103" spans="2:28" ht="39.75" customHeight="1">
      <c r="D103" s="334"/>
      <c r="E103" s="334"/>
      <c r="F103" s="117"/>
      <c r="G103" s="99" t="s">
        <v>6593</v>
      </c>
      <c r="H103" s="722" t="str">
        <f>CHOOSE(jezyk,n!A342,n!B342,n!C342,n!D342)</f>
        <v>z tytułu podatków, dotacji, ceł, ubezpieczeń społecznych i zdrowotnych oraz innych tytułów publicznoprawnych</v>
      </c>
      <c r="I103" s="722"/>
      <c r="J103" s="302">
        <v>221424.98</v>
      </c>
      <c r="K103" s="300">
        <v>40.4</v>
      </c>
      <c r="L103" s="72"/>
      <c r="M103" s="38"/>
      <c r="N103" s="38"/>
      <c r="O103" s="72"/>
      <c r="P103" s="72"/>
      <c r="Q103" s="72"/>
      <c r="R103" s="72"/>
      <c r="T103" s="304"/>
      <c r="AB103" s="272"/>
    </row>
    <row r="104" spans="2:28">
      <c r="F104" s="111"/>
      <c r="G104" s="72" t="s">
        <v>6594</v>
      </c>
      <c r="H104" s="92" t="str">
        <f>CHOOSE(jezyk,n!A343,n!B343,n!C343)</f>
        <v>inne</v>
      </c>
      <c r="I104" s="72"/>
      <c r="J104" s="391">
        <f>IFERROR(VLOOKUP(AB104,#REF!,2,FALSE),0)</f>
        <v>0</v>
      </c>
      <c r="K104" s="300">
        <f>IFERROR(VLOOKUP(AB104,#REF!,2,FALSE),0)</f>
        <v>0</v>
      </c>
      <c r="L104" s="72"/>
      <c r="N104" s="38"/>
      <c r="O104" s="72"/>
      <c r="P104" s="72"/>
      <c r="Q104" s="72"/>
      <c r="R104" s="72"/>
      <c r="T104" s="304"/>
      <c r="AB104" s="272"/>
    </row>
    <row r="105" spans="2:28">
      <c r="F105" s="111"/>
      <c r="G105" s="72" t="s">
        <v>6595</v>
      </c>
      <c r="H105" s="92" t="str">
        <f>CHOOSE(jezyk,n!A344,n!B344,n!C344,n!D344)</f>
        <v>dochodzone na drodze sądowej</v>
      </c>
      <c r="I105" s="72"/>
      <c r="J105" s="391">
        <f>IFERROR(VLOOKUP(AB105,#REF!,2,FALSE),0)</f>
        <v>0</v>
      </c>
      <c r="K105" s="300">
        <f>IFERROR(VLOOKUP(AB105,#REF!,2,FALSE),0)</f>
        <v>0</v>
      </c>
      <c r="L105" s="72"/>
      <c r="N105" s="38"/>
      <c r="O105" s="72"/>
      <c r="P105" s="72"/>
      <c r="Q105" s="72"/>
      <c r="R105" s="72"/>
      <c r="T105" s="304"/>
      <c r="AB105" s="272"/>
    </row>
    <row r="106" spans="2:28">
      <c r="F106" s="111"/>
      <c r="H106" s="111"/>
      <c r="I106" s="72"/>
      <c r="L106" s="72"/>
      <c r="N106" s="38"/>
      <c r="O106" s="72"/>
      <c r="P106" s="72"/>
      <c r="Q106" s="72"/>
      <c r="R106" s="72"/>
      <c r="T106" s="304"/>
      <c r="AB106" s="315"/>
    </row>
    <row r="107" spans="2:28">
      <c r="E107" s="241" t="s">
        <v>6587</v>
      </c>
      <c r="F107" s="118" t="str">
        <f>CHOOSE(jezyk,n!A345,n!B345,n!C345,n!D345)</f>
        <v>Inwestycje krótkoterminowe</v>
      </c>
      <c r="G107" s="111"/>
      <c r="H107" s="111"/>
      <c r="I107" s="111"/>
      <c r="J107" s="112">
        <f>SUM(J109,J128)</f>
        <v>273165.15999999997</v>
      </c>
      <c r="K107" s="112">
        <f>SUM(K109,K128)</f>
        <v>4646.22</v>
      </c>
      <c r="L107" s="72"/>
      <c r="N107" s="38"/>
      <c r="O107" s="72"/>
      <c r="P107" s="72"/>
      <c r="Q107" s="72"/>
      <c r="R107" s="72"/>
      <c r="S107" s="156"/>
      <c r="T107" s="304"/>
    </row>
    <row r="108" spans="2:28">
      <c r="D108" s="66"/>
      <c r="E108" s="66"/>
      <c r="H108" s="111"/>
      <c r="I108" s="72"/>
      <c r="J108" s="92"/>
      <c r="K108" s="92"/>
      <c r="L108" s="72"/>
      <c r="M108" s="315"/>
      <c r="N108" s="38"/>
      <c r="O108" s="72"/>
      <c r="P108" s="72"/>
      <c r="Q108" s="72"/>
      <c r="R108" s="72"/>
      <c r="T108" s="304"/>
    </row>
    <row r="109" spans="2:28">
      <c r="D109" s="66"/>
      <c r="E109" s="66"/>
      <c r="F109" s="72" t="s">
        <v>6530</v>
      </c>
      <c r="G109" s="92" t="str">
        <f>CHOOSE(jezyk,n!A346,n!B346,n!C346,n!D346)</f>
        <v>Krótkoterminowe aktywa finansowe</v>
      </c>
      <c r="H109" s="111"/>
      <c r="I109" s="72"/>
      <c r="J109" s="116">
        <f>SUM(J115,J121,J126)</f>
        <v>273165.15999999997</v>
      </c>
      <c r="K109" s="116">
        <f>SUM(K115,K121,K126)</f>
        <v>4646.22</v>
      </c>
      <c r="L109" s="72"/>
      <c r="O109" s="72"/>
      <c r="P109" s="72"/>
      <c r="Q109" s="72"/>
      <c r="R109" s="72"/>
      <c r="T109" s="304"/>
    </row>
    <row r="110" spans="2:28">
      <c r="B110" s="294" t="str">
        <f>dzb</f>
        <v>31.12.2024</v>
      </c>
      <c r="C110" s="108"/>
      <c r="D110" s="66"/>
      <c r="E110" s="66"/>
      <c r="G110" s="72" t="s">
        <v>6591</v>
      </c>
      <c r="H110" s="92" t="str">
        <f>CHOOSE(jezyk,n!A347,n!B347,n!C347,n!D347)</f>
        <v>w jednostkach powiązanych</v>
      </c>
      <c r="I110" s="72"/>
      <c r="J110" s="92"/>
      <c r="K110" s="92"/>
      <c r="L110" s="72"/>
      <c r="N110" s="111"/>
      <c r="T110" s="304"/>
    </row>
    <row r="111" spans="2:28">
      <c r="B111" s="213">
        <f>J130+J63-'nota 1.11-1.15'!G96</f>
        <v>700646.9</v>
      </c>
      <c r="C111" s="213"/>
      <c r="D111" s="66"/>
      <c r="E111" s="66"/>
      <c r="H111" s="111" t="s">
        <v>6547</v>
      </c>
      <c r="I111" s="92" t="str">
        <f>CHOOSE(jezyk,n!A348,n!B348,n!C348,n!D348)</f>
        <v>udziały lub akcje</v>
      </c>
      <c r="J111" s="115">
        <f>IFERROR(VLOOKUP(AB111,#REF!,2,FALSE),0)</f>
        <v>0</v>
      </c>
      <c r="K111" s="115">
        <f>IFERROR(VLOOKUP(AB111,#REF!,2,FALSE),0)</f>
        <v>0</v>
      </c>
      <c r="L111" s="72"/>
      <c r="N111" s="111"/>
      <c r="O111" s="111"/>
      <c r="P111" s="111"/>
      <c r="Q111" s="111"/>
      <c r="R111" s="241"/>
      <c r="T111" s="304"/>
      <c r="AB111" s="272"/>
    </row>
    <row r="112" spans="2:28">
      <c r="D112" s="66"/>
      <c r="E112" s="66"/>
      <c r="H112" s="111" t="s">
        <v>6547</v>
      </c>
      <c r="I112" s="92" t="str">
        <f>CHOOSE(jezyk,n!A349,n!B349,n!C349,n!D349)</f>
        <v>inne papiery wartościowe</v>
      </c>
      <c r="J112" s="115">
        <f>IFERROR(VLOOKUP(AB112,#REF!,2,FALSE),0)</f>
        <v>0</v>
      </c>
      <c r="K112" s="115">
        <f>IFERROR(VLOOKUP(AB112,#REF!,2,FALSE),0)</f>
        <v>0</v>
      </c>
      <c r="N112" s="111"/>
      <c r="O112" s="111"/>
      <c r="P112" s="111"/>
      <c r="Q112" s="111"/>
      <c r="R112" s="241"/>
      <c r="T112" s="304"/>
      <c r="AB112" s="272"/>
    </row>
    <row r="113" spans="4:28">
      <c r="D113" s="66"/>
      <c r="E113" s="66"/>
      <c r="H113" s="111" t="s">
        <v>6547</v>
      </c>
      <c r="I113" s="92" t="str">
        <f>CHOOSE(jezyk,n!A350,n!B350,n!C350,n!D350)</f>
        <v>udzielone pożyczki</v>
      </c>
      <c r="J113" s="115">
        <f>IFERROR(VLOOKUP(AB113,#REF!,2,FALSE),0)</f>
        <v>0</v>
      </c>
      <c r="K113" s="115">
        <f>IFERROR(VLOOKUP(AB113,#REF!,2,FALSE),0)</f>
        <v>0</v>
      </c>
      <c r="N113" s="111"/>
      <c r="O113" s="111"/>
      <c r="P113" s="111"/>
      <c r="Q113" s="111"/>
      <c r="R113" s="241"/>
      <c r="T113" s="304"/>
      <c r="AB113" s="272"/>
    </row>
    <row r="114" spans="4:28" ht="12.75" customHeight="1">
      <c r="D114" s="66"/>
      <c r="E114" s="66"/>
      <c r="H114" s="111" t="s">
        <v>6547</v>
      </c>
      <c r="I114" s="92" t="str">
        <f>CHOOSE(jezyk,n!A351,n!B351,n!C351,n!D351)</f>
        <v>inne krótkoterminowe aktywa finansowe</v>
      </c>
      <c r="J114" s="115">
        <f>IFERROR(VLOOKUP(AB114,#REF!,2,FALSE),0)</f>
        <v>0</v>
      </c>
      <c r="K114" s="115">
        <f>IFERROR(VLOOKUP(AB114,#REF!,2,FALSE),0)</f>
        <v>0</v>
      </c>
      <c r="N114" s="111"/>
      <c r="O114" s="111"/>
      <c r="P114" s="111"/>
      <c r="Q114" s="111"/>
      <c r="R114" s="241"/>
      <c r="T114" s="304"/>
      <c r="AB114" s="272"/>
    </row>
    <row r="115" spans="4:28">
      <c r="D115" s="66"/>
      <c r="E115" s="66"/>
      <c r="I115" s="72"/>
      <c r="J115" s="116">
        <f>SUM(J111:J114)</f>
        <v>0</v>
      </c>
      <c r="K115" s="116">
        <f>SUM(K111:K114)</f>
        <v>0</v>
      </c>
      <c r="N115" s="117"/>
      <c r="O115" s="111"/>
      <c r="P115" s="111"/>
      <c r="Q115" s="111"/>
      <c r="R115" s="241"/>
      <c r="T115" s="304"/>
    </row>
    <row r="116" spans="4:28">
      <c r="D116" s="66"/>
      <c r="E116" s="66"/>
      <c r="G116" s="72" t="s">
        <v>6593</v>
      </c>
      <c r="H116" s="92" t="str">
        <f>CHOOSE(jezyk,n!A352,n!B352,n!C352,n!D352)</f>
        <v>w pozostałych jednostkach</v>
      </c>
      <c r="N116" s="111"/>
      <c r="O116" s="117"/>
      <c r="P116" s="117"/>
      <c r="Q116" s="117"/>
      <c r="R116" s="334"/>
      <c r="T116" s="304"/>
    </row>
    <row r="117" spans="4:28" s="241" customFormat="1">
      <c r="D117" s="66"/>
      <c r="E117" s="66"/>
      <c r="F117" s="72"/>
      <c r="G117" s="72"/>
      <c r="H117" s="111" t="s">
        <v>6547</v>
      </c>
      <c r="I117" s="92" t="str">
        <f>CHOOSE(jezyk,n!A348,n!B348,n!C348,n!D348)</f>
        <v>udziały lub akcje</v>
      </c>
      <c r="J117" s="307">
        <f>IFERROR(VLOOKUP(AB117,#REF!,2,FALSE),0)</f>
        <v>0</v>
      </c>
      <c r="K117" s="307">
        <f>IFERROR(VLOOKUP(AB117,#REF!,2,FALSE),0)</f>
        <v>0</v>
      </c>
      <c r="L117" s="66"/>
      <c r="M117" s="66"/>
      <c r="N117" s="111"/>
      <c r="O117" s="111"/>
      <c r="P117" s="111"/>
      <c r="Q117" s="111"/>
      <c r="S117" s="38"/>
      <c r="T117" s="304"/>
      <c r="U117" s="66"/>
      <c r="AB117" s="272"/>
    </row>
    <row r="118" spans="4:28">
      <c r="D118" s="66"/>
      <c r="E118" s="66"/>
      <c r="H118" s="72" t="s">
        <v>6547</v>
      </c>
      <c r="I118" s="92" t="str">
        <f>CHOOSE(jezyk,n!A349,n!B349,n!C349,n!D349)</f>
        <v>inne papiery wartościowe</v>
      </c>
      <c r="J118" s="307">
        <f>IFERROR(VLOOKUP(AB118,#REF!,2,FALSE),0)</f>
        <v>0</v>
      </c>
      <c r="K118" s="307">
        <f>IFERROR(VLOOKUP(AB118,#REF!,2,FALSE),0)</f>
        <v>0</v>
      </c>
      <c r="N118" s="111"/>
      <c r="O118" s="111"/>
      <c r="P118" s="111"/>
      <c r="Q118" s="111"/>
      <c r="R118" s="241"/>
      <c r="T118" s="304"/>
      <c r="U118" s="241"/>
      <c r="AB118" s="272"/>
    </row>
    <row r="119" spans="4:28">
      <c r="D119" s="66"/>
      <c r="E119" s="66"/>
      <c r="H119" s="72" t="s">
        <v>6547</v>
      </c>
      <c r="I119" s="92" t="str">
        <f>CHOOSE(jezyk,n!A350,n!B350,n!C350,n!D350)</f>
        <v>udzielone pożyczki</v>
      </c>
      <c r="J119" s="307">
        <f>IFERROR(VLOOKUP(AB119,#REF!,2,FALSE),0)</f>
        <v>0</v>
      </c>
      <c r="K119" s="307">
        <f>IFERROR(VLOOKUP(AB119,#REF!,2,FALSE),0)</f>
        <v>0</v>
      </c>
      <c r="N119" s="111"/>
      <c r="O119" s="111"/>
      <c r="P119" s="111"/>
      <c r="Q119" s="111"/>
      <c r="R119" s="241"/>
      <c r="T119" s="304"/>
      <c r="AB119" s="272"/>
    </row>
    <row r="120" spans="4:28">
      <c r="D120" s="66"/>
      <c r="E120" s="66"/>
      <c r="F120" s="72" t="s">
        <v>4368</v>
      </c>
      <c r="H120" s="111" t="s">
        <v>6547</v>
      </c>
      <c r="I120" s="92" t="str">
        <f>CHOOSE(jezyk,n!A351,n!B351,n!C351,n!D351)</f>
        <v>inne krótkoterminowe aktywa finansowe</v>
      </c>
      <c r="J120" s="307">
        <f>IFERROR(VLOOKUP(AB120,#REF!,2,FALSE),0)</f>
        <v>0</v>
      </c>
      <c r="K120" s="307">
        <f>IFERROR(VLOOKUP(AB120,#REF!,2,FALSE),0)</f>
        <v>0</v>
      </c>
      <c r="N120" s="111"/>
      <c r="O120" s="111"/>
      <c r="P120" s="111"/>
      <c r="Q120" s="111"/>
      <c r="R120" s="241"/>
      <c r="T120" s="92"/>
      <c r="AB120" s="272"/>
    </row>
    <row r="121" spans="4:28">
      <c r="D121" s="66"/>
      <c r="E121" s="66"/>
      <c r="H121" s="66"/>
      <c r="I121" s="92"/>
      <c r="J121" s="116">
        <f>SUM(J117:J120)</f>
        <v>0</v>
      </c>
      <c r="K121" s="116">
        <f>SUM(K117:K120)</f>
        <v>0</v>
      </c>
      <c r="M121" s="38"/>
      <c r="N121" s="111"/>
      <c r="O121" s="111"/>
      <c r="P121" s="111"/>
      <c r="Q121" s="111"/>
      <c r="R121" s="241"/>
      <c r="T121" s="92"/>
    </row>
    <row r="122" spans="4:28">
      <c r="D122" s="66"/>
      <c r="E122" s="66"/>
      <c r="G122" s="72" t="s">
        <v>6594</v>
      </c>
      <c r="H122" s="92" t="str">
        <f>CHOOSE(jezyk,n!A353,n!B353,n!C353,n!D353)</f>
        <v>środki pieniężne i inne aktywa pieniężne</v>
      </c>
      <c r="J122" s="92"/>
      <c r="K122" s="92"/>
      <c r="M122" s="38"/>
      <c r="N122" s="111"/>
      <c r="O122" s="111"/>
      <c r="P122" s="111"/>
      <c r="Q122" s="111"/>
      <c r="R122" s="241"/>
      <c r="T122" s="92"/>
    </row>
    <row r="123" spans="4:28">
      <c r="D123" s="66"/>
      <c r="E123" s="66"/>
      <c r="G123" s="92"/>
      <c r="H123" s="111" t="s">
        <v>6547</v>
      </c>
      <c r="I123" s="92" t="str">
        <f>CHOOSE(jezyk,n!A354,n!B354,n!C354,n!D354)</f>
        <v>środki pieniężne w kasie i na rachunkach</v>
      </c>
      <c r="J123" s="115">
        <v>273165.15999999997</v>
      </c>
      <c r="K123" s="115">
        <v>4646.22</v>
      </c>
      <c r="M123" s="180"/>
      <c r="N123" s="111"/>
      <c r="O123" s="111"/>
      <c r="P123" s="111"/>
      <c r="Q123" s="111"/>
      <c r="R123" s="241"/>
      <c r="T123" s="304"/>
      <c r="AB123" s="272"/>
    </row>
    <row r="124" spans="4:28">
      <c r="D124" s="66"/>
      <c r="E124" s="66"/>
      <c r="G124" s="66"/>
      <c r="H124" s="111" t="s">
        <v>6547</v>
      </c>
      <c r="I124" s="92" t="str">
        <f>CHOOSE(jezyk,n!A355,n!B355,n!C355,n!D355)</f>
        <v>inne środki pieniężne</v>
      </c>
      <c r="J124" s="115">
        <f>IFERROR(VLOOKUP(AB124,#REF!,2,FALSE),0)</f>
        <v>0</v>
      </c>
      <c r="K124" s="115">
        <f>IFERROR(VLOOKUP(AB124,#REF!,2,FALSE),0)</f>
        <v>0</v>
      </c>
      <c r="N124" s="180"/>
      <c r="O124" s="38"/>
      <c r="P124" s="38"/>
      <c r="Q124" s="38"/>
      <c r="T124" s="92"/>
      <c r="AB124" s="272"/>
    </row>
    <row r="125" spans="4:28">
      <c r="D125" s="66"/>
      <c r="E125" s="66"/>
      <c r="G125" s="92"/>
      <c r="H125" s="111" t="s">
        <v>6547</v>
      </c>
      <c r="I125" s="92" t="str">
        <f>CHOOSE(jezyk,n!A356,n!B356,n!C356,n!D356)</f>
        <v>inne aktywa pieniężne</v>
      </c>
      <c r="J125" s="115">
        <f>IFERROR(VLOOKUP(AB125,#REF!,2,FALSE),0)</f>
        <v>0</v>
      </c>
      <c r="K125" s="115">
        <f>IFERROR(VLOOKUP(AB125,#REF!,2,FALSE),0)</f>
        <v>0</v>
      </c>
      <c r="AB125" s="272"/>
    </row>
    <row r="126" spans="4:28">
      <c r="D126" s="66"/>
      <c r="E126" s="66"/>
      <c r="H126" s="111"/>
      <c r="I126" s="92"/>
      <c r="J126" s="116">
        <f>SUM(J123:J125)</f>
        <v>273165.15999999997</v>
      </c>
      <c r="K126" s="116">
        <f>SUM(K123:K125)</f>
        <v>4646.22</v>
      </c>
    </row>
    <row r="127" spans="4:28">
      <c r="D127" s="66"/>
      <c r="E127" s="66"/>
      <c r="H127" s="111"/>
      <c r="I127" s="92"/>
      <c r="J127" s="92"/>
      <c r="K127" s="92"/>
      <c r="M127" s="241"/>
    </row>
    <row r="128" spans="4:28">
      <c r="D128" s="66"/>
      <c r="E128" s="66"/>
      <c r="F128" s="72" t="s">
        <v>6540</v>
      </c>
      <c r="G128" s="92" t="str">
        <f>CHOOSE(jezyk,n!A357,n!B357,n!C357,n!D357)</f>
        <v>Inne inwestycje krótkoterminowe</v>
      </c>
      <c r="H128" s="111"/>
      <c r="I128" s="92"/>
      <c r="J128" s="115">
        <f>IFERROR(VLOOKUP(AB128,#REF!,2,FALSE),0)</f>
        <v>0</v>
      </c>
      <c r="K128" s="115">
        <f>IFERROR(VLOOKUP(AB128,#REF!,2,FALSE),0)</f>
        <v>0</v>
      </c>
      <c r="M128" s="38"/>
      <c r="N128" s="241"/>
      <c r="O128" s="241"/>
      <c r="P128" s="241"/>
      <c r="Q128" s="241"/>
      <c r="R128" s="241"/>
      <c r="S128" s="241"/>
      <c r="T128" s="241"/>
      <c r="AB128" s="272"/>
    </row>
    <row r="129" spans="4:34">
      <c r="D129" s="66"/>
      <c r="E129" s="66"/>
      <c r="G129" s="92"/>
      <c r="H129" s="111"/>
      <c r="I129" s="92"/>
      <c r="M129" s="38"/>
      <c r="N129" s="38"/>
      <c r="O129" s="38"/>
      <c r="P129" s="38"/>
      <c r="Q129" s="38"/>
    </row>
    <row r="130" spans="4:34" s="241" customFormat="1" ht="15">
      <c r="E130" s="241" t="s">
        <v>6588</v>
      </c>
      <c r="F130" s="118" t="str">
        <f>CHOOSE(jezyk,n!A358,n!B358,n!C358,n!D354)</f>
        <v>Krótkoterminowe rozliczenia międzyokresowe</v>
      </c>
      <c r="G130" s="111"/>
      <c r="H130" s="111"/>
      <c r="J130" s="113">
        <v>619496.9</v>
      </c>
      <c r="K130" s="113">
        <f>IFERROR(VLOOKUP(AB130,#REF!,2,FALSE),0)</f>
        <v>0</v>
      </c>
      <c r="M130" s="180"/>
      <c r="N130" s="180"/>
      <c r="O130" s="180"/>
      <c r="P130" s="180"/>
      <c r="Q130" s="180"/>
      <c r="S130" s="180"/>
      <c r="T130" s="180"/>
      <c r="AB130" s="316"/>
    </row>
    <row r="131" spans="4:34">
      <c r="F131" s="118"/>
      <c r="G131" s="111"/>
      <c r="H131" s="111"/>
      <c r="I131" s="241"/>
      <c r="J131" s="180"/>
      <c r="K131" s="180"/>
      <c r="M131" s="38"/>
      <c r="N131" s="38"/>
      <c r="O131" s="180"/>
      <c r="P131" s="180"/>
      <c r="Q131" s="180"/>
    </row>
    <row r="132" spans="4:34">
      <c r="D132" s="241" t="s">
        <v>6602</v>
      </c>
      <c r="E132" s="118" t="str">
        <f>CHOOSE(jezyk,n!A363,n!B363,n!C363,n!D363)</f>
        <v xml:space="preserve">Należne wpłaty na kapitał (fundusz) podstawowy </v>
      </c>
      <c r="F132" s="241"/>
      <c r="G132" s="241"/>
      <c r="H132" s="241"/>
      <c r="I132" s="241"/>
      <c r="J132" s="317">
        <f>IFERROR(VLOOKUP(AB132,#REF!,2,FALSE),0)</f>
        <v>0</v>
      </c>
      <c r="K132" s="317">
        <f>IFERROR(VLOOKUP(AB132,#REF!,2,FALSE),0)</f>
        <v>0</v>
      </c>
      <c r="U132" s="66" t="s">
        <v>4368</v>
      </c>
      <c r="V132" s="66" t="s">
        <v>4368</v>
      </c>
      <c r="W132" s="66" t="s">
        <v>4368</v>
      </c>
      <c r="AB132" s="301"/>
      <c r="AC132" s="66" t="s">
        <v>4368</v>
      </c>
      <c r="AD132" s="66" t="s">
        <v>4368</v>
      </c>
      <c r="AE132" s="66" t="s">
        <v>4368</v>
      </c>
      <c r="AF132" s="66" t="s">
        <v>4368</v>
      </c>
      <c r="AG132" s="66" t="s">
        <v>4368</v>
      </c>
      <c r="AH132" s="66" t="s">
        <v>4368</v>
      </c>
    </row>
    <row r="133" spans="4:34">
      <c r="F133" s="118"/>
      <c r="G133" s="111"/>
      <c r="H133" s="111"/>
      <c r="I133" s="241"/>
      <c r="J133" s="180"/>
      <c r="K133" s="180"/>
    </row>
    <row r="134" spans="4:34">
      <c r="D134" s="241" t="s">
        <v>6603</v>
      </c>
      <c r="E134" s="118" t="str">
        <f>CHOOSE(jezyk,n!A364,n!B364,n!C364,n!D364)</f>
        <v xml:space="preserve">Udziały (akcje) własne </v>
      </c>
      <c r="F134" s="241"/>
      <c r="G134" s="241"/>
      <c r="H134" s="241"/>
      <c r="I134" s="241"/>
      <c r="J134" s="317">
        <f>IFERROR(VLOOKUP(AB134,#REF!,2,FALSE),0)</f>
        <v>0</v>
      </c>
      <c r="K134" s="317">
        <f>IFERROR(VLOOKUP(AB134,#REF!,2,FALSE),0)</f>
        <v>0</v>
      </c>
      <c r="AB134" s="272"/>
    </row>
    <row r="135" spans="4:34">
      <c r="D135" s="318"/>
      <c r="E135" s="318"/>
      <c r="F135" s="319"/>
      <c r="G135" s="125"/>
      <c r="H135" s="125"/>
      <c r="I135" s="241"/>
      <c r="J135" s="180"/>
      <c r="K135" s="180"/>
      <c r="AB135" s="272"/>
    </row>
    <row r="136" spans="4:34">
      <c r="D136" s="72"/>
      <c r="E136" s="72"/>
      <c r="I136" s="243"/>
      <c r="J136" s="244"/>
      <c r="K136" s="244"/>
      <c r="L136" s="243"/>
      <c r="M136" s="244"/>
      <c r="N136" s="244"/>
      <c r="O136" s="244"/>
      <c r="P136" s="244"/>
      <c r="Q136" s="244"/>
      <c r="R136" s="243"/>
      <c r="S136" s="244"/>
      <c r="T136" s="244"/>
    </row>
    <row r="137" spans="4:34">
      <c r="D137" s="111" t="str">
        <f>CHOOSE(jezyk,n!A359,n!B359,n!C359,n!D359)</f>
        <v>Aktywa razem</v>
      </c>
      <c r="E137" s="111"/>
      <c r="F137" s="111"/>
      <c r="G137" s="111"/>
      <c r="H137" s="111"/>
      <c r="I137" s="241"/>
      <c r="J137" s="112">
        <f>SUM(J9,J69,J132,J134)</f>
        <v>3858555.1599999997</v>
      </c>
      <c r="K137" s="112">
        <f>SUM(K9,K69,K132,K134)</f>
        <v>4686.62</v>
      </c>
      <c r="L137" s="241"/>
      <c r="M137" s="747" t="str">
        <f>CHOOSE(jezyk,n!A411,n!B411,n!C411,n!D411)</f>
        <v>Pasywa razem</v>
      </c>
      <c r="N137" s="747"/>
      <c r="O137" s="747"/>
      <c r="P137" s="747"/>
      <c r="Q137" s="747"/>
      <c r="R137" s="747"/>
      <c r="S137" s="112">
        <f>SUM(S9,S26)</f>
        <v>3858241.7800000007</v>
      </c>
      <c r="T137" s="112">
        <f>SUM(T9,T26)</f>
        <v>4686.6201000000001</v>
      </c>
    </row>
    <row r="138" spans="4:34" ht="13.5" thickBot="1">
      <c r="D138" s="1192"/>
      <c r="E138" s="1192"/>
      <c r="F138" s="1192"/>
      <c r="G138" s="1192"/>
      <c r="H138" s="1192"/>
      <c r="I138" s="1192"/>
      <c r="J138" s="1193"/>
      <c r="K138" s="1193"/>
      <c r="L138" s="1192"/>
      <c r="M138" s="1193"/>
      <c r="N138" s="1193"/>
      <c r="O138" s="1193"/>
      <c r="P138" s="1193"/>
      <c r="Q138" s="1193"/>
      <c r="R138" s="1192"/>
      <c r="S138" s="1193"/>
      <c r="T138" s="1193"/>
    </row>
    <row r="139" spans="4:34">
      <c r="D139" s="66"/>
      <c r="E139" s="66"/>
      <c r="F139" s="66"/>
      <c r="G139" s="66"/>
      <c r="H139" s="66"/>
      <c r="M139" s="38"/>
      <c r="N139" s="38"/>
      <c r="O139" s="38"/>
      <c r="P139" s="38"/>
      <c r="Q139" s="38"/>
    </row>
    <row r="140" spans="4:34" ht="17.100000000000001" customHeight="1">
      <c r="D140" s="66" t="str">
        <f>siedziba&amp;", "&amp;GA!D53</f>
        <v>Warszawa, 30.01.2025</v>
      </c>
      <c r="E140" s="66"/>
      <c r="F140" s="66"/>
      <c r="G140" s="66"/>
      <c r="H140" s="66"/>
      <c r="J140" s="38" t="str">
        <f>CHOOSE(jezyk,n!A412,n!B412,n!C412,n!D412)</f>
        <v>Osoba sporządzająca:</v>
      </c>
      <c r="M140" s="38"/>
      <c r="N140" s="38"/>
      <c r="O140" s="38"/>
      <c r="P140" s="38"/>
      <c r="Q140" s="38"/>
      <c r="R140" s="251" t="str">
        <f>CHOOSE(jezyk,n!A413,n!B413,n!C413,n!D413)</f>
        <v>Zarząd:</v>
      </c>
    </row>
    <row r="141" spans="4:34">
      <c r="M141" s="38"/>
      <c r="N141" s="38"/>
      <c r="O141" s="180"/>
      <c r="P141" s="180"/>
      <c r="Q141" s="180"/>
    </row>
    <row r="142" spans="4:34">
      <c r="D142" s="66"/>
      <c r="E142" s="66"/>
      <c r="F142" s="66"/>
      <c r="G142" s="66"/>
      <c r="H142" s="66"/>
      <c r="M142" s="38"/>
      <c r="N142" s="38"/>
      <c r="O142" s="180"/>
      <c r="P142" s="180"/>
      <c r="Q142" s="180"/>
    </row>
    <row r="143" spans="4:34">
      <c r="D143" s="66"/>
      <c r="E143" s="66"/>
      <c r="F143" s="66"/>
      <c r="G143" s="66"/>
      <c r="H143" s="66"/>
      <c r="M143" s="38"/>
      <c r="N143" s="38"/>
      <c r="O143" s="180"/>
      <c r="P143" s="180"/>
      <c r="Q143" s="180"/>
    </row>
    <row r="144" spans="4:34">
      <c r="I144" s="66" t="str">
        <f>CHOOSE(jezyk,n!A6,n!B6,n!C6,n!D6)</f>
        <v>pola kontrolne</v>
      </c>
      <c r="J144" s="213">
        <f>J137-S137</f>
        <v>313.37999999895692</v>
      </c>
      <c r="K144" s="213">
        <f>K137-T137</f>
        <v>-1.0000000020227162E-4</v>
      </c>
      <c r="M144" s="38"/>
      <c r="N144" s="38"/>
      <c r="O144" s="180"/>
      <c r="P144" s="180"/>
      <c r="Q144" s="180"/>
      <c r="R144" s="66" t="str">
        <f>I144</f>
        <v>pola kontrolne</v>
      </c>
      <c r="S144" s="213">
        <f>S137-J137</f>
        <v>-313.37999999895692</v>
      </c>
      <c r="T144" s="213">
        <f>T137-K137</f>
        <v>1.0000000020227162E-4</v>
      </c>
    </row>
    <row r="146" spans="4:10">
      <c r="J146" s="320"/>
    </row>
    <row r="147" spans="4:10">
      <c r="D147" s="66"/>
      <c r="E147" s="66"/>
      <c r="F147" s="66"/>
      <c r="G147" s="66"/>
      <c r="H147" s="66"/>
    </row>
    <row r="148" spans="4:10">
      <c r="D148" s="66"/>
      <c r="E148" s="66"/>
      <c r="F148" s="66"/>
      <c r="G148" s="66"/>
      <c r="H148" s="66"/>
    </row>
    <row r="149" spans="4:10">
      <c r="D149" s="66"/>
      <c r="E149" s="66"/>
      <c r="F149" s="66"/>
      <c r="G149" s="66"/>
      <c r="H149" s="66"/>
    </row>
    <row r="150" spans="4:10">
      <c r="D150" s="66"/>
      <c r="E150" s="66"/>
      <c r="F150" s="66"/>
      <c r="G150" s="66"/>
      <c r="H150" s="66"/>
    </row>
    <row r="151" spans="4:10">
      <c r="D151" s="72"/>
      <c r="E151" s="72"/>
    </row>
  </sheetData>
  <mergeCells count="15">
    <mergeCell ref="O21:R22"/>
    <mergeCell ref="H22:I22"/>
    <mergeCell ref="B1:V1"/>
    <mergeCell ref="D2:T2"/>
    <mergeCell ref="D3:T3"/>
    <mergeCell ref="D4:T4"/>
    <mergeCell ref="Q13:R13"/>
    <mergeCell ref="Q84:R85"/>
    <mergeCell ref="G89:I89"/>
    <mergeCell ref="H103:I103"/>
    <mergeCell ref="M137:R137"/>
    <mergeCell ref="G34:I34"/>
    <mergeCell ref="P44:R45"/>
    <mergeCell ref="H48:I48"/>
    <mergeCell ref="P65:R66"/>
  </mergeCells>
  <hyperlinks>
    <hyperlink ref="B1:V1" location="'spis treści'!A1" display="SPIS TREŚCI" xr:uid="{00000000-0004-0000-1100-000000000000}"/>
  </hyperlinks>
  <printOptions horizontalCentered="1" verticalCentered="1"/>
  <pageMargins left="0.78740157480314965" right="0.78740157480314965" top="0.98425196850393704" bottom="0.98425196850393704" header="0.51181102362204722" footer="0.51181102362204722"/>
  <pageSetup paperSize="8" scale="58" orientation="portrait" blackAndWhite="1" r:id="rId1"/>
  <headerFooter>
    <oddHeader>&amp;R&amp;G&amp;G</oddHead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7">
    <tabColor rgb="FFFFC000"/>
    <pageSetUpPr fitToPage="1"/>
  </sheetPr>
  <dimension ref="A1:H157"/>
  <sheetViews>
    <sheetView showGridLines="0" view="pageBreakPreview" zoomScaleNormal="100" zoomScaleSheetLayoutView="100" workbookViewId="0">
      <selection activeCell="F57" sqref="F57"/>
    </sheetView>
  </sheetViews>
  <sheetFormatPr defaultColWidth="9.85546875" defaultRowHeight="12.75"/>
  <cols>
    <col min="1" max="1" width="3" style="66" customWidth="1"/>
    <col min="2" max="3" width="3.5703125" style="66" customWidth="1"/>
    <col min="4" max="4" width="62.140625" style="66" customWidth="1"/>
    <col min="5" max="6" width="14.5703125" style="38" customWidth="1"/>
    <col min="7" max="7" width="9.85546875" style="66" customWidth="1"/>
    <col min="8" max="8" width="12" style="66" bestFit="1" customWidth="1"/>
    <col min="9" max="16384" width="9.85546875" style="66"/>
  </cols>
  <sheetData>
    <row r="1" spans="1:8">
      <c r="A1" s="749" t="s">
        <v>3202</v>
      </c>
      <c r="B1" s="749"/>
      <c r="C1" s="749"/>
      <c r="D1" s="749"/>
      <c r="E1" s="749"/>
      <c r="F1" s="749"/>
    </row>
    <row r="2" spans="1:8" ht="42" customHeight="1">
      <c r="A2" s="390"/>
      <c r="B2" s="390"/>
      <c r="C2" s="390"/>
      <c r="D2" s="390"/>
      <c r="E2" s="390"/>
      <c r="F2" s="390"/>
    </row>
    <row r="3" spans="1:8">
      <c r="A3" s="753" t="str">
        <f>nazwa_spolki&amp;", "&amp;siedziba</f>
        <v>Rhenus Digital Workforce Sp. z o.o., Warszawa</v>
      </c>
      <c r="B3" s="753"/>
      <c r="C3" s="753"/>
      <c r="D3" s="753"/>
      <c r="E3" s="753"/>
      <c r="F3" s="753"/>
    </row>
    <row r="4" spans="1:8">
      <c r="A4" s="753" t="str">
        <f>CHOOSE(jezyk,n!A417,n!B417,n!C417,n!D417)</f>
        <v>Rachunek zysków i strat</v>
      </c>
      <c r="B4" s="753"/>
      <c r="C4" s="753"/>
      <c r="D4" s="753"/>
      <c r="E4" s="753"/>
      <c r="F4" s="753"/>
    </row>
    <row r="5" spans="1:8">
      <c r="A5" s="753" t="str">
        <f>CHOOSE(jezyk,n!A418,n!B418,n!C418,n!D418)</f>
        <v>za rok obrotowy od 01.01.2024 do 31.12.2024</v>
      </c>
      <c r="B5" s="753"/>
      <c r="C5" s="753"/>
      <c r="D5" s="753"/>
      <c r="E5" s="753"/>
      <c r="F5" s="753"/>
    </row>
    <row r="6" spans="1:8">
      <c r="A6" s="753" t="str">
        <f>CHOOSE(jezyk,n!A419,n!B419,n!C419,n!D419)</f>
        <v>(wariant porównawczy)</v>
      </c>
      <c r="B6" s="753"/>
      <c r="C6" s="753"/>
      <c r="D6" s="753"/>
      <c r="E6" s="753"/>
      <c r="F6" s="753"/>
    </row>
    <row r="7" spans="1:8">
      <c r="A7" s="321"/>
      <c r="B7" s="322"/>
      <c r="C7" s="322"/>
      <c r="D7" s="322"/>
      <c r="E7" s="323"/>
      <c r="F7" s="323"/>
    </row>
    <row r="8" spans="1:8" ht="12.95" customHeight="1">
      <c r="B8" s="324"/>
      <c r="C8" s="324"/>
      <c r="D8" s="324"/>
      <c r="F8" s="292" t="str">
        <f>IF(GA!D51="nie","",CHOOSE(jezyk,n!A289,n!B289,n!C289,n!D289))</f>
        <v/>
      </c>
    </row>
    <row r="9" spans="1:8">
      <c r="B9" s="324"/>
      <c r="C9" s="324"/>
      <c r="D9" s="324"/>
      <c r="E9" s="108" t="str">
        <f>CHOOSE(jezyk,n!A287,n!B287,n!C287,n!D287)</f>
        <v>Rok bieżący</v>
      </c>
      <c r="F9" s="108" t="str">
        <f>IF(GA!D51="nie",CHOOSE(jezyk,n!A288,n!B288,n!C288,n!D288),CHOOSE(jezyk,n!A290,n!B290,n!C290,n!D290))</f>
        <v>Rok poprzedni</v>
      </c>
    </row>
    <row r="10" spans="1:8">
      <c r="A10" s="152"/>
      <c r="B10" s="325"/>
      <c r="C10" s="325"/>
      <c r="D10" s="325"/>
      <c r="E10" s="326" t="s">
        <v>6583</v>
      </c>
      <c r="F10" s="326" t="s">
        <v>6583</v>
      </c>
    </row>
    <row r="11" spans="1:8">
      <c r="B11" s="324"/>
      <c r="C11" s="324"/>
      <c r="D11" s="324"/>
      <c r="E11" s="327"/>
      <c r="F11" s="327"/>
    </row>
    <row r="12" spans="1:8" s="241" customFormat="1">
      <c r="A12" s="111" t="s">
        <v>6584</v>
      </c>
      <c r="B12" s="118" t="str">
        <f>CHOOSE(jezyk,n!A420,n!B420,n!C420,n!D420)</f>
        <v>Przychody netto ze sprzedaży i zrównane z nimi, w tym:</v>
      </c>
      <c r="C12" s="118"/>
      <c r="E12" s="112">
        <f>SUM(E15:E18)</f>
        <v>7234361.1900000004</v>
      </c>
      <c r="F12" s="112">
        <f>SUM(F15:F18)</f>
        <v>0</v>
      </c>
      <c r="H12" s="66"/>
    </row>
    <row r="13" spans="1:8" s="241" customFormat="1">
      <c r="A13" s="111"/>
      <c r="B13" s="118"/>
      <c r="C13" s="118"/>
      <c r="E13" s="327"/>
      <c r="F13" s="327"/>
      <c r="H13" s="66"/>
    </row>
    <row r="14" spans="1:8" s="241" customFormat="1">
      <c r="A14" s="111"/>
      <c r="C14" s="92" t="s">
        <v>6547</v>
      </c>
      <c r="D14" s="38" t="str">
        <f>CHOOSE(jezyk,n!A421,n!B421,n!C421,n!D421)</f>
        <v>od jednostek powiązanych</v>
      </c>
      <c r="E14" s="704">
        <v>0</v>
      </c>
      <c r="F14" s="328">
        <v>0</v>
      </c>
      <c r="H14" s="66"/>
    </row>
    <row r="15" spans="1:8">
      <c r="B15" s="72" t="s">
        <v>6585</v>
      </c>
      <c r="C15" s="92" t="str">
        <f>CHOOSE(jezyk,n!A422,n!B422,n!C422,n!D422)</f>
        <v>Przychody netto ze sprzedaży produktów</v>
      </c>
      <c r="E15" s="703">
        <v>7234361.1900000004</v>
      </c>
      <c r="F15" s="329">
        <v>0</v>
      </c>
    </row>
    <row r="16" spans="1:8">
      <c r="B16" s="72" t="s">
        <v>6586</v>
      </c>
      <c r="C16" s="92" t="str">
        <f>CHOOSE(jezyk,n!A423,n!B423,n!C423,n!D423)</f>
        <v>Zmiana stanu produktów</v>
      </c>
      <c r="E16" s="703">
        <v>0</v>
      </c>
      <c r="F16" s="329">
        <v>0</v>
      </c>
    </row>
    <row r="17" spans="1:8">
      <c r="B17" s="72" t="s">
        <v>6587</v>
      </c>
      <c r="C17" s="92" t="str">
        <f>CHOOSE(jezyk,n!A424,n!B424,n!C424,n!D424)</f>
        <v>Koszt wytworzenia produktów na własne potrzeby jednostki</v>
      </c>
      <c r="E17" s="703">
        <v>0</v>
      </c>
      <c r="F17" s="329">
        <v>0</v>
      </c>
    </row>
    <row r="18" spans="1:8">
      <c r="B18" s="72" t="s">
        <v>6588</v>
      </c>
      <c r="C18" s="92" t="str">
        <f>CHOOSE(jezyk,n!A425,n!B425,n!C425,n!D425)</f>
        <v>Przychody netto ze sprzedaży towarów</v>
      </c>
      <c r="E18" s="703">
        <v>0</v>
      </c>
      <c r="F18" s="329">
        <v>0</v>
      </c>
    </row>
    <row r="19" spans="1:8">
      <c r="B19" s="72" t="s">
        <v>4368</v>
      </c>
      <c r="C19" s="72"/>
      <c r="D19" s="72"/>
      <c r="E19" s="327"/>
      <c r="F19" s="92"/>
    </row>
    <row r="20" spans="1:8" s="241" customFormat="1">
      <c r="A20" s="111" t="s">
        <v>6597</v>
      </c>
      <c r="B20" s="118" t="str">
        <f>CHOOSE(jezyk,n!A426,n!B426,n!C426,n!D426)</f>
        <v>Koszty działalności operacyjnej</v>
      </c>
      <c r="C20" s="118"/>
      <c r="E20" s="112">
        <f>SUM(E22:E25,E27:E28,E30:E31)</f>
        <v>6732516.3099999996</v>
      </c>
      <c r="F20" s="112">
        <f>SUM(F22:F25,F27:F28,F30:F31)</f>
        <v>395.48</v>
      </c>
      <c r="H20" s="66"/>
    </row>
    <row r="21" spans="1:8" s="241" customFormat="1">
      <c r="A21" s="111"/>
      <c r="B21" s="118"/>
      <c r="C21" s="118"/>
      <c r="E21" s="327"/>
      <c r="F21" s="92"/>
      <c r="H21" s="66"/>
    </row>
    <row r="22" spans="1:8">
      <c r="B22" s="72" t="s">
        <v>6585</v>
      </c>
      <c r="C22" s="92" t="str">
        <f>CHOOSE(jezyk,n!A427,n!B427,n!C427,n!D427)</f>
        <v>Amortyzacja</v>
      </c>
      <c r="E22" s="703">
        <v>107432.19</v>
      </c>
      <c r="F22" s="300">
        <v>0</v>
      </c>
    </row>
    <row r="23" spans="1:8">
      <c r="B23" s="72" t="s">
        <v>6586</v>
      </c>
      <c r="C23" s="92" t="str">
        <f>CHOOSE(jezyk,n!A428,n!B428,n!C428,n!D428)</f>
        <v>Zużycie materiałów i energii</v>
      </c>
      <c r="E23" s="703">
        <v>98854.71</v>
      </c>
      <c r="F23" s="300">
        <v>0</v>
      </c>
    </row>
    <row r="24" spans="1:8">
      <c r="B24" s="72" t="s">
        <v>6587</v>
      </c>
      <c r="C24" s="92" t="str">
        <f>CHOOSE(jezyk,n!A429,n!B429,n!C429,n!D429)</f>
        <v>Usługi obce</v>
      </c>
      <c r="E24" s="703">
        <v>3644205.47</v>
      </c>
      <c r="F24" s="300">
        <v>395.48</v>
      </c>
    </row>
    <row r="25" spans="1:8">
      <c r="B25" s="72" t="s">
        <v>6588</v>
      </c>
      <c r="C25" s="92" t="str">
        <f>CHOOSE(jezyk,n!A430,n!B430,n!C430,n!D430)</f>
        <v>Podatki i opłaty, w tym:</v>
      </c>
      <c r="E25" s="703">
        <v>21938.560000000001</v>
      </c>
      <c r="F25" s="300">
        <v>0</v>
      </c>
    </row>
    <row r="26" spans="1:8">
      <c r="C26" s="66" t="s">
        <v>6547</v>
      </c>
      <c r="D26" s="92" t="str">
        <f>CHOOSE(jezyk,n!A431,n!B431,n!C431,n!D431)</f>
        <v>podatek akcyzowy</v>
      </c>
      <c r="E26" s="704">
        <v>0</v>
      </c>
      <c r="F26" s="678">
        <v>0</v>
      </c>
    </row>
    <row r="27" spans="1:8">
      <c r="B27" s="72" t="s">
        <v>6589</v>
      </c>
      <c r="C27" s="92" t="str">
        <f>CHOOSE(jezyk,n!A432,n!B432,n!C432,n!D432)</f>
        <v>Wynagrodzenia</v>
      </c>
      <c r="E27" s="703">
        <v>2495139.66</v>
      </c>
      <c r="F27" s="300">
        <v>0</v>
      </c>
    </row>
    <row r="28" spans="1:8">
      <c r="B28" s="72" t="s">
        <v>6590</v>
      </c>
      <c r="C28" s="92" t="str">
        <f>CHOOSE(jezyk,n!A433,n!B433,n!C433,n!D433)</f>
        <v>Ubezpieczenia społeczne i inne świadczenia, w tym:</v>
      </c>
      <c r="E28" s="703">
        <v>339009.6</v>
      </c>
      <c r="F28" s="300">
        <v>0</v>
      </c>
    </row>
    <row r="29" spans="1:8">
      <c r="B29" s="72"/>
      <c r="C29" s="66" t="s">
        <v>6547</v>
      </c>
      <c r="D29" s="92" t="str">
        <f>CHOOSE(jezyk,n!A434,n!B434,n!C434,n!D434)</f>
        <v>emerytalne</v>
      </c>
      <c r="E29" s="704">
        <v>0</v>
      </c>
      <c r="F29" s="678">
        <v>0</v>
      </c>
    </row>
    <row r="30" spans="1:8">
      <c r="B30" s="72" t="s">
        <v>6592</v>
      </c>
      <c r="C30" s="92" t="str">
        <f>CHOOSE(jezyk,n!A435,n!B435,n!C435,n!D435)</f>
        <v>Pozostałe koszty rodzajowe</v>
      </c>
      <c r="E30" s="703">
        <v>25936.12</v>
      </c>
      <c r="F30" s="300">
        <v>0</v>
      </c>
    </row>
    <row r="31" spans="1:8">
      <c r="B31" s="72" t="s">
        <v>6604</v>
      </c>
      <c r="C31" s="92" t="str">
        <f>CHOOSE(jezyk,n!A436,n!B436,n!C436,n!D436)</f>
        <v>Wartość sprzedanych towarów</v>
      </c>
      <c r="E31" s="703">
        <v>0</v>
      </c>
      <c r="F31" s="300">
        <v>0</v>
      </c>
    </row>
    <row r="32" spans="1:8">
      <c r="B32" s="72"/>
      <c r="C32" s="72"/>
      <c r="D32" s="72"/>
      <c r="E32" s="92"/>
      <c r="F32" s="92"/>
    </row>
    <row r="33" spans="1:8" s="241" customFormat="1">
      <c r="A33" s="111" t="s">
        <v>6602</v>
      </c>
      <c r="B33" s="118" t="str">
        <f>CHOOSE(jezyk,n!A437,n!B437,n!C437,n!D437)</f>
        <v>Zysk (strata) ze sprzedaży</v>
      </c>
      <c r="C33" s="111"/>
      <c r="E33" s="330">
        <f>E12-E20</f>
        <v>501844.88000000082</v>
      </c>
      <c r="F33" s="330">
        <f>F12-F20</f>
        <v>-395.48</v>
      </c>
    </row>
    <row r="34" spans="1:8">
      <c r="A34" s="72"/>
      <c r="B34" s="72" t="s">
        <v>4368</v>
      </c>
      <c r="C34" s="72"/>
      <c r="E34" s="327"/>
      <c r="F34" s="92"/>
    </row>
    <row r="35" spans="1:8" s="241" customFormat="1">
      <c r="A35" s="111" t="s">
        <v>6603</v>
      </c>
      <c r="B35" s="118" t="str">
        <f>CHOOSE(jezyk,n!A438,n!B438,n!C438,n!D438)</f>
        <v>Pozostałe przychody operacyjne</v>
      </c>
      <c r="C35" s="111"/>
      <c r="E35" s="112">
        <f>SUM(E37:E40)</f>
        <v>1245.1500000000001</v>
      </c>
      <c r="F35" s="112">
        <f>SUM(F37:F40)</f>
        <v>0.04</v>
      </c>
      <c r="H35" s="66"/>
    </row>
    <row r="36" spans="1:8" s="241" customFormat="1">
      <c r="A36" s="111"/>
      <c r="B36" s="118"/>
      <c r="C36" s="111"/>
      <c r="E36" s="327"/>
      <c r="F36" s="92"/>
      <c r="H36" s="66"/>
    </row>
    <row r="37" spans="1:8">
      <c r="B37" s="72" t="s">
        <v>6585</v>
      </c>
      <c r="C37" s="92" t="str">
        <f>CHOOSE(jezyk,n!A439,n!B439,n!C439,n!D439)</f>
        <v>Zysk z tytułu rozchodu niefinansowych aktywów trwałych</v>
      </c>
      <c r="D37" s="72"/>
      <c r="E37" s="703">
        <v>0</v>
      </c>
      <c r="F37" s="300">
        <v>0</v>
      </c>
    </row>
    <row r="38" spans="1:8">
      <c r="B38" s="72" t="s">
        <v>6586</v>
      </c>
      <c r="C38" s="92" t="str">
        <f>CHOOSE(jezyk,n!A440,n!B440,n!C440,n!D440)</f>
        <v>Dotacje</v>
      </c>
      <c r="D38" s="72"/>
      <c r="E38" s="703">
        <v>0</v>
      </c>
      <c r="F38" s="300">
        <v>0</v>
      </c>
    </row>
    <row r="39" spans="1:8">
      <c r="B39" s="72" t="s">
        <v>6587</v>
      </c>
      <c r="C39" s="92" t="str">
        <f>CHOOSE(jezyk,n!A441,n!B441,n!C441,n!D441)</f>
        <v>Aktualizacja wartości aktywów niefinansowych</v>
      </c>
      <c r="D39" s="72"/>
      <c r="E39" s="703">
        <v>0</v>
      </c>
      <c r="F39" s="300">
        <v>0</v>
      </c>
    </row>
    <row r="40" spans="1:8">
      <c r="B40" s="72" t="s">
        <v>6588</v>
      </c>
      <c r="C40" s="92" t="str">
        <f>CHOOSE(jezyk,n!A442,n!B442,n!C442,n!D442)</f>
        <v>Inne przychody operacyjne</v>
      </c>
      <c r="D40" s="72"/>
      <c r="E40" s="703">
        <v>1245.1500000000001</v>
      </c>
      <c r="F40" s="300">
        <v>0.04</v>
      </c>
    </row>
    <row r="41" spans="1:8">
      <c r="B41" s="72" t="s">
        <v>4368</v>
      </c>
      <c r="C41" s="72"/>
      <c r="D41" s="72"/>
      <c r="E41" s="66"/>
      <c r="F41" s="66"/>
    </row>
    <row r="42" spans="1:8" s="241" customFormat="1">
      <c r="A42" s="111" t="s">
        <v>6605</v>
      </c>
      <c r="B42" s="118" t="str">
        <f>CHOOSE(jezyk,n!A443,n!B443,n!C443,n!D443)</f>
        <v>Pozostałe koszty operacyjne</v>
      </c>
      <c r="C42" s="111"/>
      <c r="E42" s="112">
        <f>SUM(E44:E46)</f>
        <v>10540.21</v>
      </c>
      <c r="F42" s="112">
        <f>SUM(F44:F46)</f>
        <v>0</v>
      </c>
      <c r="H42" s="66"/>
    </row>
    <row r="43" spans="1:8" s="241" customFormat="1">
      <c r="A43" s="111"/>
      <c r="B43" s="118"/>
      <c r="C43" s="111"/>
      <c r="E43" s="327"/>
      <c r="F43" s="92"/>
      <c r="H43" s="66"/>
    </row>
    <row r="44" spans="1:8">
      <c r="B44" s="72" t="s">
        <v>6585</v>
      </c>
      <c r="C44" s="92" t="str">
        <f>CHOOSE(jezyk,n!A444,n!B444,n!C444,n!D444)</f>
        <v>Strata z tytułu rozchodu niefinansowych aktywów trwałych</v>
      </c>
      <c r="E44" s="703">
        <v>0</v>
      </c>
      <c r="F44" s="300">
        <v>0</v>
      </c>
    </row>
    <row r="45" spans="1:8">
      <c r="B45" s="72" t="s">
        <v>6586</v>
      </c>
      <c r="C45" s="92" t="str">
        <f>CHOOSE(jezyk,n!A445,n!B445,n!C445,n!D445)</f>
        <v>Aktualizacja wartości aktywów niefinansowych</v>
      </c>
      <c r="E45" s="703">
        <v>10540.21</v>
      </c>
      <c r="F45" s="300">
        <v>0</v>
      </c>
    </row>
    <row r="46" spans="1:8">
      <c r="B46" s="72" t="s">
        <v>6587</v>
      </c>
      <c r="C46" s="92" t="str">
        <f>CHOOSE(jezyk,n!A446,n!B446,n!C446,n!D446)</f>
        <v>Inne koszty operacyjne</v>
      </c>
      <c r="D46" s="72"/>
      <c r="E46" s="703">
        <v>0</v>
      </c>
      <c r="F46" s="300">
        <v>0</v>
      </c>
    </row>
    <row r="47" spans="1:8">
      <c r="B47" s="72"/>
      <c r="C47" s="72"/>
      <c r="D47" s="111"/>
      <c r="E47" s="92"/>
      <c r="F47" s="92"/>
    </row>
    <row r="48" spans="1:8" s="241" customFormat="1">
      <c r="A48" s="241" t="s">
        <v>6606</v>
      </c>
      <c r="B48" s="118" t="str">
        <f>CHOOSE(jezyk,n!A447,n!B447,n!C447,n!D447)</f>
        <v>Zysk (strata) z działalności operacyjnej</v>
      </c>
      <c r="C48" s="111"/>
      <c r="D48" s="111"/>
      <c r="E48" s="330">
        <f>E33+E35-E42</f>
        <v>492549.82000000082</v>
      </c>
      <c r="F48" s="330">
        <f>F33+F35-F42</f>
        <v>-395.44</v>
      </c>
    </row>
    <row r="49" spans="1:8">
      <c r="B49" s="72" t="s">
        <v>4368</v>
      </c>
      <c r="C49" s="72"/>
      <c r="D49" s="72"/>
      <c r="E49" s="327"/>
      <c r="F49" s="92"/>
    </row>
    <row r="50" spans="1:8" s="241" customFormat="1">
      <c r="A50" s="111" t="s">
        <v>6607</v>
      </c>
      <c r="B50" s="118" t="str">
        <f>CHOOSE(jezyk,n!A448,n!B448,n!C448,n!D448)</f>
        <v>Przychody finansowe</v>
      </c>
      <c r="C50" s="111"/>
      <c r="E50" s="299">
        <f>SUM(E52,E57,E59,E61,E62)</f>
        <v>22230.04</v>
      </c>
      <c r="F50" s="299">
        <f>SUM(F52,F57,F59,F61,F62)</f>
        <v>82.06</v>
      </c>
      <c r="H50" s="66"/>
    </row>
    <row r="51" spans="1:8" s="241" customFormat="1">
      <c r="A51" s="111"/>
      <c r="B51" s="118"/>
      <c r="C51" s="111"/>
      <c r="E51" s="327"/>
      <c r="F51" s="304"/>
      <c r="H51" s="66"/>
    </row>
    <row r="52" spans="1:8">
      <c r="B52" s="72" t="s">
        <v>6585</v>
      </c>
      <c r="C52" s="92" t="str">
        <f>CHOOSE(jezyk,n!A449,n!B449,n!C449,n!D449)</f>
        <v>Dywidendy i udziały w zyskach, w tym:</v>
      </c>
      <c r="D52" s="72"/>
      <c r="E52" s="309">
        <f>E53+E55</f>
        <v>0</v>
      </c>
      <c r="F52" s="309">
        <f>F53+F55</f>
        <v>0</v>
      </c>
    </row>
    <row r="53" spans="1:8">
      <c r="B53" s="72"/>
      <c r="C53" s="72" t="s">
        <v>6591</v>
      </c>
      <c r="D53" s="92" t="str">
        <f>CHOOSE(jezyk,n!A450,n!B450,n!C450,n!D450)</f>
        <v>od jednostek powiązanych, w tym:</v>
      </c>
      <c r="E53" s="703">
        <v>0</v>
      </c>
      <c r="F53" s="300">
        <v>0</v>
      </c>
    </row>
    <row r="54" spans="1:8">
      <c r="B54" s="72"/>
      <c r="C54" s="72" t="s">
        <v>6547</v>
      </c>
      <c r="D54" s="92" t="str">
        <f>CHOOSE(jezyk,n!A451,n!B451,n!C451,n!D451)</f>
        <v>w których jednostka posiada zaangażowanie w kapitale</v>
      </c>
      <c r="E54" s="704">
        <v>0</v>
      </c>
      <c r="F54" s="678">
        <v>0</v>
      </c>
    </row>
    <row r="55" spans="1:8">
      <c r="B55" s="72"/>
      <c r="C55" s="72" t="s">
        <v>6593</v>
      </c>
      <c r="D55" s="92" t="str">
        <f>CHOOSE(jezyk,n!A452,n!B452,n!C452,n!D452)</f>
        <v>od jednostek pozostałych, w tym:</v>
      </c>
      <c r="E55" s="703">
        <v>0</v>
      </c>
      <c r="F55" s="300">
        <v>0</v>
      </c>
    </row>
    <row r="56" spans="1:8">
      <c r="B56" s="72"/>
      <c r="C56" s="72" t="s">
        <v>6547</v>
      </c>
      <c r="D56" s="92" t="str">
        <f>D54</f>
        <v>w których jednostka posiada zaangażowanie w kapitale</v>
      </c>
      <c r="E56" s="704">
        <v>0</v>
      </c>
      <c r="F56" s="678">
        <v>0</v>
      </c>
    </row>
    <row r="57" spans="1:8">
      <c r="B57" s="72" t="s">
        <v>6586</v>
      </c>
      <c r="C57" s="92" t="str">
        <f>CHOOSE(jezyk,n!A453,n!B453,n!C453,n!D453)</f>
        <v>Odsetki, w tym:</v>
      </c>
      <c r="D57" s="72"/>
      <c r="E57" s="703">
        <v>0</v>
      </c>
      <c r="F57" s="300">
        <v>82.06</v>
      </c>
    </row>
    <row r="58" spans="1:8">
      <c r="B58" s="72"/>
      <c r="C58" s="72" t="s">
        <v>6547</v>
      </c>
      <c r="D58" s="92" t="str">
        <f>CHOOSE(jezyk,n!A478,n!B478,n!C478,n!D478)</f>
        <v>od jednostek powiązanych</v>
      </c>
      <c r="E58" s="704">
        <v>0</v>
      </c>
      <c r="F58" s="678">
        <v>0</v>
      </c>
    </row>
    <row r="59" spans="1:8">
      <c r="B59" s="72" t="s">
        <v>6587</v>
      </c>
      <c r="C59" s="92" t="str">
        <f>CHOOSE(jezyk,n!A454,n!B454,n!C454,n!D454)</f>
        <v>Zysk z tytułu rozchodu aktywów finansowych, w tym:</v>
      </c>
      <c r="D59" s="72"/>
      <c r="E59" s="703">
        <v>0</v>
      </c>
      <c r="F59" s="300">
        <v>0</v>
      </c>
    </row>
    <row r="60" spans="1:8">
      <c r="B60" s="72"/>
      <c r="C60" s="72" t="s">
        <v>6547</v>
      </c>
      <c r="D60" s="92" t="str">
        <f>CHOOSE(jezyk,n!A455,n!B455,n!C455,n!D455)</f>
        <v>w jednostkach powiązanych</v>
      </c>
      <c r="E60" s="704">
        <v>0</v>
      </c>
      <c r="F60" s="678">
        <v>0</v>
      </c>
    </row>
    <row r="61" spans="1:8">
      <c r="B61" s="72" t="s">
        <v>6588</v>
      </c>
      <c r="C61" s="92" t="str">
        <f>CHOOSE(jezyk,n!A456,n!B456,n!C456,n!D456)</f>
        <v>Aktualizacja wartości aktywów finansowych</v>
      </c>
      <c r="D61" s="72"/>
      <c r="E61" s="703">
        <v>0</v>
      </c>
      <c r="F61" s="300">
        <v>0</v>
      </c>
    </row>
    <row r="62" spans="1:8">
      <c r="B62" s="66" t="s">
        <v>6589</v>
      </c>
      <c r="C62" s="92" t="str">
        <f>CHOOSE(jezyk,n!A457,n!B457,n!C457,n!D457)</f>
        <v>Inne</v>
      </c>
      <c r="D62" s="72"/>
      <c r="E62" s="703">
        <v>22230.04</v>
      </c>
      <c r="F62" s="300">
        <v>0</v>
      </c>
    </row>
    <row r="63" spans="1:8">
      <c r="B63" s="111" t="s">
        <v>4368</v>
      </c>
      <c r="C63" s="111"/>
      <c r="D63" s="72"/>
      <c r="E63" s="327"/>
      <c r="F63" s="92"/>
    </row>
    <row r="64" spans="1:8" s="241" customFormat="1">
      <c r="A64" s="111" t="s">
        <v>6608</v>
      </c>
      <c r="B64" s="241" t="str">
        <f>CHOOSE(jezyk,n!A458,n!B458,n!C458,n!D458)</f>
        <v>Koszty finansowe</v>
      </c>
      <c r="C64" s="111"/>
      <c r="E64" s="112">
        <f>SUM(E66,E68,E70,E71)</f>
        <v>56592.49</v>
      </c>
      <c r="F64" s="112">
        <f>SUM(F66,F68,F70,F71)</f>
        <v>0</v>
      </c>
      <c r="H64" s="66"/>
    </row>
    <row r="65" spans="1:8" s="241" customFormat="1">
      <c r="A65" s="111"/>
      <c r="B65" s="118"/>
      <c r="C65" s="111"/>
      <c r="E65" s="327"/>
      <c r="F65" s="92"/>
      <c r="H65" s="66"/>
    </row>
    <row r="66" spans="1:8">
      <c r="B66" s="72" t="s">
        <v>6585</v>
      </c>
      <c r="C66" s="92" t="str">
        <f>CHOOSE(jezyk,n!A459,n!B459,n!C459,n!D459)</f>
        <v>Odsetki, w tym:</v>
      </c>
      <c r="E66" s="703">
        <v>37616.03</v>
      </c>
      <c r="F66" s="300">
        <v>0</v>
      </c>
    </row>
    <row r="67" spans="1:8">
      <c r="C67" s="66" t="s">
        <v>6547</v>
      </c>
      <c r="D67" s="92" t="str">
        <f>CHOOSE(jezyk,n!A460,n!B460,n!C460,n!D460)</f>
        <v>dla jednostek powiązanych</v>
      </c>
      <c r="E67" s="704">
        <v>0</v>
      </c>
      <c r="F67" s="678">
        <v>0</v>
      </c>
    </row>
    <row r="68" spans="1:8">
      <c r="B68" s="72" t="s">
        <v>6586</v>
      </c>
      <c r="C68" s="92" t="str">
        <f>CHOOSE(jezyk,n!A461,n!B461,n!C461,n!D461)</f>
        <v>Strata z tytułu rozchodu aktywów finansowych, w tym:</v>
      </c>
      <c r="D68" s="72"/>
      <c r="E68" s="703">
        <v>0</v>
      </c>
      <c r="F68" s="300">
        <v>0</v>
      </c>
    </row>
    <row r="69" spans="1:8">
      <c r="B69" s="72"/>
      <c r="C69" s="72" t="s">
        <v>6547</v>
      </c>
      <c r="D69" s="92" t="str">
        <f>D60</f>
        <v>w jednostkach powiązanych</v>
      </c>
      <c r="E69" s="704">
        <v>0</v>
      </c>
      <c r="F69" s="678">
        <v>0</v>
      </c>
    </row>
    <row r="70" spans="1:8">
      <c r="B70" s="72" t="s">
        <v>6587</v>
      </c>
      <c r="C70" s="92" t="str">
        <f>CHOOSE(jezyk,n!A462,n!B462,n!C462,n!D462)</f>
        <v>Aktualizacja wartości aktywów finansowych</v>
      </c>
      <c r="D70" s="72"/>
      <c r="E70" s="703">
        <v>0</v>
      </c>
      <c r="F70" s="300">
        <v>0</v>
      </c>
    </row>
    <row r="71" spans="1:8">
      <c r="B71" s="72" t="s">
        <v>6588</v>
      </c>
      <c r="C71" s="92" t="str">
        <f>CHOOSE(jezyk,n!A463,n!B463,n!C463,n!D463)</f>
        <v>Inne</v>
      </c>
      <c r="D71" s="72"/>
      <c r="E71" s="703">
        <v>18976.46</v>
      </c>
      <c r="F71" s="300">
        <v>0</v>
      </c>
    </row>
    <row r="72" spans="1:8" ht="9" customHeight="1">
      <c r="B72" s="111"/>
      <c r="C72" s="111"/>
      <c r="D72" s="72"/>
      <c r="E72" s="92"/>
      <c r="F72" s="92"/>
    </row>
    <row r="73" spans="1:8" ht="5.25" customHeight="1">
      <c r="B73" s="111"/>
      <c r="C73" s="111"/>
      <c r="D73" s="72"/>
      <c r="E73" s="92"/>
      <c r="F73" s="92"/>
    </row>
    <row r="74" spans="1:8" s="241" customFormat="1">
      <c r="A74" s="111" t="s">
        <v>6585</v>
      </c>
      <c r="B74" s="118" t="str">
        <f>CHOOSE(jezyk,n!A468,n!B468,n!C468,n!D468)</f>
        <v>Zysk (strata) brutto</v>
      </c>
      <c r="C74" s="111"/>
      <c r="E74" s="330">
        <f>E48+E50-E64</f>
        <v>458187.37000000081</v>
      </c>
      <c r="F74" s="330">
        <f>F48+F50-F64</f>
        <v>-313.38</v>
      </c>
    </row>
    <row r="75" spans="1:8">
      <c r="A75" s="72"/>
      <c r="B75" s="111" t="s">
        <v>4368</v>
      </c>
      <c r="C75" s="111"/>
      <c r="E75" s="327"/>
      <c r="F75" s="92"/>
    </row>
    <row r="76" spans="1:8" s="241" customFormat="1">
      <c r="A76" s="111" t="s">
        <v>6609</v>
      </c>
      <c r="B76" s="118" t="str">
        <f>CHOOSE(jezyk,n!A469,n!B469,n!C469,n!D469)</f>
        <v>Podatek dochodowy</v>
      </c>
      <c r="C76" s="111"/>
      <c r="E76" s="703">
        <v>94015</v>
      </c>
      <c r="F76" s="115">
        <v>0</v>
      </c>
      <c r="G76" s="213">
        <f>E76-'nota 2'!K204</f>
        <v>6959</v>
      </c>
      <c r="H76" s="301"/>
    </row>
    <row r="77" spans="1:8">
      <c r="C77" s="72"/>
      <c r="D77" s="72"/>
      <c r="E77" s="327"/>
      <c r="F77" s="304"/>
    </row>
    <row r="78" spans="1:8">
      <c r="A78" s="241" t="s">
        <v>6610</v>
      </c>
      <c r="B78" s="118" t="str">
        <f>CHOOSE(jezyk,n!A470,n!B470,n!C470,n!D470)</f>
        <v>Pozostałe obowiązkowe zmniejszenia zysku (zwiększenia straty)</v>
      </c>
      <c r="C78" s="72"/>
      <c r="D78" s="72"/>
      <c r="E78" s="703">
        <v>0</v>
      </c>
      <c r="F78" s="115">
        <v>0</v>
      </c>
    </row>
    <row r="79" spans="1:8">
      <c r="A79" s="248"/>
      <c r="B79" s="125" t="s">
        <v>4368</v>
      </c>
      <c r="C79" s="125"/>
      <c r="D79" s="248"/>
      <c r="E79" s="248"/>
      <c r="F79" s="126"/>
    </row>
    <row r="80" spans="1:8">
      <c r="B80" s="111" t="s">
        <v>4368</v>
      </c>
      <c r="C80" s="111"/>
      <c r="F80" s="92"/>
    </row>
    <row r="81" spans="1:7" s="241" customFormat="1">
      <c r="A81" s="180" t="s">
        <v>6611</v>
      </c>
      <c r="B81" s="118" t="str">
        <f>CHOOSE(jezyk,n!A471,n!B471,n!C471,n!D471)</f>
        <v>Zysk (strata) netto</v>
      </c>
      <c r="C81" s="111"/>
      <c r="D81" s="180"/>
      <c r="E81" s="298">
        <f>E74-E76-E78</f>
        <v>364172.37000000081</v>
      </c>
      <c r="F81" s="298">
        <f>F74-F76-F78+0.0001</f>
        <v>-313.37990000000002</v>
      </c>
    </row>
    <row r="82" spans="1:7" ht="13.5" thickBot="1">
      <c r="A82" s="1192"/>
      <c r="B82" s="1192"/>
      <c r="C82" s="1192"/>
      <c r="D82" s="1192"/>
      <c r="E82" s="1193"/>
      <c r="F82" s="1193"/>
    </row>
    <row r="84" spans="1:7">
      <c r="A84" s="66" t="str">
        <f>siedziba&amp;", "&amp;GA!D53</f>
        <v>Warszawa, 30.01.2025</v>
      </c>
    </row>
    <row r="85" spans="1:7">
      <c r="D85" s="251" t="str">
        <f>CHOOSE(jezyk,n!A412,n!B412,n!C412,n!D412)</f>
        <v>Osoba sporządzająca:</v>
      </c>
      <c r="E85" s="327" t="str">
        <f>CHOOSE(jezyk,n!A413,n!B413,n!C413,n!D413)</f>
        <v>Zarząd:</v>
      </c>
    </row>
    <row r="86" spans="1:7">
      <c r="B86" s="324"/>
      <c r="C86" s="324"/>
      <c r="D86" s="324"/>
      <c r="E86" s="294"/>
      <c r="F86" s="294"/>
    </row>
    <row r="87" spans="1:7">
      <c r="B87" s="324"/>
      <c r="C87" s="324"/>
      <c r="D87" s="324" t="s">
        <v>113</v>
      </c>
      <c r="E87" s="213">
        <f>E81-Bilans!S21</f>
        <v>364172.37000000081</v>
      </c>
      <c r="F87" s="213">
        <f>F81-Bilans!T21</f>
        <v>-313.37990000000002</v>
      </c>
    </row>
    <row r="88" spans="1:7">
      <c r="B88" s="324"/>
      <c r="C88" s="324"/>
      <c r="D88" s="324"/>
      <c r="E88" s="294"/>
      <c r="F88" s="294"/>
    </row>
    <row r="89" spans="1:7">
      <c r="B89" s="324"/>
      <c r="C89" s="324"/>
      <c r="D89" s="324"/>
      <c r="E89" s="294"/>
      <c r="F89" s="294"/>
    </row>
    <row r="90" spans="1:7">
      <c r="B90" s="324"/>
      <c r="C90" s="324"/>
      <c r="D90" s="324"/>
      <c r="E90" s="294"/>
      <c r="F90" s="294"/>
    </row>
    <row r="91" spans="1:7">
      <c r="B91" s="324"/>
      <c r="C91" s="324"/>
      <c r="D91" s="324"/>
      <c r="E91" s="294"/>
      <c r="F91" s="294"/>
    </row>
    <row r="92" spans="1:7">
      <c r="B92" s="324"/>
      <c r="C92" s="324"/>
      <c r="D92" s="324"/>
      <c r="E92" s="294"/>
      <c r="F92" s="294"/>
    </row>
    <row r="93" spans="1:7">
      <c r="B93" s="324"/>
      <c r="C93" s="324"/>
      <c r="D93" s="324"/>
      <c r="E93" s="294"/>
      <c r="F93" s="294"/>
    </row>
    <row r="94" spans="1:7">
      <c r="B94" s="324"/>
      <c r="C94" s="324"/>
      <c r="D94" s="324"/>
      <c r="E94" s="294"/>
      <c r="F94" s="294"/>
    </row>
    <row r="95" spans="1:7">
      <c r="B95" s="324"/>
      <c r="C95" s="324"/>
      <c r="D95" s="324"/>
      <c r="E95" s="294"/>
      <c r="F95" s="294"/>
    </row>
    <row r="96" spans="1:7">
      <c r="B96" s="324"/>
      <c r="C96" s="324"/>
      <c r="D96" s="324"/>
      <c r="E96" s="294"/>
      <c r="F96" s="294"/>
    </row>
    <row r="97" spans="2:6">
      <c r="B97" s="324"/>
      <c r="C97" s="324"/>
      <c r="D97" s="324"/>
      <c r="E97" s="294"/>
      <c r="F97" s="294"/>
    </row>
    <row r="98" spans="2:6">
      <c r="B98" s="324"/>
      <c r="C98" s="324"/>
      <c r="D98" s="324"/>
      <c r="E98" s="294"/>
      <c r="F98" s="294"/>
    </row>
    <row r="99" spans="2:6">
      <c r="B99" s="324"/>
      <c r="C99" s="324"/>
      <c r="D99" s="324"/>
      <c r="E99" s="294"/>
      <c r="F99" s="294"/>
    </row>
    <row r="100" spans="2:6">
      <c r="B100" s="324"/>
      <c r="C100" s="324"/>
      <c r="D100" s="324"/>
      <c r="E100" s="294"/>
      <c r="F100" s="294"/>
    </row>
    <row r="101" spans="2:6">
      <c r="B101" s="324"/>
      <c r="C101" s="324"/>
      <c r="D101" s="324"/>
      <c r="E101" s="294"/>
      <c r="F101" s="294"/>
    </row>
    <row r="102" spans="2:6">
      <c r="B102" s="324"/>
      <c r="C102" s="324"/>
      <c r="D102" s="324"/>
      <c r="E102" s="294"/>
      <c r="F102" s="294"/>
    </row>
    <row r="103" spans="2:6">
      <c r="B103" s="324"/>
      <c r="C103" s="324"/>
      <c r="D103" s="324"/>
      <c r="E103" s="294"/>
      <c r="F103" s="294"/>
    </row>
    <row r="104" spans="2:6">
      <c r="B104" s="324"/>
      <c r="C104" s="324"/>
      <c r="D104" s="324"/>
      <c r="E104" s="294"/>
      <c r="F104" s="294"/>
    </row>
    <row r="105" spans="2:6">
      <c r="B105" s="324"/>
      <c r="C105" s="324"/>
      <c r="D105" s="324"/>
      <c r="E105" s="294"/>
      <c r="F105" s="294"/>
    </row>
    <row r="106" spans="2:6">
      <c r="B106" s="324"/>
      <c r="C106" s="324"/>
      <c r="D106" s="324"/>
      <c r="E106" s="294"/>
      <c r="F106" s="294"/>
    </row>
    <row r="107" spans="2:6">
      <c r="B107" s="324"/>
      <c r="C107" s="324"/>
      <c r="D107" s="324"/>
      <c r="E107" s="294"/>
      <c r="F107" s="294"/>
    </row>
    <row r="108" spans="2:6">
      <c r="B108" s="324"/>
      <c r="C108" s="324"/>
      <c r="D108" s="324"/>
      <c r="E108" s="294"/>
      <c r="F108" s="294"/>
    </row>
    <row r="109" spans="2:6">
      <c r="B109" s="324"/>
      <c r="C109" s="324"/>
      <c r="D109" s="324"/>
      <c r="E109" s="294"/>
      <c r="F109" s="294"/>
    </row>
    <row r="110" spans="2:6">
      <c r="B110" s="324"/>
      <c r="C110" s="324"/>
      <c r="D110" s="324"/>
      <c r="E110" s="294"/>
      <c r="F110" s="294"/>
    </row>
    <row r="111" spans="2:6">
      <c r="B111" s="324"/>
      <c r="C111" s="324"/>
      <c r="D111" s="324"/>
      <c r="E111" s="294"/>
      <c r="F111" s="294"/>
    </row>
    <row r="112" spans="2:6">
      <c r="B112" s="324"/>
      <c r="C112" s="324"/>
      <c r="D112" s="324"/>
      <c r="E112" s="294"/>
      <c r="F112" s="294"/>
    </row>
    <row r="113" spans="2:6">
      <c r="B113" s="324"/>
      <c r="C113" s="324"/>
      <c r="D113" s="324"/>
      <c r="E113" s="294"/>
      <c r="F113" s="294"/>
    </row>
    <row r="114" spans="2:6">
      <c r="B114" s="324"/>
      <c r="C114" s="324"/>
      <c r="D114" s="324"/>
      <c r="E114" s="294"/>
      <c r="F114" s="294"/>
    </row>
    <row r="115" spans="2:6">
      <c r="B115" s="324"/>
      <c r="C115" s="324"/>
      <c r="D115" s="324"/>
      <c r="E115" s="294"/>
      <c r="F115" s="294"/>
    </row>
    <row r="116" spans="2:6">
      <c r="B116" s="324"/>
      <c r="C116" s="324"/>
      <c r="D116" s="324"/>
      <c r="E116" s="294"/>
      <c r="F116" s="294"/>
    </row>
    <row r="117" spans="2:6">
      <c r="B117" s="324"/>
      <c r="C117" s="324"/>
      <c r="D117" s="324"/>
      <c r="E117" s="294"/>
      <c r="F117" s="294"/>
    </row>
    <row r="118" spans="2:6">
      <c r="B118" s="324"/>
      <c r="C118" s="324"/>
      <c r="D118" s="324"/>
      <c r="E118" s="294"/>
      <c r="F118" s="294"/>
    </row>
    <row r="119" spans="2:6">
      <c r="B119" s="324"/>
      <c r="C119" s="324"/>
      <c r="D119" s="324"/>
      <c r="E119" s="294"/>
      <c r="F119" s="294"/>
    </row>
    <row r="120" spans="2:6">
      <c r="B120" s="324"/>
      <c r="C120" s="324"/>
      <c r="D120" s="324"/>
      <c r="E120" s="294"/>
      <c r="F120" s="294"/>
    </row>
    <row r="121" spans="2:6">
      <c r="B121" s="324"/>
      <c r="C121" s="324"/>
      <c r="D121" s="324"/>
      <c r="E121" s="294"/>
      <c r="F121" s="294"/>
    </row>
    <row r="122" spans="2:6">
      <c r="B122" s="324"/>
      <c r="C122" s="324"/>
      <c r="D122" s="324"/>
      <c r="E122" s="294"/>
      <c r="F122" s="294"/>
    </row>
    <row r="123" spans="2:6">
      <c r="B123" s="324"/>
      <c r="C123" s="324"/>
      <c r="D123" s="324"/>
      <c r="E123" s="294"/>
      <c r="F123" s="294"/>
    </row>
    <row r="124" spans="2:6">
      <c r="B124" s="324"/>
      <c r="C124" s="324"/>
      <c r="D124" s="324"/>
      <c r="E124" s="294"/>
      <c r="F124" s="294"/>
    </row>
    <row r="125" spans="2:6">
      <c r="B125" s="324"/>
      <c r="C125" s="324"/>
      <c r="D125" s="324"/>
      <c r="E125" s="294"/>
      <c r="F125" s="294"/>
    </row>
    <row r="126" spans="2:6">
      <c r="B126" s="324"/>
      <c r="C126" s="324"/>
      <c r="D126" s="324"/>
      <c r="E126" s="294"/>
      <c r="F126" s="294"/>
    </row>
    <row r="127" spans="2:6">
      <c r="B127" s="324"/>
      <c r="C127" s="324"/>
      <c r="D127" s="324"/>
      <c r="E127" s="294"/>
      <c r="F127" s="294"/>
    </row>
    <row r="128" spans="2:6">
      <c r="B128" s="324"/>
      <c r="C128" s="324"/>
      <c r="D128" s="324"/>
      <c r="E128" s="294"/>
      <c r="F128" s="294"/>
    </row>
    <row r="129" spans="2:6">
      <c r="B129" s="324"/>
      <c r="C129" s="324"/>
      <c r="D129" s="324"/>
      <c r="E129" s="294"/>
      <c r="F129" s="294"/>
    </row>
    <row r="130" spans="2:6">
      <c r="B130" s="324"/>
      <c r="C130" s="324"/>
      <c r="D130" s="324"/>
      <c r="E130" s="294"/>
      <c r="F130" s="294"/>
    </row>
    <row r="131" spans="2:6">
      <c r="B131" s="324"/>
      <c r="C131" s="324"/>
      <c r="D131" s="324"/>
      <c r="E131" s="294"/>
      <c r="F131" s="294"/>
    </row>
    <row r="132" spans="2:6">
      <c r="B132" s="324"/>
      <c r="C132" s="324"/>
      <c r="D132" s="324"/>
      <c r="E132" s="294"/>
      <c r="F132" s="294"/>
    </row>
    <row r="133" spans="2:6">
      <c r="B133" s="324"/>
      <c r="C133" s="324"/>
      <c r="D133" s="324"/>
      <c r="E133" s="294"/>
      <c r="F133" s="294"/>
    </row>
    <row r="134" spans="2:6">
      <c r="B134" s="324"/>
      <c r="C134" s="324"/>
      <c r="D134" s="324"/>
      <c r="E134" s="294"/>
      <c r="F134" s="294"/>
    </row>
    <row r="135" spans="2:6">
      <c r="B135" s="324"/>
      <c r="C135" s="324"/>
      <c r="D135" s="324"/>
      <c r="E135" s="294"/>
      <c r="F135" s="294"/>
    </row>
    <row r="136" spans="2:6">
      <c r="B136" s="324"/>
      <c r="C136" s="324"/>
      <c r="D136" s="324"/>
      <c r="E136" s="294"/>
      <c r="F136" s="294"/>
    </row>
    <row r="137" spans="2:6">
      <c r="B137" s="324"/>
      <c r="C137" s="324"/>
      <c r="D137" s="324"/>
      <c r="E137" s="294"/>
      <c r="F137" s="294"/>
    </row>
    <row r="138" spans="2:6">
      <c r="B138" s="324"/>
      <c r="C138" s="324"/>
      <c r="D138" s="324"/>
      <c r="E138" s="294"/>
      <c r="F138" s="294"/>
    </row>
    <row r="139" spans="2:6">
      <c r="B139" s="324"/>
      <c r="C139" s="324"/>
      <c r="D139" s="324"/>
      <c r="E139" s="294"/>
      <c r="F139" s="294"/>
    </row>
    <row r="140" spans="2:6">
      <c r="B140" s="324"/>
      <c r="C140" s="324"/>
      <c r="D140" s="324"/>
      <c r="E140" s="294"/>
      <c r="F140" s="294"/>
    </row>
    <row r="141" spans="2:6">
      <c r="B141" s="324"/>
      <c r="C141" s="324"/>
      <c r="D141" s="324"/>
      <c r="E141" s="294"/>
      <c r="F141" s="294"/>
    </row>
    <row r="142" spans="2:6">
      <c r="B142" s="324"/>
      <c r="C142" s="324"/>
      <c r="D142" s="324"/>
      <c r="E142" s="294"/>
      <c r="F142" s="294"/>
    </row>
    <row r="143" spans="2:6">
      <c r="B143" s="324"/>
      <c r="C143" s="324"/>
      <c r="D143" s="324"/>
      <c r="E143" s="294"/>
      <c r="F143" s="294"/>
    </row>
    <row r="144" spans="2:6">
      <c r="B144" s="324"/>
      <c r="C144" s="324"/>
      <c r="D144" s="324"/>
      <c r="E144" s="294"/>
      <c r="F144" s="294"/>
    </row>
    <row r="145" spans="2:6">
      <c r="B145" s="324"/>
      <c r="C145" s="324"/>
      <c r="D145" s="324"/>
      <c r="E145" s="294"/>
      <c r="F145" s="294"/>
    </row>
    <row r="146" spans="2:6">
      <c r="B146" s="324"/>
      <c r="C146" s="324"/>
      <c r="D146" s="324"/>
      <c r="E146" s="294"/>
      <c r="F146" s="294"/>
    </row>
    <row r="147" spans="2:6">
      <c r="B147" s="324"/>
      <c r="C147" s="324"/>
      <c r="D147" s="324"/>
      <c r="E147" s="294"/>
      <c r="F147" s="294"/>
    </row>
    <row r="148" spans="2:6">
      <c r="B148" s="324"/>
      <c r="C148" s="324"/>
      <c r="D148" s="324"/>
      <c r="E148" s="294"/>
      <c r="F148" s="294"/>
    </row>
    <row r="149" spans="2:6">
      <c r="B149" s="324"/>
      <c r="C149" s="324"/>
      <c r="D149" s="324"/>
      <c r="E149" s="294"/>
      <c r="F149" s="294"/>
    </row>
    <row r="150" spans="2:6">
      <c r="B150" s="324"/>
      <c r="C150" s="324"/>
      <c r="D150" s="324"/>
      <c r="E150" s="294"/>
      <c r="F150" s="294"/>
    </row>
    <row r="151" spans="2:6">
      <c r="B151" s="324"/>
      <c r="C151" s="324"/>
      <c r="D151" s="324"/>
      <c r="E151" s="294"/>
      <c r="F151" s="294"/>
    </row>
    <row r="152" spans="2:6">
      <c r="B152" s="324"/>
      <c r="C152" s="324"/>
      <c r="D152" s="324"/>
      <c r="E152" s="294"/>
      <c r="F152" s="294"/>
    </row>
    <row r="153" spans="2:6">
      <c r="B153" s="324"/>
      <c r="C153" s="324"/>
      <c r="D153" s="324"/>
      <c r="E153" s="294"/>
      <c r="F153" s="294"/>
    </row>
    <row r="154" spans="2:6">
      <c r="B154" s="324"/>
      <c r="C154" s="324"/>
      <c r="D154" s="324"/>
      <c r="E154" s="294"/>
      <c r="F154" s="294"/>
    </row>
    <row r="155" spans="2:6">
      <c r="B155" s="324"/>
      <c r="C155" s="324"/>
      <c r="D155" s="324"/>
      <c r="E155" s="294"/>
      <c r="F155" s="294"/>
    </row>
    <row r="156" spans="2:6">
      <c r="B156" s="324"/>
      <c r="C156" s="324"/>
      <c r="D156" s="324"/>
      <c r="E156" s="294"/>
      <c r="F156" s="294"/>
    </row>
    <row r="157" spans="2:6">
      <c r="B157" s="324"/>
      <c r="C157" s="324"/>
      <c r="D157" s="324"/>
      <c r="E157" s="294"/>
      <c r="F157" s="294"/>
    </row>
  </sheetData>
  <sheetProtection formatCells="0" formatColumns="0" formatRows="0" insertRows="0" insertHyperlinks="0" sort="0" autoFilter="0" pivotTables="0"/>
  <protectedRanges>
    <protectedRange algorithmName="SHA-512" hashValue="UZ1yh61+cNSIAO4fia553jOE10Ge8TDNVm9a9uCHFtFwSGhT+454GbN/zciHsw0Tm8dIgC1egBCMvyD8uw+8jA==" saltValue="bj74xEauxSaZvYxjg+IhDg==" spinCount="100000" sqref="E53:E62 E66:E71 E76 E78 E37:E40 E44:E46 E14:E18 E22:E31" name="dane po korektach"/>
  </protectedRanges>
  <mergeCells count="5">
    <mergeCell ref="A1:F1"/>
    <mergeCell ref="A3:F3"/>
    <mergeCell ref="A4:F4"/>
    <mergeCell ref="A5:F5"/>
    <mergeCell ref="A6:F6"/>
  </mergeCells>
  <phoneticPr fontId="0" type="noConversion"/>
  <hyperlinks>
    <hyperlink ref="A1:F1" location="'spis treści'!A1" display="SPIS TREŚCI" xr:uid="{00000000-0004-0000-1700-000000000000}"/>
  </hyperlinks>
  <printOptions horizontalCentered="1" verticalCentered="1"/>
  <pageMargins left="0.78740157480314965" right="0.78740157480314965" top="0.35433070866141736" bottom="0.98425196850393704" header="0.27559055118110237" footer="0.51181102362204722"/>
  <pageSetup paperSize="9" scale="73" orientation="portrait" blackAndWhite="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8">
    <tabColor rgb="FFFF0000"/>
  </sheetPr>
  <dimension ref="A1:F58"/>
  <sheetViews>
    <sheetView workbookViewId="0"/>
  </sheetViews>
  <sheetFormatPr defaultColWidth="9.140625" defaultRowHeight="15"/>
  <cols>
    <col min="1" max="16384" width="9.140625" style="464"/>
  </cols>
  <sheetData>
    <row r="1" spans="1:6">
      <c r="A1" s="464" t="s">
        <v>6612</v>
      </c>
      <c r="B1" s="464" t="s">
        <v>6613</v>
      </c>
      <c r="C1" s="464" t="s">
        <v>6614</v>
      </c>
      <c r="D1" s="464" t="s">
        <v>6615</v>
      </c>
      <c r="E1" s="464" t="s">
        <v>6616</v>
      </c>
      <c r="F1" s="464" t="s">
        <v>6617</v>
      </c>
    </row>
    <row r="2" spans="1:6">
      <c r="A2" s="464" t="s">
        <v>6530</v>
      </c>
      <c r="B2" s="464" t="s">
        <v>6584</v>
      </c>
      <c r="C2" s="464" t="s">
        <v>6618</v>
      </c>
      <c r="D2" s="464">
        <v>0</v>
      </c>
      <c r="E2" s="464">
        <v>0</v>
      </c>
      <c r="F2" s="464">
        <v>0</v>
      </c>
    </row>
    <row r="3" spans="1:6">
      <c r="A3" s="464" t="s">
        <v>6619</v>
      </c>
      <c r="B3" s="464" t="s">
        <v>6620</v>
      </c>
      <c r="C3" s="464" t="s">
        <v>6621</v>
      </c>
      <c r="D3" s="464">
        <v>0</v>
      </c>
      <c r="E3" s="464">
        <v>0</v>
      </c>
      <c r="F3" s="464">
        <v>0</v>
      </c>
    </row>
    <row r="4" spans="1:6">
      <c r="A4" s="464" t="s">
        <v>6622</v>
      </c>
      <c r="B4" s="464" t="s">
        <v>6623</v>
      </c>
      <c r="C4" s="464" t="s">
        <v>6624</v>
      </c>
      <c r="D4" s="464">
        <v>0</v>
      </c>
      <c r="E4" s="464">
        <v>0</v>
      </c>
      <c r="F4" s="464">
        <v>0</v>
      </c>
    </row>
    <row r="5" spans="1:6">
      <c r="A5" s="464" t="s">
        <v>6625</v>
      </c>
      <c r="B5" s="464" t="s">
        <v>6626</v>
      </c>
      <c r="C5" s="464" t="s">
        <v>6627</v>
      </c>
      <c r="D5" s="464">
        <v>0</v>
      </c>
      <c r="E5" s="464">
        <v>0</v>
      </c>
      <c r="F5" s="464">
        <v>0</v>
      </c>
    </row>
    <row r="6" spans="1:6">
      <c r="A6" s="464" t="s">
        <v>6628</v>
      </c>
      <c r="B6" s="464" t="s">
        <v>6629</v>
      </c>
      <c r="C6" s="464" t="s">
        <v>6630</v>
      </c>
      <c r="D6" s="464">
        <v>0</v>
      </c>
      <c r="E6" s="464">
        <v>0</v>
      </c>
      <c r="F6" s="464">
        <v>0</v>
      </c>
    </row>
    <row r="7" spans="1:6">
      <c r="A7" s="464" t="s">
        <v>6631</v>
      </c>
      <c r="B7" s="464" t="s">
        <v>6632</v>
      </c>
      <c r="C7" s="464" t="s">
        <v>6633</v>
      </c>
      <c r="D7" s="464">
        <v>0</v>
      </c>
      <c r="E7" s="464">
        <v>0</v>
      </c>
      <c r="F7" s="464">
        <v>0</v>
      </c>
    </row>
    <row r="8" spans="1:6">
      <c r="A8" s="464" t="s">
        <v>6634</v>
      </c>
      <c r="B8" s="464" t="s">
        <v>6635</v>
      </c>
      <c r="C8" s="464" t="s">
        <v>6636</v>
      </c>
      <c r="D8" s="464">
        <v>0</v>
      </c>
      <c r="E8" s="464">
        <v>0</v>
      </c>
      <c r="F8" s="464">
        <v>0</v>
      </c>
    </row>
    <row r="9" spans="1:6">
      <c r="A9" s="464" t="s">
        <v>6637</v>
      </c>
      <c r="B9" s="464" t="s">
        <v>6638</v>
      </c>
      <c r="C9" s="464" t="s">
        <v>6639</v>
      </c>
      <c r="D9" s="464">
        <v>0</v>
      </c>
      <c r="E9" s="464">
        <v>0</v>
      </c>
      <c r="F9" s="464">
        <v>0</v>
      </c>
    </row>
    <row r="10" spans="1:6">
      <c r="A10" s="464" t="s">
        <v>6640</v>
      </c>
      <c r="B10" s="464" t="s">
        <v>6641</v>
      </c>
      <c r="C10" s="464" t="s">
        <v>6642</v>
      </c>
      <c r="D10" s="464">
        <v>0</v>
      </c>
      <c r="E10" s="464">
        <v>0</v>
      </c>
      <c r="F10" s="464">
        <v>0</v>
      </c>
    </row>
    <row r="11" spans="1:6">
      <c r="A11" s="464" t="s">
        <v>6643</v>
      </c>
      <c r="B11" s="464" t="s">
        <v>6644</v>
      </c>
      <c r="C11" s="464" t="s">
        <v>6645</v>
      </c>
      <c r="D11" s="464">
        <v>0</v>
      </c>
      <c r="E11" s="464">
        <v>0</v>
      </c>
      <c r="F11" s="464">
        <v>0</v>
      </c>
    </row>
    <row r="12" spans="1:6">
      <c r="A12" s="464" t="s">
        <v>6535</v>
      </c>
      <c r="B12" s="464" t="s">
        <v>6646</v>
      </c>
      <c r="C12" s="464" t="s">
        <v>6647</v>
      </c>
      <c r="D12" s="464">
        <v>0</v>
      </c>
      <c r="E12" s="464">
        <v>0</v>
      </c>
      <c r="F12" s="464">
        <v>0</v>
      </c>
    </row>
    <row r="13" spans="1:6">
      <c r="A13" s="464" t="s">
        <v>6540</v>
      </c>
      <c r="B13" s="464" t="s">
        <v>6597</v>
      </c>
      <c r="C13" s="464" t="s">
        <v>6648</v>
      </c>
      <c r="D13" s="464">
        <v>0</v>
      </c>
      <c r="E13" s="464">
        <v>0</v>
      </c>
      <c r="F13" s="464">
        <v>0</v>
      </c>
    </row>
    <row r="14" spans="1:6">
      <c r="A14" s="464" t="s">
        <v>6649</v>
      </c>
      <c r="B14" s="464" t="s">
        <v>6650</v>
      </c>
      <c r="C14" s="464" t="s">
        <v>6621</v>
      </c>
      <c r="D14" s="464">
        <v>0</v>
      </c>
      <c r="E14" s="464">
        <v>0</v>
      </c>
      <c r="F14" s="464">
        <v>0</v>
      </c>
    </row>
    <row r="15" spans="1:6">
      <c r="A15" s="464" t="s">
        <v>6651</v>
      </c>
      <c r="B15" s="464" t="s">
        <v>6652</v>
      </c>
      <c r="C15" s="464" t="s">
        <v>6653</v>
      </c>
      <c r="D15" s="464">
        <v>0</v>
      </c>
      <c r="E15" s="464">
        <v>0</v>
      </c>
      <c r="F15" s="464">
        <v>0</v>
      </c>
    </row>
    <row r="16" spans="1:6">
      <c r="A16" s="464" t="s">
        <v>6654</v>
      </c>
      <c r="B16" s="464" t="s">
        <v>6655</v>
      </c>
      <c r="C16" s="464" t="s">
        <v>6656</v>
      </c>
      <c r="D16" s="464">
        <v>0</v>
      </c>
      <c r="E16" s="464">
        <v>0</v>
      </c>
      <c r="F16" s="464">
        <v>0</v>
      </c>
    </row>
    <row r="17" spans="1:6">
      <c r="A17" s="464" t="s">
        <v>6657</v>
      </c>
      <c r="B17" s="464" t="s">
        <v>6658</v>
      </c>
      <c r="C17" s="464" t="s">
        <v>6659</v>
      </c>
      <c r="D17" s="464">
        <v>0</v>
      </c>
      <c r="E17" s="464">
        <v>0</v>
      </c>
      <c r="F17" s="464">
        <v>0</v>
      </c>
    </row>
    <row r="18" spans="1:6">
      <c r="A18" s="464" t="s">
        <v>6660</v>
      </c>
      <c r="B18" s="464" t="s">
        <v>6661</v>
      </c>
      <c r="C18" s="464" t="s">
        <v>6662</v>
      </c>
      <c r="D18" s="464">
        <v>0</v>
      </c>
      <c r="E18" s="464">
        <v>0</v>
      </c>
      <c r="F18" s="464">
        <v>0</v>
      </c>
    </row>
    <row r="19" spans="1:6">
      <c r="A19" s="464" t="s">
        <v>6663</v>
      </c>
      <c r="B19" s="464" t="s">
        <v>6664</v>
      </c>
      <c r="C19" s="464" t="s">
        <v>6665</v>
      </c>
      <c r="D19" s="464">
        <v>0</v>
      </c>
      <c r="E19" s="464">
        <v>0</v>
      </c>
      <c r="F19" s="464">
        <v>0</v>
      </c>
    </row>
    <row r="20" spans="1:6">
      <c r="A20" s="464" t="s">
        <v>6666</v>
      </c>
      <c r="B20" s="464" t="s">
        <v>6667</v>
      </c>
      <c r="C20" s="464" t="s">
        <v>6668</v>
      </c>
      <c r="D20" s="464">
        <v>0</v>
      </c>
      <c r="E20" s="464">
        <v>0</v>
      </c>
      <c r="F20" s="464">
        <v>0</v>
      </c>
    </row>
    <row r="21" spans="1:6">
      <c r="A21" s="464" t="s">
        <v>6669</v>
      </c>
      <c r="B21" s="464" t="s">
        <v>6670</v>
      </c>
      <c r="C21" s="464" t="s">
        <v>6671</v>
      </c>
      <c r="D21" s="464">
        <v>0</v>
      </c>
      <c r="E21" s="464">
        <v>0</v>
      </c>
      <c r="F21" s="464">
        <v>0</v>
      </c>
    </row>
    <row r="22" spans="1:6">
      <c r="A22" s="464" t="s">
        <v>6672</v>
      </c>
      <c r="B22" s="464" t="s">
        <v>6673</v>
      </c>
      <c r="C22" s="464" t="s">
        <v>6674</v>
      </c>
      <c r="D22" s="464">
        <v>0</v>
      </c>
      <c r="E22" s="464">
        <v>0</v>
      </c>
      <c r="F22" s="464">
        <v>0</v>
      </c>
    </row>
    <row r="23" spans="1:6">
      <c r="A23" s="464" t="s">
        <v>6675</v>
      </c>
      <c r="B23" s="464" t="s">
        <v>6676</v>
      </c>
      <c r="C23" s="464" t="s">
        <v>6677</v>
      </c>
      <c r="D23" s="464">
        <v>0</v>
      </c>
      <c r="E23" s="464">
        <v>0</v>
      </c>
      <c r="F23" s="464">
        <v>0</v>
      </c>
    </row>
    <row r="24" spans="1:6">
      <c r="A24" s="464" t="s">
        <v>6678</v>
      </c>
      <c r="B24" s="464" t="s">
        <v>6679</v>
      </c>
      <c r="C24" s="464" t="s">
        <v>6680</v>
      </c>
      <c r="D24" s="464">
        <v>0</v>
      </c>
      <c r="E24" s="464">
        <v>0</v>
      </c>
      <c r="F24" s="464">
        <v>0</v>
      </c>
    </row>
    <row r="25" spans="1:6">
      <c r="A25" s="464" t="s">
        <v>6681</v>
      </c>
      <c r="B25" s="464" t="s">
        <v>6682</v>
      </c>
      <c r="C25" s="464" t="s">
        <v>6683</v>
      </c>
      <c r="D25" s="464">
        <v>0</v>
      </c>
      <c r="E25" s="464">
        <v>0</v>
      </c>
      <c r="F25" s="464">
        <v>0</v>
      </c>
    </row>
    <row r="26" spans="1:6">
      <c r="A26" s="464" t="s">
        <v>6684</v>
      </c>
      <c r="B26" s="464" t="s">
        <v>6685</v>
      </c>
      <c r="C26" s="464" t="s">
        <v>6630</v>
      </c>
      <c r="D26" s="464">
        <v>0</v>
      </c>
      <c r="E26" s="464">
        <v>0</v>
      </c>
      <c r="F26" s="464">
        <v>0</v>
      </c>
    </row>
    <row r="27" spans="1:6">
      <c r="A27" s="464" t="s">
        <v>6686</v>
      </c>
      <c r="B27" s="464" t="s">
        <v>6687</v>
      </c>
      <c r="C27" s="464" t="s">
        <v>6688</v>
      </c>
      <c r="D27" s="464">
        <v>0</v>
      </c>
      <c r="E27" s="464">
        <v>0</v>
      </c>
      <c r="F27" s="464">
        <v>0</v>
      </c>
    </row>
    <row r="28" spans="1:6">
      <c r="A28" s="464" t="s">
        <v>6689</v>
      </c>
      <c r="B28" s="464" t="s">
        <v>6690</v>
      </c>
      <c r="C28" s="464" t="s">
        <v>6691</v>
      </c>
      <c r="D28" s="464">
        <v>0</v>
      </c>
      <c r="E28" s="464">
        <v>0</v>
      </c>
      <c r="F28" s="464">
        <v>0</v>
      </c>
    </row>
    <row r="29" spans="1:6">
      <c r="A29" s="464" t="s">
        <v>6692</v>
      </c>
      <c r="B29" s="464" t="s">
        <v>6693</v>
      </c>
      <c r="C29" s="464" t="s">
        <v>6694</v>
      </c>
      <c r="D29" s="464">
        <v>0</v>
      </c>
      <c r="E29" s="464">
        <v>0</v>
      </c>
      <c r="F29" s="464">
        <v>0</v>
      </c>
    </row>
    <row r="30" spans="1:6">
      <c r="A30" s="464" t="s">
        <v>6695</v>
      </c>
      <c r="B30" s="464" t="s">
        <v>6696</v>
      </c>
      <c r="C30" s="464" t="s">
        <v>6662</v>
      </c>
      <c r="D30" s="464">
        <v>0</v>
      </c>
      <c r="E30" s="464">
        <v>0</v>
      </c>
      <c r="F30" s="464">
        <v>0</v>
      </c>
    </row>
    <row r="31" spans="1:6">
      <c r="A31" s="464" t="s">
        <v>6697</v>
      </c>
      <c r="B31" s="464" t="s">
        <v>6698</v>
      </c>
      <c r="C31" s="464" t="s">
        <v>6665</v>
      </c>
      <c r="D31" s="464">
        <v>0</v>
      </c>
      <c r="E31" s="464">
        <v>0</v>
      </c>
      <c r="F31" s="464">
        <v>0</v>
      </c>
    </row>
    <row r="32" spans="1:6">
      <c r="A32" s="464" t="s">
        <v>6699</v>
      </c>
      <c r="B32" s="464" t="s">
        <v>6700</v>
      </c>
      <c r="C32" s="464" t="s">
        <v>6701</v>
      </c>
      <c r="D32" s="464">
        <v>0</v>
      </c>
      <c r="E32" s="464">
        <v>0</v>
      </c>
      <c r="F32" s="464">
        <v>0</v>
      </c>
    </row>
    <row r="33" spans="1:6">
      <c r="A33" s="464" t="s">
        <v>6702</v>
      </c>
      <c r="B33" s="464" t="s">
        <v>6703</v>
      </c>
      <c r="C33" s="464" t="s">
        <v>6704</v>
      </c>
      <c r="D33" s="464">
        <v>0</v>
      </c>
      <c r="E33" s="464">
        <v>0</v>
      </c>
      <c r="F33" s="464">
        <v>0</v>
      </c>
    </row>
    <row r="34" spans="1:6">
      <c r="A34" s="464" t="s">
        <v>6705</v>
      </c>
      <c r="B34" s="464" t="s">
        <v>6706</v>
      </c>
      <c r="C34" s="464" t="s">
        <v>6707</v>
      </c>
      <c r="D34" s="464">
        <v>0</v>
      </c>
      <c r="E34" s="464">
        <v>0</v>
      </c>
      <c r="F34" s="464">
        <v>0</v>
      </c>
    </row>
    <row r="35" spans="1:6">
      <c r="A35" s="464" t="s">
        <v>6708</v>
      </c>
      <c r="B35" s="464" t="s">
        <v>6709</v>
      </c>
      <c r="C35" s="464" t="s">
        <v>6710</v>
      </c>
      <c r="D35" s="464">
        <v>0</v>
      </c>
      <c r="E35" s="464">
        <v>0</v>
      </c>
      <c r="F35" s="464">
        <v>0</v>
      </c>
    </row>
    <row r="36" spans="1:6">
      <c r="A36" s="464" t="s">
        <v>6544</v>
      </c>
      <c r="B36" s="464" t="s">
        <v>6602</v>
      </c>
      <c r="C36" s="464" t="s">
        <v>6711</v>
      </c>
      <c r="D36" s="464">
        <v>0</v>
      </c>
      <c r="E36" s="464">
        <v>0</v>
      </c>
      <c r="F36" s="464">
        <v>0</v>
      </c>
    </row>
    <row r="37" spans="1:6">
      <c r="A37" s="464" t="s">
        <v>6712</v>
      </c>
      <c r="B37" s="464" t="s">
        <v>6713</v>
      </c>
      <c r="C37" s="464" t="s">
        <v>6621</v>
      </c>
      <c r="D37" s="464">
        <v>0</v>
      </c>
      <c r="E37" s="464">
        <v>0</v>
      </c>
      <c r="F37" s="464">
        <v>0</v>
      </c>
    </row>
    <row r="38" spans="1:6">
      <c r="A38" s="464" t="s">
        <v>6714</v>
      </c>
      <c r="B38" s="464" t="s">
        <v>6715</v>
      </c>
      <c r="C38" s="464" t="s">
        <v>6716</v>
      </c>
      <c r="D38" s="464">
        <v>0</v>
      </c>
      <c r="E38" s="464">
        <v>0</v>
      </c>
      <c r="F38" s="464">
        <v>0</v>
      </c>
    </row>
    <row r="39" spans="1:6">
      <c r="A39" s="464" t="s">
        <v>6717</v>
      </c>
      <c r="B39" s="464" t="s">
        <v>6718</v>
      </c>
      <c r="C39" s="464" t="s">
        <v>6719</v>
      </c>
      <c r="D39" s="464">
        <v>0</v>
      </c>
      <c r="E39" s="464">
        <v>0</v>
      </c>
      <c r="F39" s="464">
        <v>0</v>
      </c>
    </row>
    <row r="40" spans="1:6">
      <c r="A40" s="464" t="s">
        <v>6720</v>
      </c>
      <c r="B40" s="464" t="s">
        <v>6721</v>
      </c>
      <c r="C40" s="464" t="s">
        <v>6722</v>
      </c>
      <c r="D40" s="464">
        <v>0</v>
      </c>
      <c r="E40" s="464">
        <v>0</v>
      </c>
      <c r="F40" s="464">
        <v>0</v>
      </c>
    </row>
    <row r="41" spans="1:6">
      <c r="A41" s="464" t="s">
        <v>6723</v>
      </c>
      <c r="B41" s="464" t="s">
        <v>6724</v>
      </c>
      <c r="C41" s="464" t="s">
        <v>6725</v>
      </c>
      <c r="D41" s="464">
        <v>0</v>
      </c>
      <c r="E41" s="464">
        <v>0</v>
      </c>
      <c r="F41" s="464">
        <v>0</v>
      </c>
    </row>
    <row r="42" spans="1:6">
      <c r="A42" s="464" t="s">
        <v>6726</v>
      </c>
      <c r="B42" s="464" t="s">
        <v>6727</v>
      </c>
      <c r="C42" s="464" t="s">
        <v>6630</v>
      </c>
      <c r="D42" s="464">
        <v>0</v>
      </c>
      <c r="E42" s="464">
        <v>0</v>
      </c>
      <c r="F42" s="464">
        <v>0</v>
      </c>
    </row>
    <row r="43" spans="1:6">
      <c r="A43" s="464" t="s">
        <v>6728</v>
      </c>
      <c r="B43" s="464" t="s">
        <v>6729</v>
      </c>
      <c r="C43" s="464" t="s">
        <v>6730</v>
      </c>
      <c r="D43" s="464">
        <v>0</v>
      </c>
      <c r="E43" s="464">
        <v>0</v>
      </c>
      <c r="F43" s="464">
        <v>0</v>
      </c>
    </row>
    <row r="44" spans="1:6">
      <c r="A44" s="464" t="s">
        <v>6731</v>
      </c>
      <c r="B44" s="464" t="s">
        <v>6732</v>
      </c>
      <c r="C44" s="464" t="s">
        <v>6733</v>
      </c>
      <c r="D44" s="464">
        <v>0</v>
      </c>
      <c r="E44" s="464">
        <v>0</v>
      </c>
      <c r="F44" s="464">
        <v>0</v>
      </c>
    </row>
    <row r="45" spans="1:6">
      <c r="A45" s="464" t="s">
        <v>6734</v>
      </c>
      <c r="B45" s="464" t="s">
        <v>6735</v>
      </c>
      <c r="C45" s="464" t="s">
        <v>6736</v>
      </c>
      <c r="D45" s="464">
        <v>0</v>
      </c>
      <c r="E45" s="464">
        <v>0</v>
      </c>
      <c r="F45" s="464">
        <v>0</v>
      </c>
    </row>
    <row r="46" spans="1:6">
      <c r="A46" s="464" t="s">
        <v>6737</v>
      </c>
      <c r="B46" s="464" t="s">
        <v>6738</v>
      </c>
      <c r="C46" s="464" t="s">
        <v>6739</v>
      </c>
      <c r="D46" s="464">
        <v>0</v>
      </c>
      <c r="E46" s="464">
        <v>0</v>
      </c>
      <c r="F46" s="464">
        <v>0</v>
      </c>
    </row>
    <row r="47" spans="1:6">
      <c r="A47" s="464" t="s">
        <v>6740</v>
      </c>
      <c r="B47" s="464" t="s">
        <v>6741</v>
      </c>
      <c r="C47" s="464" t="s">
        <v>6742</v>
      </c>
      <c r="D47" s="464">
        <v>0</v>
      </c>
      <c r="E47" s="464">
        <v>0</v>
      </c>
      <c r="F47" s="464">
        <v>0</v>
      </c>
    </row>
    <row r="48" spans="1:6">
      <c r="A48" s="464" t="s">
        <v>6743</v>
      </c>
      <c r="B48" s="464" t="s">
        <v>6744</v>
      </c>
      <c r="C48" s="464" t="s">
        <v>6745</v>
      </c>
      <c r="D48" s="464">
        <v>0</v>
      </c>
      <c r="E48" s="464">
        <v>0</v>
      </c>
      <c r="F48" s="464">
        <v>0</v>
      </c>
    </row>
    <row r="49" spans="1:6">
      <c r="A49" s="464" t="s">
        <v>6746</v>
      </c>
      <c r="B49" s="464" t="s">
        <v>6747</v>
      </c>
      <c r="C49" s="464" t="s">
        <v>6748</v>
      </c>
      <c r="D49" s="464">
        <v>0</v>
      </c>
      <c r="E49" s="464">
        <v>0</v>
      </c>
      <c r="F49" s="464">
        <v>0</v>
      </c>
    </row>
    <row r="50" spans="1:6">
      <c r="A50" s="464" t="s">
        <v>6749</v>
      </c>
      <c r="B50" s="464" t="s">
        <v>6750</v>
      </c>
      <c r="C50" s="464" t="s">
        <v>6751</v>
      </c>
      <c r="D50" s="464">
        <v>0</v>
      </c>
      <c r="E50" s="464">
        <v>0</v>
      </c>
      <c r="F50" s="464">
        <v>0</v>
      </c>
    </row>
    <row r="51" spans="1:6">
      <c r="A51" s="464" t="s">
        <v>6752</v>
      </c>
      <c r="B51" s="464" t="s">
        <v>6753</v>
      </c>
      <c r="C51" s="464" t="s">
        <v>6754</v>
      </c>
      <c r="D51" s="464">
        <v>0</v>
      </c>
      <c r="E51" s="464">
        <v>0</v>
      </c>
      <c r="F51" s="464">
        <v>0</v>
      </c>
    </row>
    <row r="52" spans="1:6">
      <c r="A52" s="464" t="s">
        <v>6755</v>
      </c>
      <c r="B52" s="464" t="s">
        <v>6756</v>
      </c>
      <c r="C52" s="464" t="s">
        <v>6757</v>
      </c>
      <c r="D52" s="464">
        <v>0</v>
      </c>
      <c r="E52" s="464">
        <v>0</v>
      </c>
      <c r="F52" s="464">
        <v>0</v>
      </c>
    </row>
    <row r="53" spans="1:6">
      <c r="A53" s="464" t="s">
        <v>6545</v>
      </c>
      <c r="B53" s="464" t="s">
        <v>6603</v>
      </c>
      <c r="C53" s="464" t="s">
        <v>6758</v>
      </c>
      <c r="D53" s="464">
        <v>0</v>
      </c>
      <c r="E53" s="464">
        <v>0</v>
      </c>
      <c r="F53" s="464">
        <v>0</v>
      </c>
    </row>
    <row r="54" spans="1:6">
      <c r="A54" s="464" t="s">
        <v>6550</v>
      </c>
      <c r="B54" s="464" t="s">
        <v>6605</v>
      </c>
      <c r="C54" s="464" t="s">
        <v>6759</v>
      </c>
      <c r="D54" s="464">
        <v>0</v>
      </c>
      <c r="E54" s="464">
        <v>0</v>
      </c>
      <c r="F54" s="464">
        <v>0</v>
      </c>
    </row>
    <row r="55" spans="1:6">
      <c r="A55" s="464" t="s">
        <v>6551</v>
      </c>
      <c r="B55" s="464" t="s">
        <v>6760</v>
      </c>
      <c r="C55" s="464" t="s">
        <v>6761</v>
      </c>
      <c r="D55" s="464">
        <v>0</v>
      </c>
      <c r="E55" s="464">
        <v>0</v>
      </c>
      <c r="F55" s="464">
        <v>0</v>
      </c>
    </row>
    <row r="56" spans="1:6">
      <c r="A56" s="464" t="s">
        <v>6549</v>
      </c>
      <c r="B56" s="464" t="s">
        <v>6606</v>
      </c>
      <c r="C56" s="464" t="s">
        <v>6762</v>
      </c>
      <c r="D56" s="464">
        <v>0</v>
      </c>
      <c r="E56" s="464">
        <v>0</v>
      </c>
      <c r="F56" s="464">
        <v>0</v>
      </c>
    </row>
    <row r="57" spans="1:6">
      <c r="A57" s="464" t="s">
        <v>6763</v>
      </c>
      <c r="B57" s="464" t="s">
        <v>6607</v>
      </c>
      <c r="C57" s="464" t="s">
        <v>6764</v>
      </c>
      <c r="D57" s="464">
        <v>0</v>
      </c>
      <c r="E57" s="464">
        <v>0</v>
      </c>
      <c r="F57" s="464">
        <v>0</v>
      </c>
    </row>
    <row r="58" spans="1:6">
      <c r="A58" s="464" t="s">
        <v>6765</v>
      </c>
      <c r="B58" s="464" t="s">
        <v>6766</v>
      </c>
      <c r="C58" s="464" t="s">
        <v>6767</v>
      </c>
      <c r="D58" s="464">
        <v>0</v>
      </c>
      <c r="E58" s="464">
        <v>0</v>
      </c>
      <c r="F58" s="464">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8">
    <pageSetUpPr fitToPage="1"/>
  </sheetPr>
  <dimension ref="B1:H153"/>
  <sheetViews>
    <sheetView showGridLines="0" view="pageBreakPreview" zoomScaleNormal="80" zoomScaleSheetLayoutView="100" workbookViewId="0"/>
  </sheetViews>
  <sheetFormatPr defaultColWidth="9.85546875" defaultRowHeight="12.75"/>
  <cols>
    <col min="1" max="1" width="9.85546875" style="66"/>
    <col min="2" max="2" width="3" style="66" customWidth="1"/>
    <col min="3" max="4" width="3.5703125" style="66" customWidth="1"/>
    <col min="5" max="5" width="62.140625" style="66" customWidth="1"/>
    <col min="6" max="6" width="14.42578125" style="38" customWidth="1"/>
    <col min="7" max="7" width="14.5703125" style="38" customWidth="1"/>
    <col min="8" max="8" width="12" style="66" customWidth="1"/>
    <col min="9" max="9" width="9.85546875" style="66" customWidth="1"/>
    <col min="10" max="10" width="7.42578125" style="66" customWidth="1"/>
    <col min="11" max="16384" width="9.85546875" style="66"/>
  </cols>
  <sheetData>
    <row r="1" spans="2:8">
      <c r="B1" s="749" t="s">
        <v>3202</v>
      </c>
      <c r="C1" s="749"/>
      <c r="D1" s="749"/>
      <c r="E1" s="749"/>
      <c r="F1" s="749"/>
      <c r="G1" s="749"/>
    </row>
    <row r="2" spans="2:8" ht="42" customHeight="1">
      <c r="B2" s="390"/>
      <c r="C2" s="390"/>
      <c r="D2" s="390"/>
      <c r="E2" s="390"/>
      <c r="F2" s="390"/>
      <c r="G2" s="390"/>
    </row>
    <row r="3" spans="2:8">
      <c r="B3" s="753" t="str">
        <f>nazwa_spolki&amp;", "&amp;siedziba</f>
        <v>Rhenus Digital Workforce Sp. z o.o., Warszawa</v>
      </c>
      <c r="C3" s="753"/>
      <c r="D3" s="753"/>
      <c r="E3" s="753"/>
      <c r="F3" s="753"/>
      <c r="G3" s="753"/>
    </row>
    <row r="4" spans="2:8">
      <c r="B4" s="753" t="str">
        <f>CHOOSE(jezyk,n!A417,n!B417,n!C417,n!D417)</f>
        <v>Rachunek zysków i strat</v>
      </c>
      <c r="C4" s="753"/>
      <c r="D4" s="753"/>
      <c r="E4" s="753"/>
      <c r="F4" s="753"/>
      <c r="G4" s="753"/>
    </row>
    <row r="5" spans="2:8">
      <c r="B5" s="753" t="str">
        <f>CHOOSE(jezyk,n!A418,n!B418,n!C418,n!D418)</f>
        <v>za rok obrotowy od 01.01.2024 do 31.12.2024</v>
      </c>
      <c r="C5" s="753"/>
      <c r="D5" s="753"/>
      <c r="E5" s="753"/>
      <c r="F5" s="753"/>
      <c r="G5" s="753"/>
    </row>
    <row r="6" spans="2:8">
      <c r="B6" s="753" t="str">
        <f>CHOOSE(jezyk,n!A475,n!B475,n!C475,n!D475)</f>
        <v>(wariant kalkulacyjny)</v>
      </c>
      <c r="C6" s="753"/>
      <c r="D6" s="753"/>
      <c r="E6" s="753"/>
      <c r="F6" s="753"/>
      <c r="G6" s="753"/>
      <c r="H6" s="230"/>
    </row>
    <row r="7" spans="2:8">
      <c r="B7" s="321"/>
      <c r="C7" s="322"/>
      <c r="D7" s="322"/>
      <c r="E7" s="322"/>
      <c r="F7" s="323"/>
      <c r="G7" s="323"/>
    </row>
    <row r="8" spans="2:8">
      <c r="C8" s="324"/>
      <c r="D8" s="324"/>
      <c r="E8" s="324"/>
    </row>
    <row r="9" spans="2:8">
      <c r="C9" s="324"/>
      <c r="D9" s="324"/>
      <c r="E9" s="324"/>
      <c r="F9" s="294" t="str">
        <f>CHOOSE(jezyk,n!A287,n!B287,n!C287,n!D287)</f>
        <v>Rok bieżący</v>
      </c>
      <c r="G9" s="108" t="str">
        <f>CHOOSE(jezyk,n!A288,n!B288,n!C288,n!D288)</f>
        <v>Rok poprzedni</v>
      </c>
    </row>
    <row r="10" spans="2:8">
      <c r="B10" s="152"/>
      <c r="C10" s="325"/>
      <c r="D10" s="325"/>
      <c r="E10" s="325"/>
      <c r="F10" s="326" t="s">
        <v>6583</v>
      </c>
      <c r="G10" s="326" t="s">
        <v>6583</v>
      </c>
    </row>
    <row r="11" spans="2:8">
      <c r="C11" s="324"/>
      <c r="D11" s="324"/>
      <c r="E11" s="324"/>
      <c r="F11" s="327"/>
      <c r="G11" s="327"/>
    </row>
    <row r="12" spans="2:8" s="241" customFormat="1">
      <c r="B12" s="111" t="s">
        <v>6584</v>
      </c>
      <c r="C12" s="331" t="str">
        <f>CHOOSE(jezyk,n!A477,n!B477,n!C477,n!D477)</f>
        <v>Przychody netto ze sprzedaży produktów i towarów, w tym:</v>
      </c>
      <c r="D12" s="118"/>
      <c r="F12" s="112">
        <f>SUM(F15:F16)</f>
        <v>0</v>
      </c>
      <c r="G12" s="112">
        <f>SUM(G15:G16)</f>
        <v>0</v>
      </c>
      <c r="H12" s="66"/>
    </row>
    <row r="13" spans="2:8" s="241" customFormat="1">
      <c r="B13" s="111"/>
      <c r="C13" s="118"/>
      <c r="D13" s="118"/>
      <c r="F13" s="327"/>
      <c r="G13" s="327"/>
      <c r="H13" s="66"/>
    </row>
    <row r="14" spans="2:8" s="241" customFormat="1">
      <c r="B14" s="111"/>
      <c r="D14" s="92" t="s">
        <v>6547</v>
      </c>
      <c r="E14" s="38" t="str">
        <f>CHOOSE(jezyk,n!A478,n!B478,n!C478,n!D478)</f>
        <v>od jednostek powiązanych</v>
      </c>
      <c r="F14" s="329"/>
      <c r="G14" s="329"/>
      <c r="H14" s="66"/>
    </row>
    <row r="15" spans="2:8">
      <c r="C15" s="72" t="s">
        <v>6585</v>
      </c>
      <c r="D15" s="92" t="str">
        <f>CHOOSE(jezyk,n!A479,n!B479,n!C479,n!D479)</f>
        <v>Przychody netto ze sprzedaży produktów</v>
      </c>
      <c r="F15" s="329"/>
      <c r="G15" s="329"/>
    </row>
    <row r="16" spans="2:8">
      <c r="C16" s="72" t="s">
        <v>6586</v>
      </c>
      <c r="D16" s="92" t="str">
        <f>CHOOSE(jezyk,n!A480,n!B480,n!C480,n!D480)</f>
        <v>Przychody netto ze sprzedaży towarów</v>
      </c>
      <c r="F16" s="329"/>
      <c r="G16" s="329"/>
    </row>
    <row r="17" spans="2:8">
      <c r="C17" s="72" t="s">
        <v>4368</v>
      </c>
      <c r="D17" s="72"/>
      <c r="E17" s="72"/>
      <c r="F17" s="66"/>
      <c r="G17" s="66"/>
    </row>
    <row r="18" spans="2:8" s="241" customFormat="1">
      <c r="B18" s="111" t="s">
        <v>6597</v>
      </c>
      <c r="C18" s="755" t="str">
        <f>CHOOSE(jezyk,n!A481,n!B481,n!C481,n!D481)</f>
        <v>Koszty sprzedanych produktów i towarów, w tym:</v>
      </c>
      <c r="D18" s="755"/>
      <c r="E18" s="755"/>
      <c r="F18" s="112">
        <f>SUM(F21:F22)</f>
        <v>0</v>
      </c>
      <c r="G18" s="112">
        <f>SUM(G21:G22)</f>
        <v>0</v>
      </c>
      <c r="H18" s="66"/>
    </row>
    <row r="19" spans="2:8" s="241" customFormat="1">
      <c r="B19" s="111"/>
      <c r="C19" s="118"/>
      <c r="D19" s="118"/>
      <c r="F19" s="327"/>
      <c r="G19" s="92"/>
      <c r="H19" s="66"/>
    </row>
    <row r="20" spans="2:8" s="241" customFormat="1">
      <c r="B20" s="111"/>
      <c r="C20" s="118"/>
      <c r="D20" s="92" t="s">
        <v>6547</v>
      </c>
      <c r="E20" s="38" t="str">
        <f>CHOOSE(jezyk,n!A482,n!B482,n!C482,n!D482)</f>
        <v>jednostkom powiązanym</v>
      </c>
      <c r="F20" s="329"/>
      <c r="G20" s="300"/>
      <c r="H20" s="66"/>
    </row>
    <row r="21" spans="2:8">
      <c r="C21" s="72" t="s">
        <v>6585</v>
      </c>
      <c r="D21" s="92" t="str">
        <f>CHOOSE(jezyk,n!A483,n!B483,n!C483,n!D483)</f>
        <v>Koszt wytworzenia sprzedanych produktów</v>
      </c>
      <c r="F21" s="329"/>
      <c r="G21" s="300"/>
    </row>
    <row r="22" spans="2:8">
      <c r="C22" s="72" t="s">
        <v>6586</v>
      </c>
      <c r="D22" s="92" t="str">
        <f>CHOOSE(jezyk,n!A484,n!B484,n!C484,n!D484)</f>
        <v>Wartość sprzedanych towarów</v>
      </c>
      <c r="F22" s="329"/>
      <c r="G22" s="300"/>
    </row>
    <row r="23" spans="2:8">
      <c r="C23" s="72"/>
      <c r="D23" s="72"/>
      <c r="E23" s="72"/>
      <c r="F23" s="327"/>
      <c r="G23" s="92"/>
    </row>
    <row r="24" spans="2:8" s="241" customFormat="1">
      <c r="B24" s="111" t="s">
        <v>6602</v>
      </c>
      <c r="C24" s="118" t="str">
        <f>CHOOSE(jezyk,n!A485,n!B485,n!C485,n!D485)</f>
        <v>Zysk (strata) brutto ze sprzedaży</v>
      </c>
      <c r="D24" s="111"/>
      <c r="F24" s="330">
        <f>F12-F18</f>
        <v>0</v>
      </c>
      <c r="G24" s="330">
        <f>G12-G18</f>
        <v>0</v>
      </c>
    </row>
    <row r="25" spans="2:8">
      <c r="B25" s="72"/>
      <c r="C25" s="72" t="s">
        <v>4368</v>
      </c>
      <c r="D25" s="72"/>
      <c r="F25" s="327"/>
      <c r="G25" s="92"/>
    </row>
    <row r="26" spans="2:8" s="241" customFormat="1">
      <c r="B26" s="111" t="s">
        <v>6603</v>
      </c>
      <c r="C26" s="118" t="str">
        <f>CHOOSE(jezyk,n!A486,n!B486,n!C486,n!D486)</f>
        <v>Koszty sprzedaży</v>
      </c>
      <c r="D26" s="111"/>
      <c r="F26" s="329"/>
      <c r="G26" s="115"/>
      <c r="H26" s="66"/>
    </row>
    <row r="27" spans="2:8" s="241" customFormat="1">
      <c r="B27" s="111"/>
      <c r="C27" s="118"/>
      <c r="D27" s="111"/>
      <c r="F27" s="327"/>
      <c r="G27" s="92"/>
      <c r="H27" s="66"/>
    </row>
    <row r="28" spans="2:8" s="241" customFormat="1">
      <c r="B28" s="111" t="s">
        <v>6605</v>
      </c>
      <c r="C28" s="118" t="str">
        <f>CHOOSE(jezyk,n!A487,n!B487,n!C487,n!D487)</f>
        <v>Koszty ogólnego zarządu</v>
      </c>
      <c r="D28" s="111"/>
      <c r="F28" s="329"/>
      <c r="G28" s="115"/>
      <c r="H28" s="66"/>
    </row>
    <row r="29" spans="2:8" s="241" customFormat="1">
      <c r="B29" s="111"/>
      <c r="C29" s="118"/>
      <c r="D29" s="111"/>
      <c r="F29" s="327"/>
      <c r="G29" s="92"/>
      <c r="H29" s="66"/>
    </row>
    <row r="30" spans="2:8" s="241" customFormat="1">
      <c r="B30" s="111" t="s">
        <v>6606</v>
      </c>
      <c r="C30" s="118" t="str">
        <f>CHOOSE(jezyk,n!A437,n!B437,n!C437,n!D437)</f>
        <v>Zysk (strata) ze sprzedaży</v>
      </c>
      <c r="D30" s="111"/>
      <c r="F30" s="112">
        <f>F24-SUM(F26:F28)</f>
        <v>0</v>
      </c>
      <c r="G30" s="112">
        <f>G24-SUM(G26:G28)</f>
        <v>0</v>
      </c>
    </row>
    <row r="31" spans="2:8" s="241" customFormat="1">
      <c r="B31" s="111"/>
      <c r="C31" s="118"/>
      <c r="D31" s="111"/>
      <c r="F31" s="327"/>
      <c r="G31" s="92"/>
      <c r="H31" s="66"/>
    </row>
    <row r="32" spans="2:8" s="241" customFormat="1">
      <c r="B32" s="111" t="s">
        <v>6607</v>
      </c>
      <c r="C32" s="118" t="str">
        <f>CHOOSE(jezyk,n!A438,n!B438,n!C438,n!D438)</f>
        <v>Pozostałe przychody operacyjne</v>
      </c>
      <c r="D32" s="111"/>
      <c r="F32" s="112">
        <f>SUM(F34:F37)</f>
        <v>0</v>
      </c>
      <c r="G32" s="112">
        <f>SUM(G34:G37)</f>
        <v>0</v>
      </c>
      <c r="H32" s="66"/>
    </row>
    <row r="33" spans="2:8" s="241" customFormat="1">
      <c r="B33" s="111"/>
      <c r="C33" s="118"/>
      <c r="D33" s="111"/>
      <c r="F33" s="327"/>
      <c r="G33" s="92"/>
      <c r="H33" s="66"/>
    </row>
    <row r="34" spans="2:8">
      <c r="C34" s="72" t="s">
        <v>6585</v>
      </c>
      <c r="D34" s="92" t="str">
        <f>CHOOSE(jezyk,n!A439,n!B439,n!C439,n!D439)</f>
        <v>Zysk z tytułu rozchodu niefinansowych aktywów trwałych</v>
      </c>
      <c r="E34" s="72"/>
      <c r="F34" s="329"/>
      <c r="G34" s="300"/>
    </row>
    <row r="35" spans="2:8">
      <c r="C35" s="72" t="s">
        <v>6586</v>
      </c>
      <c r="D35" s="92" t="str">
        <f>CHOOSE(jezyk,n!A440,n!B440,n!C440,n!D440)</f>
        <v>Dotacje</v>
      </c>
      <c r="E35" s="72"/>
      <c r="F35" s="329"/>
      <c r="G35" s="300"/>
    </row>
    <row r="36" spans="2:8">
      <c r="C36" s="72" t="s">
        <v>6587</v>
      </c>
      <c r="D36" s="92" t="str">
        <f>CHOOSE(jezyk,n!A441,n!B441,n!C441,n!D441)</f>
        <v>Aktualizacja wartości aktywów niefinansowych</v>
      </c>
      <c r="E36" s="72"/>
      <c r="F36" s="329"/>
      <c r="G36" s="300"/>
    </row>
    <row r="37" spans="2:8">
      <c r="C37" s="72" t="s">
        <v>6588</v>
      </c>
      <c r="D37" s="92" t="str">
        <f>CHOOSE(jezyk,n!A442,n!B442,n!C442,n!D442)</f>
        <v>Inne przychody operacyjne</v>
      </c>
      <c r="E37" s="72"/>
      <c r="F37" s="329"/>
      <c r="G37" s="300"/>
    </row>
    <row r="38" spans="2:8">
      <c r="C38" s="72" t="s">
        <v>4368</v>
      </c>
      <c r="D38" s="72"/>
      <c r="E38" s="72"/>
      <c r="F38" s="66"/>
      <c r="G38" s="66"/>
    </row>
    <row r="39" spans="2:8" s="241" customFormat="1">
      <c r="B39" s="111" t="s">
        <v>6608</v>
      </c>
      <c r="C39" s="118" t="str">
        <f>CHOOSE(jezyk,n!A443,n!B443,n!C443,n!D443)</f>
        <v>Pozostałe koszty operacyjne</v>
      </c>
      <c r="D39" s="111"/>
      <c r="F39" s="112">
        <f>SUM(F41:F43)</f>
        <v>0</v>
      </c>
      <c r="G39" s="112">
        <f>SUM(G41:G43)</f>
        <v>0</v>
      </c>
      <c r="H39" s="66"/>
    </row>
    <row r="40" spans="2:8" s="241" customFormat="1">
      <c r="B40" s="111"/>
      <c r="C40" s="118"/>
      <c r="D40" s="111"/>
      <c r="F40" s="327"/>
      <c r="G40" s="92"/>
      <c r="H40" s="66"/>
    </row>
    <row r="41" spans="2:8">
      <c r="C41" s="72" t="s">
        <v>6585</v>
      </c>
      <c r="D41" s="92" t="str">
        <f>CHOOSE(jezyk,n!A444,n!B444,n!C444,n!D444)</f>
        <v>Strata z tytułu rozchodu niefinansowych aktywów trwałych</v>
      </c>
      <c r="F41" s="329"/>
      <c r="G41" s="300"/>
    </row>
    <row r="42" spans="2:8">
      <c r="C42" s="72" t="s">
        <v>6586</v>
      </c>
      <c r="D42" s="92" t="str">
        <f>CHOOSE(jezyk,n!A445,n!B445,n!C445,n!D445)</f>
        <v>Aktualizacja wartości aktywów niefinansowych</v>
      </c>
      <c r="F42" s="329"/>
      <c r="G42" s="300"/>
    </row>
    <row r="43" spans="2:8">
      <c r="C43" s="72" t="s">
        <v>6587</v>
      </c>
      <c r="D43" s="92" t="str">
        <f>CHOOSE(jezyk,n!A446,n!B446,n!C446,n!D446)</f>
        <v>Inne koszty operacyjne</v>
      </c>
      <c r="E43" s="72"/>
      <c r="F43" s="329"/>
      <c r="G43" s="300"/>
    </row>
    <row r="44" spans="2:8">
      <c r="C44" s="72"/>
      <c r="D44" s="72"/>
      <c r="E44" s="111"/>
      <c r="F44" s="327"/>
      <c r="G44" s="92"/>
    </row>
    <row r="45" spans="2:8" s="241" customFormat="1">
      <c r="B45" s="241" t="s">
        <v>6585</v>
      </c>
      <c r="C45" s="118" t="str">
        <f>CHOOSE(jezyk,n!A447,n!B447,n!C447,n!D447)</f>
        <v>Zysk (strata) z działalności operacyjnej</v>
      </c>
      <c r="D45" s="111"/>
      <c r="E45" s="111"/>
      <c r="F45" s="330">
        <f>F30+F32-F39</f>
        <v>0</v>
      </c>
      <c r="G45" s="330">
        <f>G30+G32-G39</f>
        <v>0</v>
      </c>
    </row>
    <row r="46" spans="2:8">
      <c r="C46" s="72" t="s">
        <v>4368</v>
      </c>
      <c r="D46" s="72"/>
      <c r="E46" s="72"/>
      <c r="F46" s="327"/>
      <c r="G46" s="92"/>
    </row>
    <row r="47" spans="2:8" s="241" customFormat="1">
      <c r="B47" s="111" t="s">
        <v>6609</v>
      </c>
      <c r="C47" s="118" t="str">
        <f>CHOOSE(jezyk,n!A448,n!B448,n!C448,n!D448)</f>
        <v>Przychody finansowe</v>
      </c>
      <c r="D47" s="111"/>
      <c r="F47" s="299">
        <f>SUM(F49,F54,F56,F58,F59)</f>
        <v>0</v>
      </c>
      <c r="G47" s="299">
        <f>SUM(G49,G54,G56,G58,G59)</f>
        <v>0</v>
      </c>
      <c r="H47" s="66"/>
    </row>
    <row r="48" spans="2:8" s="241" customFormat="1">
      <c r="B48" s="111"/>
      <c r="C48" s="118"/>
      <c r="D48" s="111"/>
      <c r="F48" s="327"/>
      <c r="G48" s="304"/>
      <c r="H48" s="66"/>
    </row>
    <row r="49" spans="2:8">
      <c r="C49" s="72" t="s">
        <v>6585</v>
      </c>
      <c r="D49" s="92" t="str">
        <f>CHOOSE(jezyk,n!A449,n!B449,n!C449,n!D449)</f>
        <v>Dywidendy i udziały w zyskach, w tym:</v>
      </c>
      <c r="E49" s="72"/>
      <c r="F49" s="299">
        <f>F50+F52</f>
        <v>0</v>
      </c>
      <c r="G49" s="299">
        <f>G50+G52</f>
        <v>0</v>
      </c>
    </row>
    <row r="50" spans="2:8">
      <c r="C50" s="72"/>
      <c r="D50" s="72" t="s">
        <v>6591</v>
      </c>
      <c r="E50" s="92" t="str">
        <f>CHOOSE(jezyk,n!A450,n!B450,n!C450,n!D450)</f>
        <v>od jednostek powiązanych, w tym:</v>
      </c>
      <c r="F50" s="329"/>
      <c r="G50" s="300"/>
    </row>
    <row r="51" spans="2:8">
      <c r="C51" s="72"/>
      <c r="D51" s="72" t="s">
        <v>6547</v>
      </c>
      <c r="E51" s="92" t="str">
        <f>CHOOSE(jezyk,n!A451,n!B451,n!C451,n!D451)</f>
        <v>w których jednostka posiada zaangażowanie w kapitale</v>
      </c>
      <c r="F51" s="329"/>
      <c r="G51" s="300"/>
    </row>
    <row r="52" spans="2:8">
      <c r="C52" s="72"/>
      <c r="D52" s="72" t="s">
        <v>6593</v>
      </c>
      <c r="E52" s="92" t="str">
        <f>CHOOSE(jezyk,n!A452,n!B452,n!C452,n!D452)</f>
        <v>od jednostek pozostałych, w tym:</v>
      </c>
      <c r="F52" s="329"/>
      <c r="G52" s="300"/>
    </row>
    <row r="53" spans="2:8">
      <c r="C53" s="72"/>
      <c r="D53" s="72" t="s">
        <v>6547</v>
      </c>
      <c r="E53" s="92" t="str">
        <f>E51</f>
        <v>w których jednostka posiada zaangażowanie w kapitale</v>
      </c>
      <c r="F53" s="329"/>
      <c r="G53" s="300"/>
    </row>
    <row r="54" spans="2:8">
      <c r="C54" s="72" t="s">
        <v>6586</v>
      </c>
      <c r="D54" s="92" t="str">
        <f>CHOOSE(jezyk,n!A453,n!B453,n!C453,n!D453)</f>
        <v>Odsetki, w tym:</v>
      </c>
      <c r="E54" s="72"/>
      <c r="F54" s="329"/>
      <c r="G54" s="300"/>
    </row>
    <row r="55" spans="2:8">
      <c r="C55" s="72"/>
      <c r="D55" s="72" t="s">
        <v>6547</v>
      </c>
      <c r="E55" s="92" t="str">
        <f>CHOOSE(jezyk,n!A478,n!B478,n!C478,n!D478)</f>
        <v>od jednostek powiązanych</v>
      </c>
      <c r="F55" s="329"/>
      <c r="G55" s="300"/>
    </row>
    <row r="56" spans="2:8">
      <c r="C56" s="72" t="s">
        <v>6587</v>
      </c>
      <c r="D56" s="92" t="str">
        <f>CHOOSE(jezyk,n!A454,n!B454,n!C454,n!D454)</f>
        <v>Zysk z tytułu rozchodu aktywów finansowych, w tym:</v>
      </c>
      <c r="E56" s="72"/>
      <c r="F56" s="329"/>
      <c r="G56" s="300"/>
    </row>
    <row r="57" spans="2:8">
      <c r="C57" s="72"/>
      <c r="D57" s="72" t="s">
        <v>6547</v>
      </c>
      <c r="E57" s="92" t="str">
        <f>CHOOSE(jezyk,n!A455,n!B455,n!C455,n!D455)</f>
        <v>w jednostkach powiązanych</v>
      </c>
      <c r="F57" s="329"/>
      <c r="G57" s="300"/>
    </row>
    <row r="58" spans="2:8">
      <c r="C58" s="72" t="s">
        <v>6588</v>
      </c>
      <c r="D58" s="92" t="str">
        <f>CHOOSE(jezyk,n!A456,n!B456,n!C456,n!D456)</f>
        <v>Aktualizacja wartości aktywów finansowych</v>
      </c>
      <c r="E58" s="72"/>
      <c r="F58" s="329"/>
      <c r="G58" s="300"/>
    </row>
    <row r="59" spans="2:8">
      <c r="C59" s="66" t="s">
        <v>6589</v>
      </c>
      <c r="D59" s="92" t="str">
        <f>CHOOSE(jezyk,n!A457,n!B457,n!C457,n!D457)</f>
        <v>Inne</v>
      </c>
      <c r="E59" s="72"/>
      <c r="F59" s="329"/>
      <c r="G59" s="300"/>
    </row>
    <row r="60" spans="2:8">
      <c r="C60" s="111" t="s">
        <v>4368</v>
      </c>
      <c r="D60" s="111"/>
      <c r="E60" s="72"/>
      <c r="F60" s="327"/>
      <c r="G60" s="92"/>
    </row>
    <row r="61" spans="2:8" s="241" customFormat="1">
      <c r="B61" s="111" t="s">
        <v>6610</v>
      </c>
      <c r="C61" s="118" t="str">
        <f>CHOOSE(jezyk,n!A458,n!B458,n!C458,n!D458)</f>
        <v>Koszty finansowe</v>
      </c>
      <c r="D61" s="111"/>
      <c r="F61" s="112">
        <f>SUM(F63,F65,F67,F68)</f>
        <v>0</v>
      </c>
      <c r="G61" s="112">
        <f>SUM(G63,G65,G67,G68)</f>
        <v>0</v>
      </c>
      <c r="H61" s="66"/>
    </row>
    <row r="62" spans="2:8" s="241" customFormat="1">
      <c r="B62" s="111"/>
      <c r="C62" s="118"/>
      <c r="D62" s="111"/>
      <c r="F62" s="327"/>
      <c r="G62" s="92"/>
      <c r="H62" s="66"/>
    </row>
    <row r="63" spans="2:8">
      <c r="C63" s="72" t="s">
        <v>6585</v>
      </c>
      <c r="D63" s="92" t="str">
        <f>CHOOSE(jezyk,n!A459,n!B459,n!C459,n!D459)</f>
        <v>Odsetki, w tym:</v>
      </c>
      <c r="F63" s="329"/>
      <c r="G63" s="300"/>
    </row>
    <row r="64" spans="2:8">
      <c r="D64" s="66" t="s">
        <v>6547</v>
      </c>
      <c r="E64" s="92" t="str">
        <f>CHOOSE(jezyk,n!A460,n!B460,n!C460,n!D460)</f>
        <v>dla jednostek powiązanych</v>
      </c>
      <c r="F64" s="329"/>
      <c r="G64" s="300"/>
    </row>
    <row r="65" spans="2:8">
      <c r="C65" s="72" t="s">
        <v>6586</v>
      </c>
      <c r="D65" s="92" t="str">
        <f>CHOOSE(jezyk,n!A461,n!B461,n!C461,n!D461)</f>
        <v>Strata z tytułu rozchodu aktywów finansowych, w tym:</v>
      </c>
      <c r="E65" s="72"/>
      <c r="F65" s="329"/>
      <c r="G65" s="300"/>
    </row>
    <row r="66" spans="2:8">
      <c r="C66" s="72"/>
      <c r="D66" s="72" t="s">
        <v>6547</v>
      </c>
      <c r="E66" s="92" t="str">
        <f>E57</f>
        <v>w jednostkach powiązanych</v>
      </c>
      <c r="F66" s="329"/>
      <c r="G66" s="300"/>
    </row>
    <row r="67" spans="2:8">
      <c r="C67" s="72" t="s">
        <v>6587</v>
      </c>
      <c r="D67" s="92" t="str">
        <f>CHOOSE(jezyk,n!A462,n!B462,n!C462,n!D462)</f>
        <v>Aktualizacja wartości aktywów finansowych</v>
      </c>
      <c r="E67" s="72"/>
      <c r="F67" s="329"/>
      <c r="G67" s="300"/>
    </row>
    <row r="68" spans="2:8">
      <c r="C68" s="72" t="s">
        <v>6588</v>
      </c>
      <c r="D68" s="92" t="str">
        <f>CHOOSE(jezyk,n!A463,n!B463,n!C463,n!D463)</f>
        <v>Inne</v>
      </c>
      <c r="E68" s="72"/>
      <c r="F68" s="329"/>
      <c r="G68" s="300"/>
    </row>
    <row r="69" spans="2:8">
      <c r="C69" s="111"/>
      <c r="D69" s="111"/>
      <c r="E69" s="72"/>
      <c r="F69" s="327"/>
      <c r="G69" s="92"/>
    </row>
    <row r="70" spans="2:8" s="241" customFormat="1">
      <c r="B70" s="111" t="s">
        <v>6611</v>
      </c>
      <c r="C70" s="118" t="str">
        <f>CHOOSE(jezyk,n!A464,n!B464,n!C464,n!D464)</f>
        <v>Zysk (strata) brutto</v>
      </c>
      <c r="D70" s="111"/>
      <c r="F70" s="330">
        <f>F45+F47-F61</f>
        <v>0</v>
      </c>
      <c r="G70" s="330">
        <f>G45+G47-G61</f>
        <v>0</v>
      </c>
    </row>
    <row r="71" spans="2:8">
      <c r="B71" s="72"/>
      <c r="C71" s="111" t="s">
        <v>4368</v>
      </c>
      <c r="D71" s="111"/>
      <c r="F71" s="327"/>
      <c r="G71" s="92"/>
    </row>
    <row r="72" spans="2:8" s="241" customFormat="1">
      <c r="B72" s="111" t="s">
        <v>6768</v>
      </c>
      <c r="C72" s="118" t="str">
        <f>CHOOSE(jezyk,n!A469,n!B469,n!C469,n!D469)</f>
        <v>Podatek dochodowy</v>
      </c>
      <c r="D72" s="111"/>
      <c r="F72" s="115"/>
      <c r="G72" s="115"/>
      <c r="H72" s="213">
        <f>F72-'nota 2'!K204</f>
        <v>-87056</v>
      </c>
    </row>
    <row r="73" spans="2:8">
      <c r="D73" s="72"/>
      <c r="E73" s="72"/>
      <c r="F73" s="327"/>
    </row>
    <row r="74" spans="2:8">
      <c r="B74" s="241" t="s">
        <v>6769</v>
      </c>
      <c r="C74" s="118" t="str">
        <f>CHOOSE(jezyk,n!A470,n!B470,n!C470,n!D470)</f>
        <v>Pozostałe obowiązkowe zmniejszenia zysku (zwiększenia straty)</v>
      </c>
      <c r="D74" s="72"/>
      <c r="E74" s="72"/>
      <c r="F74" s="329"/>
      <c r="G74" s="115"/>
    </row>
    <row r="75" spans="2:8">
      <c r="B75" s="248"/>
      <c r="C75" s="125" t="s">
        <v>4368</v>
      </c>
      <c r="D75" s="125"/>
      <c r="E75" s="248"/>
      <c r="F75" s="248"/>
      <c r="G75" s="126"/>
    </row>
    <row r="76" spans="2:8">
      <c r="C76" s="111" t="s">
        <v>4368</v>
      </c>
      <c r="D76" s="111"/>
      <c r="G76" s="92"/>
    </row>
    <row r="77" spans="2:8" s="241" customFormat="1">
      <c r="B77" s="180" t="s">
        <v>6770</v>
      </c>
      <c r="C77" s="118" t="str">
        <f>CHOOSE(jezyk,n!A471,n!B471,n!C471,n!D471)</f>
        <v>Zysk (strata) netto</v>
      </c>
      <c r="D77" s="111"/>
      <c r="E77" s="180"/>
      <c r="F77" s="298">
        <f>F70-SUM(F72,F74)</f>
        <v>0</v>
      </c>
      <c r="G77" s="298">
        <f>G70-SUM(G72,G74)</f>
        <v>0</v>
      </c>
      <c r="H77" s="230"/>
    </row>
    <row r="78" spans="2:8" ht="13.5" thickBot="1">
      <c r="B78" s="1192"/>
      <c r="C78" s="1192"/>
      <c r="D78" s="1192"/>
      <c r="E78" s="1192"/>
      <c r="F78" s="1193"/>
      <c r="G78" s="1193"/>
    </row>
    <row r="80" spans="2:8">
      <c r="B80" s="66" t="str">
        <f>siedziba&amp;", "&amp;GA!D53</f>
        <v>Warszawa, 30.01.2025</v>
      </c>
      <c r="F80" s="327"/>
    </row>
    <row r="81" spans="3:7">
      <c r="E81" s="251" t="str">
        <f>CHOOSE(jezyk,n!A412,n!B412,n!C412,n!D412)</f>
        <v>Osoba sporządzająca:</v>
      </c>
      <c r="F81" s="754" t="str">
        <f>CHOOSE(jezyk,n!A413,n!B413,n!C413,n!D413)</f>
        <v>Zarząd:</v>
      </c>
      <c r="G81" s="754"/>
    </row>
    <row r="82" spans="3:7">
      <c r="C82" s="324"/>
      <c r="D82" s="324"/>
      <c r="E82" s="324"/>
      <c r="F82" s="294"/>
      <c r="G82" s="294"/>
    </row>
    <row r="83" spans="3:7">
      <c r="C83" s="324"/>
      <c r="D83" s="324"/>
      <c r="E83" s="324" t="s">
        <v>113</v>
      </c>
      <c r="F83" s="213">
        <f>F77-Bilans!S21</f>
        <v>0</v>
      </c>
      <c r="G83" s="213">
        <f>G77-Bilans!T21</f>
        <v>0</v>
      </c>
    </row>
    <row r="84" spans="3:7">
      <c r="C84" s="324"/>
      <c r="D84" s="324"/>
      <c r="E84" s="324"/>
      <c r="F84" s="294"/>
      <c r="G84" s="294"/>
    </row>
    <row r="85" spans="3:7">
      <c r="C85" s="324"/>
      <c r="D85" s="324"/>
      <c r="E85" s="324"/>
      <c r="F85" s="294"/>
      <c r="G85" s="294"/>
    </row>
    <row r="86" spans="3:7">
      <c r="C86" s="324"/>
      <c r="D86" s="324"/>
      <c r="E86" s="324"/>
      <c r="F86" s="294"/>
      <c r="G86" s="294"/>
    </row>
    <row r="87" spans="3:7">
      <c r="C87" s="324"/>
      <c r="D87" s="324"/>
      <c r="E87" s="324"/>
      <c r="F87" s="294"/>
      <c r="G87" s="294"/>
    </row>
    <row r="88" spans="3:7">
      <c r="C88" s="324"/>
      <c r="D88" s="324"/>
      <c r="E88" s="324"/>
      <c r="F88" s="294"/>
      <c r="G88" s="294"/>
    </row>
    <row r="89" spans="3:7">
      <c r="C89" s="324"/>
      <c r="D89" s="324"/>
      <c r="E89" s="324"/>
      <c r="F89" s="294"/>
      <c r="G89" s="294"/>
    </row>
    <row r="90" spans="3:7">
      <c r="C90" s="324"/>
      <c r="D90" s="324"/>
      <c r="E90" s="324"/>
      <c r="F90" s="294"/>
      <c r="G90" s="294"/>
    </row>
    <row r="91" spans="3:7">
      <c r="C91" s="324"/>
      <c r="D91" s="324"/>
      <c r="E91" s="324"/>
      <c r="F91" s="294"/>
      <c r="G91" s="294"/>
    </row>
    <row r="92" spans="3:7">
      <c r="C92" s="324"/>
      <c r="D92" s="324"/>
      <c r="E92" s="324"/>
      <c r="F92" s="294"/>
      <c r="G92" s="294"/>
    </row>
    <row r="93" spans="3:7">
      <c r="C93" s="324"/>
      <c r="D93" s="324"/>
      <c r="E93" s="324"/>
      <c r="F93" s="294"/>
      <c r="G93" s="294"/>
    </row>
    <row r="94" spans="3:7">
      <c r="C94" s="324"/>
      <c r="D94" s="324"/>
      <c r="E94" s="324"/>
      <c r="F94" s="294"/>
      <c r="G94" s="294"/>
    </row>
    <row r="95" spans="3:7">
      <c r="C95" s="324"/>
      <c r="D95" s="324"/>
      <c r="E95" s="324"/>
      <c r="F95" s="294"/>
      <c r="G95" s="294"/>
    </row>
    <row r="96" spans="3:7">
      <c r="C96" s="324"/>
      <c r="D96" s="324"/>
      <c r="E96" s="324"/>
      <c r="F96" s="294"/>
      <c r="G96" s="294"/>
    </row>
    <row r="97" spans="3:7">
      <c r="C97" s="324"/>
      <c r="D97" s="324"/>
      <c r="E97" s="324"/>
      <c r="F97" s="294"/>
      <c r="G97" s="294"/>
    </row>
    <row r="98" spans="3:7">
      <c r="C98" s="324"/>
      <c r="D98" s="324"/>
      <c r="E98" s="324"/>
      <c r="F98" s="294"/>
      <c r="G98" s="294"/>
    </row>
    <row r="99" spans="3:7">
      <c r="C99" s="324"/>
      <c r="D99" s="324"/>
      <c r="E99" s="324"/>
      <c r="F99" s="294"/>
      <c r="G99" s="294"/>
    </row>
    <row r="100" spans="3:7">
      <c r="C100" s="324"/>
      <c r="D100" s="324"/>
      <c r="E100" s="324"/>
      <c r="F100" s="294"/>
      <c r="G100" s="294"/>
    </row>
    <row r="101" spans="3:7">
      <c r="C101" s="324"/>
      <c r="D101" s="324"/>
      <c r="E101" s="324"/>
      <c r="F101" s="294"/>
      <c r="G101" s="294"/>
    </row>
    <row r="102" spans="3:7">
      <c r="C102" s="324"/>
      <c r="D102" s="324"/>
      <c r="E102" s="324"/>
      <c r="F102" s="294"/>
      <c r="G102" s="294"/>
    </row>
    <row r="103" spans="3:7">
      <c r="C103" s="324"/>
      <c r="D103" s="324"/>
      <c r="E103" s="324"/>
      <c r="F103" s="294"/>
      <c r="G103" s="294"/>
    </row>
    <row r="104" spans="3:7">
      <c r="C104" s="324"/>
      <c r="D104" s="324"/>
      <c r="E104" s="324"/>
      <c r="F104" s="294"/>
      <c r="G104" s="294"/>
    </row>
    <row r="105" spans="3:7">
      <c r="C105" s="324"/>
      <c r="D105" s="324"/>
      <c r="E105" s="324"/>
      <c r="F105" s="294"/>
      <c r="G105" s="294"/>
    </row>
    <row r="106" spans="3:7">
      <c r="C106" s="324"/>
      <c r="D106" s="324"/>
      <c r="E106" s="324"/>
      <c r="F106" s="294"/>
      <c r="G106" s="294"/>
    </row>
    <row r="107" spans="3:7">
      <c r="C107" s="324"/>
      <c r="D107" s="324"/>
      <c r="E107" s="324"/>
      <c r="F107" s="294"/>
      <c r="G107" s="294"/>
    </row>
    <row r="108" spans="3:7">
      <c r="C108" s="324"/>
      <c r="D108" s="324"/>
      <c r="E108" s="324"/>
      <c r="F108" s="294"/>
      <c r="G108" s="294"/>
    </row>
    <row r="109" spans="3:7">
      <c r="C109" s="324"/>
      <c r="D109" s="324"/>
      <c r="E109" s="324"/>
      <c r="F109" s="294"/>
      <c r="G109" s="294"/>
    </row>
    <row r="110" spans="3:7">
      <c r="C110" s="324"/>
      <c r="D110" s="324"/>
      <c r="E110" s="324"/>
      <c r="F110" s="294"/>
      <c r="G110" s="294"/>
    </row>
    <row r="111" spans="3:7">
      <c r="C111" s="324"/>
      <c r="D111" s="324"/>
      <c r="E111" s="324"/>
      <c r="F111" s="294"/>
      <c r="G111" s="294"/>
    </row>
    <row r="112" spans="3:7">
      <c r="C112" s="324"/>
      <c r="D112" s="324"/>
      <c r="E112" s="324"/>
      <c r="F112" s="294"/>
      <c r="G112" s="294"/>
    </row>
    <row r="113" spans="3:7">
      <c r="C113" s="324"/>
      <c r="D113" s="324"/>
      <c r="E113" s="324"/>
      <c r="F113" s="294"/>
      <c r="G113" s="294"/>
    </row>
    <row r="114" spans="3:7">
      <c r="C114" s="324"/>
      <c r="D114" s="324"/>
      <c r="E114" s="324"/>
      <c r="F114" s="294"/>
      <c r="G114" s="294"/>
    </row>
    <row r="115" spans="3:7">
      <c r="C115" s="324"/>
      <c r="D115" s="324"/>
      <c r="E115" s="324"/>
      <c r="F115" s="294"/>
      <c r="G115" s="294"/>
    </row>
    <row r="116" spans="3:7">
      <c r="C116" s="324"/>
      <c r="D116" s="324"/>
      <c r="E116" s="324"/>
      <c r="F116" s="294"/>
      <c r="G116" s="294"/>
    </row>
    <row r="117" spans="3:7">
      <c r="C117" s="324"/>
      <c r="D117" s="324"/>
      <c r="E117" s="324"/>
      <c r="F117" s="294"/>
      <c r="G117" s="294"/>
    </row>
    <row r="118" spans="3:7">
      <c r="C118" s="324"/>
      <c r="D118" s="324"/>
      <c r="E118" s="324"/>
      <c r="F118" s="294"/>
      <c r="G118" s="294"/>
    </row>
    <row r="119" spans="3:7">
      <c r="C119" s="324"/>
      <c r="D119" s="324"/>
      <c r="E119" s="324"/>
      <c r="F119" s="294"/>
      <c r="G119" s="294"/>
    </row>
    <row r="120" spans="3:7">
      <c r="C120" s="324"/>
      <c r="D120" s="324"/>
      <c r="E120" s="324"/>
      <c r="F120" s="294"/>
      <c r="G120" s="294"/>
    </row>
    <row r="121" spans="3:7">
      <c r="C121" s="324"/>
      <c r="D121" s="324"/>
      <c r="E121" s="324"/>
      <c r="F121" s="294"/>
      <c r="G121" s="294"/>
    </row>
    <row r="122" spans="3:7">
      <c r="C122" s="324"/>
      <c r="D122" s="324"/>
      <c r="E122" s="324"/>
      <c r="F122" s="294"/>
      <c r="G122" s="294"/>
    </row>
    <row r="123" spans="3:7">
      <c r="C123" s="324"/>
      <c r="D123" s="324"/>
      <c r="E123" s="324"/>
      <c r="F123" s="294"/>
      <c r="G123" s="294"/>
    </row>
    <row r="124" spans="3:7">
      <c r="C124" s="324"/>
      <c r="D124" s="324"/>
      <c r="E124" s="324"/>
      <c r="F124" s="294"/>
      <c r="G124" s="294"/>
    </row>
    <row r="125" spans="3:7">
      <c r="C125" s="324"/>
      <c r="D125" s="324"/>
      <c r="E125" s="324"/>
      <c r="F125" s="294"/>
      <c r="G125" s="294"/>
    </row>
    <row r="126" spans="3:7">
      <c r="C126" s="324"/>
      <c r="D126" s="324"/>
      <c r="E126" s="324"/>
      <c r="F126" s="294"/>
      <c r="G126" s="294"/>
    </row>
    <row r="127" spans="3:7">
      <c r="C127" s="324"/>
      <c r="D127" s="324"/>
      <c r="E127" s="324"/>
      <c r="F127" s="294"/>
      <c r="G127" s="294"/>
    </row>
    <row r="128" spans="3:7">
      <c r="C128" s="324"/>
      <c r="D128" s="324"/>
      <c r="E128" s="324"/>
      <c r="F128" s="294"/>
      <c r="G128" s="294"/>
    </row>
    <row r="129" spans="3:7">
      <c r="C129" s="324"/>
      <c r="D129" s="324"/>
      <c r="E129" s="324"/>
      <c r="F129" s="294"/>
      <c r="G129" s="294"/>
    </row>
    <row r="130" spans="3:7">
      <c r="C130" s="324"/>
      <c r="D130" s="324"/>
      <c r="E130" s="324"/>
      <c r="F130" s="294"/>
      <c r="G130" s="294"/>
    </row>
    <row r="131" spans="3:7">
      <c r="C131" s="324"/>
      <c r="D131" s="324"/>
      <c r="E131" s="324"/>
      <c r="F131" s="294"/>
      <c r="G131" s="294"/>
    </row>
    <row r="132" spans="3:7">
      <c r="C132" s="324"/>
      <c r="D132" s="324"/>
      <c r="E132" s="324"/>
      <c r="F132" s="294"/>
      <c r="G132" s="294"/>
    </row>
    <row r="133" spans="3:7">
      <c r="C133" s="324"/>
      <c r="D133" s="324"/>
      <c r="E133" s="324"/>
      <c r="F133" s="294"/>
      <c r="G133" s="294"/>
    </row>
    <row r="134" spans="3:7">
      <c r="C134" s="324"/>
      <c r="D134" s="324"/>
      <c r="E134" s="324"/>
      <c r="F134" s="294"/>
      <c r="G134" s="294"/>
    </row>
    <row r="135" spans="3:7">
      <c r="C135" s="324"/>
      <c r="D135" s="324"/>
      <c r="E135" s="324"/>
      <c r="F135" s="294"/>
      <c r="G135" s="294"/>
    </row>
    <row r="136" spans="3:7">
      <c r="C136" s="324"/>
      <c r="D136" s="324"/>
      <c r="E136" s="324"/>
      <c r="F136" s="294"/>
      <c r="G136" s="294"/>
    </row>
    <row r="137" spans="3:7">
      <c r="C137" s="324"/>
      <c r="D137" s="324"/>
      <c r="E137" s="324"/>
      <c r="F137" s="294"/>
      <c r="G137" s="294"/>
    </row>
    <row r="138" spans="3:7">
      <c r="C138" s="324"/>
      <c r="D138" s="324"/>
      <c r="E138" s="324"/>
      <c r="F138" s="294"/>
      <c r="G138" s="294"/>
    </row>
    <row r="139" spans="3:7">
      <c r="C139" s="324"/>
      <c r="D139" s="324"/>
      <c r="E139" s="324"/>
      <c r="F139" s="294"/>
      <c r="G139" s="294"/>
    </row>
    <row r="140" spans="3:7">
      <c r="C140" s="324"/>
      <c r="D140" s="324"/>
      <c r="E140" s="324"/>
      <c r="F140" s="294"/>
      <c r="G140" s="294"/>
    </row>
    <row r="141" spans="3:7">
      <c r="C141" s="324"/>
      <c r="D141" s="324"/>
      <c r="E141" s="324"/>
      <c r="F141" s="294"/>
      <c r="G141" s="294"/>
    </row>
    <row r="142" spans="3:7">
      <c r="C142" s="324"/>
      <c r="D142" s="324"/>
      <c r="E142" s="324"/>
      <c r="F142" s="294"/>
      <c r="G142" s="294"/>
    </row>
    <row r="143" spans="3:7">
      <c r="C143" s="324"/>
      <c r="D143" s="324"/>
      <c r="E143" s="324"/>
      <c r="F143" s="294"/>
      <c r="G143" s="294"/>
    </row>
    <row r="144" spans="3:7">
      <c r="C144" s="324"/>
      <c r="D144" s="324"/>
      <c r="E144" s="324"/>
      <c r="F144" s="294"/>
      <c r="G144" s="294"/>
    </row>
    <row r="145" spans="3:7">
      <c r="C145" s="324"/>
      <c r="D145" s="324"/>
      <c r="E145" s="324"/>
      <c r="F145" s="294"/>
      <c r="G145" s="294"/>
    </row>
    <row r="146" spans="3:7">
      <c r="C146" s="324"/>
      <c r="D146" s="324"/>
      <c r="E146" s="324"/>
      <c r="F146" s="294"/>
      <c r="G146" s="294"/>
    </row>
    <row r="147" spans="3:7">
      <c r="C147" s="324"/>
      <c r="D147" s="324"/>
      <c r="E147" s="324"/>
      <c r="F147" s="294"/>
      <c r="G147" s="294"/>
    </row>
    <row r="148" spans="3:7">
      <c r="C148" s="324"/>
      <c r="D148" s="324"/>
      <c r="E148" s="324"/>
      <c r="F148" s="294"/>
      <c r="G148" s="294"/>
    </row>
    <row r="149" spans="3:7">
      <c r="C149" s="324"/>
      <c r="D149" s="324"/>
      <c r="E149" s="324"/>
      <c r="F149" s="294"/>
      <c r="G149" s="294"/>
    </row>
    <row r="150" spans="3:7">
      <c r="C150" s="324"/>
      <c r="D150" s="324"/>
      <c r="E150" s="324"/>
      <c r="F150" s="294"/>
      <c r="G150" s="294"/>
    </row>
    <row r="151" spans="3:7">
      <c r="C151" s="324"/>
      <c r="D151" s="324"/>
      <c r="E151" s="324"/>
      <c r="F151" s="294"/>
      <c r="G151" s="294"/>
    </row>
    <row r="152" spans="3:7">
      <c r="C152" s="324"/>
      <c r="D152" s="324"/>
      <c r="E152" s="324"/>
      <c r="F152" s="294"/>
      <c r="G152" s="294"/>
    </row>
    <row r="153" spans="3:7">
      <c r="C153" s="324"/>
      <c r="D153" s="324"/>
      <c r="E153" s="324"/>
      <c r="F153" s="294"/>
      <c r="G153" s="294"/>
    </row>
  </sheetData>
  <sheetProtection formatCells="0" formatColumns="0" formatRows="0" insertRows="0" insertHyperlinks="0" sort="0" autoFilter="0" pivotTables="0"/>
  <mergeCells count="7">
    <mergeCell ref="F81:G81"/>
    <mergeCell ref="B6:G6"/>
    <mergeCell ref="B1:G1"/>
    <mergeCell ref="B5:G5"/>
    <mergeCell ref="B3:G3"/>
    <mergeCell ref="B4:G4"/>
    <mergeCell ref="C18:E18"/>
  </mergeCells>
  <phoneticPr fontId="0" type="noConversion"/>
  <hyperlinks>
    <hyperlink ref="B1:G1" location="'spis treści'!A1" display="SPIS TREŚCI" xr:uid="{00000000-0004-0000-1A00-000000000000}"/>
  </hyperlinks>
  <printOptions horizontalCentered="1" verticalCentered="1"/>
  <pageMargins left="0.78740157480314965" right="0.78740157480314965" top="0.35433070866141736" bottom="0.98425196850393704" header="0.27559055118110237" footer="0.51181102362204722"/>
  <pageSetup paperSize="9" scale="76"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9">
    <tabColor rgb="FFFFC000"/>
    <pageSetUpPr fitToPage="1"/>
  </sheetPr>
  <dimension ref="A1:M97"/>
  <sheetViews>
    <sheetView showGridLines="0" view="pageBreakPreview" zoomScale="85" zoomScaleNormal="100" zoomScaleSheetLayoutView="85" workbookViewId="0">
      <selection activeCell="A14" sqref="A14"/>
    </sheetView>
  </sheetViews>
  <sheetFormatPr defaultColWidth="9.140625" defaultRowHeight="12.75"/>
  <cols>
    <col min="1" max="1" width="18.28515625" style="315" bestFit="1" customWidth="1"/>
    <col min="2" max="3" width="3.140625" style="66" customWidth="1"/>
    <col min="4" max="4" width="3.42578125" style="66" customWidth="1"/>
    <col min="5" max="6" width="3.5703125" style="66" customWidth="1"/>
    <col min="7" max="7" width="62.28515625" style="66" customWidth="1"/>
    <col min="8" max="8" width="3.140625" style="66" customWidth="1"/>
    <col min="9" max="10" width="14.7109375" style="66" customWidth="1"/>
    <col min="11" max="11" width="12" style="66" customWidth="1"/>
    <col min="12" max="12" width="11.7109375" style="66" bestFit="1" customWidth="1"/>
    <col min="13" max="16384" width="9.140625" style="66"/>
  </cols>
  <sheetData>
    <row r="1" spans="1:12">
      <c r="B1" s="749" t="s">
        <v>3202</v>
      </c>
      <c r="C1" s="749"/>
      <c r="D1" s="749"/>
      <c r="E1" s="749"/>
      <c r="F1" s="749"/>
      <c r="G1" s="749"/>
      <c r="H1" s="749"/>
      <c r="I1" s="749"/>
      <c r="J1" s="749"/>
    </row>
    <row r="2" spans="1:12" ht="42" customHeight="1">
      <c r="B2" s="390"/>
      <c r="C2" s="390"/>
      <c r="D2" s="390"/>
      <c r="E2" s="390"/>
      <c r="F2" s="390"/>
      <c r="G2" s="390"/>
      <c r="H2" s="390"/>
      <c r="I2" s="390"/>
      <c r="J2" s="390"/>
    </row>
    <row r="3" spans="1:12">
      <c r="B3" s="750" t="str">
        <f>nazwa_spolki&amp;", " &amp;siedziba</f>
        <v>Rhenus Digital Workforce Sp. z o.o., Warszawa</v>
      </c>
      <c r="C3" s="750"/>
      <c r="D3" s="750"/>
      <c r="E3" s="750"/>
      <c r="F3" s="750"/>
      <c r="G3" s="750"/>
      <c r="H3" s="750"/>
      <c r="I3" s="750"/>
      <c r="J3" s="750"/>
    </row>
    <row r="4" spans="1:12">
      <c r="B4" s="750" t="str">
        <f>CHOOSE(jezyk,n!A489,n!B489,n!C489,n!D489)</f>
        <v>Rachunek przepływów pieniężnych</v>
      </c>
      <c r="C4" s="750"/>
      <c r="D4" s="750"/>
      <c r="E4" s="750"/>
      <c r="F4" s="750"/>
      <c r="G4" s="750"/>
      <c r="H4" s="750"/>
      <c r="I4" s="750"/>
      <c r="J4" s="750"/>
    </row>
    <row r="5" spans="1:12">
      <c r="B5" s="750" t="str">
        <f>CHOOSE(jezyk,n!A418,n!B418,n!C418,n!D418)</f>
        <v>za rok obrotowy od 01.01.2024 do 31.12.2024</v>
      </c>
      <c r="C5" s="750"/>
      <c r="D5" s="750"/>
      <c r="E5" s="750"/>
      <c r="F5" s="750"/>
      <c r="G5" s="750"/>
      <c r="H5" s="750"/>
      <c r="I5" s="750"/>
      <c r="J5" s="750"/>
    </row>
    <row r="6" spans="1:12">
      <c r="B6" s="750" t="str">
        <f>CHOOSE(jezyk,n!A490,n!B490,n!C490,n!D490)</f>
        <v>(metoda pośrednia)</v>
      </c>
      <c r="C6" s="750"/>
      <c r="D6" s="750"/>
      <c r="E6" s="750"/>
      <c r="F6" s="750"/>
      <c r="G6" s="750"/>
      <c r="H6" s="750"/>
      <c r="I6" s="750"/>
      <c r="J6" s="750"/>
    </row>
    <row r="7" spans="1:12">
      <c r="B7" s="332"/>
      <c r="C7" s="332"/>
      <c r="D7" s="332"/>
      <c r="E7" s="332"/>
      <c r="F7" s="332"/>
      <c r="G7" s="332"/>
      <c r="H7" s="332"/>
      <c r="I7" s="332"/>
      <c r="J7" s="332"/>
    </row>
    <row r="8" spans="1:12">
      <c r="J8" s="133" t="str">
        <f>IF(GA!D51="nie","",CHOOSE(jezyk,n!A289,n!B289,n!C289,n!D289))</f>
        <v/>
      </c>
    </row>
    <row r="9" spans="1:12">
      <c r="I9" s="294" t="str">
        <f>CHOOSE(jezyk,n!A287,n!B287,n!C287,n!D287)</f>
        <v>Rok bieżący</v>
      </c>
      <c r="J9" s="108" t="str">
        <f>IF(GA!D51="nie",CHOOSE(jezyk,n!A288,n!B288,n!C288,n!D288),CHOOSE(jezyk,n!A290,n!B290,n!C290,n!D290))</f>
        <v>Rok poprzedni</v>
      </c>
    </row>
    <row r="10" spans="1:12">
      <c r="B10" s="152"/>
      <c r="C10" s="152"/>
      <c r="D10" s="152"/>
      <c r="E10" s="152"/>
      <c r="F10" s="152"/>
      <c r="G10" s="152"/>
      <c r="H10" s="152"/>
      <c r="I10" s="333" t="s">
        <v>6583</v>
      </c>
      <c r="J10" s="333" t="s">
        <v>6583</v>
      </c>
    </row>
    <row r="11" spans="1:12" ht="9.9499999999999993" customHeight="1"/>
    <row r="12" spans="1:12" ht="12.75" customHeight="1">
      <c r="B12" s="111" t="s">
        <v>6584</v>
      </c>
      <c r="C12" s="757" t="str">
        <f>CHOOSE(jezyk,n!A491,n!B491,n!C491,n!D491)</f>
        <v>Przepływy środków pieniężnych z działalności operacyjnej</v>
      </c>
      <c r="D12" s="756"/>
      <c r="E12" s="756"/>
      <c r="F12" s="756"/>
      <c r="G12" s="756"/>
      <c r="I12" s="38"/>
      <c r="J12" s="38"/>
      <c r="K12" s="160" t="s">
        <v>6771</v>
      </c>
    </row>
    <row r="13" spans="1:12" ht="9.9499999999999993" customHeight="1">
      <c r="B13" s="111"/>
      <c r="C13" s="334"/>
      <c r="D13" s="315"/>
      <c r="E13" s="315"/>
      <c r="F13" s="315"/>
      <c r="G13" s="315"/>
      <c r="I13" s="38"/>
      <c r="J13" s="38"/>
      <c r="K13" s="65">
        <f>rok</f>
        <v>2024</v>
      </c>
      <c r="L13" s="65">
        <f>IF(LEN(ro)&gt;4,_xlfn.TEXTBEFORE(ro,"/")-1&amp;"/"&amp;_xlfn.TEXTAFTER(ro,"/")-1,ro-1)</f>
        <v>2023</v>
      </c>
    </row>
    <row r="14" spans="1:12" s="241" customFormat="1">
      <c r="A14" s="334"/>
      <c r="C14" s="241" t="s">
        <v>6585</v>
      </c>
      <c r="D14" s="241" t="str">
        <f>CHOOSE(jezyk,n!A492,n!B492,n!C492,n!D492)</f>
        <v>Zysk (strata) netto</v>
      </c>
      <c r="I14" s="298">
        <f>'RZiS Por. '!E81</f>
        <v>364172.37000000081</v>
      </c>
      <c r="J14" s="298">
        <f>'RZiS Por. '!F81</f>
        <v>-313.37990000000002</v>
      </c>
      <c r="K14" s="146">
        <f>I14-'RZiS Por. '!E81</f>
        <v>0</v>
      </c>
      <c r="L14" s="146">
        <f>J14-'RZiS Por. '!F81</f>
        <v>0</v>
      </c>
    </row>
    <row r="15" spans="1:12" s="241" customFormat="1" ht="9.9499999999999993" customHeight="1">
      <c r="A15" s="334"/>
      <c r="I15" s="180"/>
      <c r="J15" s="180"/>
    </row>
    <row r="16" spans="1:12" s="241" customFormat="1">
      <c r="A16" s="334"/>
      <c r="C16" s="241" t="s">
        <v>6586</v>
      </c>
      <c r="D16" s="241" t="str">
        <f>CHOOSE(jezyk,n!A493,n!B493,n!C493,n!D493)</f>
        <v>Korekty razem</v>
      </c>
      <c r="I16" s="298">
        <f>SUM(I18:I27)</f>
        <v>107432.19</v>
      </c>
      <c r="J16" s="298">
        <f>SUM(J18:J27)</f>
        <v>0</v>
      </c>
    </row>
    <row r="17" spans="1:12" s="241" customFormat="1" ht="9.9499999999999993" customHeight="1">
      <c r="A17" s="334"/>
      <c r="I17" s="180"/>
      <c r="J17" s="180"/>
      <c r="K17" s="65">
        <f>rok</f>
        <v>2024</v>
      </c>
      <c r="L17" s="65">
        <f>IF(LEN(ro)&gt;4,_xlfn.TEXTBEFORE(ro,"/")-1&amp;"/"&amp;_xlfn.TEXTAFTER(ro,"/")-1,ro-1)</f>
        <v>2023</v>
      </c>
    </row>
    <row r="18" spans="1:12">
      <c r="D18" s="66" t="s">
        <v>6530</v>
      </c>
      <c r="E18" s="1194" t="str">
        <f>CHOOSE(jezyk,n!A494,n!B494,n!C494,n!D494)</f>
        <v>Amortyzacja</v>
      </c>
      <c r="F18" s="1194"/>
      <c r="G18" s="1194"/>
      <c r="I18" s="312">
        <f>'RZiS Por. '!E22</f>
        <v>107432.19</v>
      </c>
      <c r="J18" s="312">
        <f>'RZiS Por. '!F22</f>
        <v>0</v>
      </c>
      <c r="K18" s="146">
        <f>I18-'RZiS Por. '!E22</f>
        <v>0</v>
      </c>
      <c r="L18" s="146">
        <f>J18-'RZiS Por. '!F22</f>
        <v>0</v>
      </c>
    </row>
    <row r="19" spans="1:12">
      <c r="D19" s="66" t="s">
        <v>6540</v>
      </c>
      <c r="E19" s="1194" t="str">
        <f>CHOOSE(jezyk,n!A495,n!B495,n!C495,n!D495)</f>
        <v>Zyski (straty) z tytułu różnic kursowych</v>
      </c>
      <c r="F19" s="1194"/>
      <c r="G19" s="1194"/>
      <c r="I19" s="301">
        <v>0</v>
      </c>
      <c r="J19" s="307">
        <v>0</v>
      </c>
    </row>
    <row r="20" spans="1:12">
      <c r="D20" s="66" t="s">
        <v>6544</v>
      </c>
      <c r="E20" s="1194" t="str">
        <f>CHOOSE(jezyk,n!A496,n!B496,n!C496,n!D496)</f>
        <v>Odsetki i udziały w zyskach (dywidendy)</v>
      </c>
      <c r="F20" s="1194"/>
      <c r="G20" s="1194"/>
      <c r="I20" s="301">
        <v>0</v>
      </c>
      <c r="J20" s="307">
        <v>0</v>
      </c>
    </row>
    <row r="21" spans="1:12">
      <c r="D21" s="66" t="s">
        <v>6545</v>
      </c>
      <c r="E21" s="1194" t="str">
        <f>CHOOSE(jezyk,n!A497,n!B497,n!C497,n!D497)</f>
        <v>Zysk (strata) z działalności inwestycyjnej</v>
      </c>
      <c r="F21" s="1194"/>
      <c r="G21" s="1194"/>
      <c r="I21" s="301">
        <v>0</v>
      </c>
      <c r="J21" s="307">
        <v>0</v>
      </c>
      <c r="K21" s="38"/>
    </row>
    <row r="22" spans="1:12">
      <c r="D22" s="66" t="s">
        <v>6550</v>
      </c>
      <c r="E22" s="1194" t="str">
        <f>CHOOSE(jezyk,n!A498,n!B498,n!C498,n!D498)</f>
        <v>Zmiana stanu rezerw</v>
      </c>
      <c r="F22" s="1194"/>
      <c r="G22" s="1194"/>
      <c r="I22" s="301">
        <v>0</v>
      </c>
      <c r="J22" s="307">
        <v>0</v>
      </c>
    </row>
    <row r="23" spans="1:12">
      <c r="D23" s="66" t="s">
        <v>6549</v>
      </c>
      <c r="E23" s="1194" t="str">
        <f>CHOOSE(jezyk,n!A499,n!B499,n!C499,n!D499)</f>
        <v>Zmiana stanu zapasów</v>
      </c>
      <c r="F23" s="1194"/>
      <c r="G23" s="1194"/>
      <c r="I23" s="301">
        <v>0</v>
      </c>
      <c r="J23" s="307">
        <v>0</v>
      </c>
    </row>
    <row r="24" spans="1:12">
      <c r="D24" s="66" t="s">
        <v>6763</v>
      </c>
      <c r="E24" s="1194" t="str">
        <f>CHOOSE(jezyk,n!A500,n!B500,n!C500,n!D500)</f>
        <v>Zmiana stanu należności</v>
      </c>
      <c r="F24" s="1194"/>
      <c r="G24" s="1194"/>
      <c r="I24" s="301">
        <v>0</v>
      </c>
      <c r="J24" s="307">
        <v>0</v>
      </c>
      <c r="K24" s="38"/>
    </row>
    <row r="25" spans="1:12" ht="12.75" customHeight="1">
      <c r="D25" s="72" t="s">
        <v>6772</v>
      </c>
      <c r="E25" s="756" t="str">
        <f>CHOOSE(jezyk,n!A501,n!B501,n!C501,n!D501)</f>
        <v>Zmiana stanu zobowiązań krótkoterminowych, z wyjątkiem pożyczek i kredytów</v>
      </c>
      <c r="F25" s="756"/>
      <c r="G25" s="756"/>
      <c r="I25" s="301">
        <v>0</v>
      </c>
      <c r="J25" s="307">
        <v>0</v>
      </c>
    </row>
    <row r="26" spans="1:12">
      <c r="D26" s="66" t="s">
        <v>6773</v>
      </c>
      <c r="E26" s="1194" t="str">
        <f>CHOOSE(jezyk,n!A502,n!B502,n!C502,n!D502)</f>
        <v>Zmiana stanu rozliczeń międzyokresowych</v>
      </c>
      <c r="F26" s="1194"/>
      <c r="G26" s="1194"/>
      <c r="I26" s="301">
        <v>0</v>
      </c>
      <c r="J26" s="307">
        <v>0</v>
      </c>
    </row>
    <row r="27" spans="1:12">
      <c r="D27" s="66" t="s">
        <v>6774</v>
      </c>
      <c r="E27" s="1194" t="str">
        <f>CHOOSE(jezyk,n!A503,n!B503,n!C503,n!D503)</f>
        <v>Inne korekty</v>
      </c>
      <c r="F27" s="1194"/>
      <c r="G27" s="1194"/>
      <c r="I27" s="301">
        <v>0</v>
      </c>
      <c r="J27" s="307">
        <v>0</v>
      </c>
    </row>
    <row r="28" spans="1:12" ht="9.9499999999999993" customHeight="1">
      <c r="I28" s="38"/>
      <c r="J28" s="38"/>
    </row>
    <row r="29" spans="1:12" s="241" customFormat="1">
      <c r="A29" s="334"/>
      <c r="C29" s="241" t="s">
        <v>6587</v>
      </c>
      <c r="D29" s="241" t="str">
        <f>CHOOSE(jezyk,n!A504,n!B504,n!C504,n!D504)</f>
        <v>Przepływy pieniężne netto z działalności operacyjnej</v>
      </c>
      <c r="I29" s="298">
        <f>SUM(I14:I16)</f>
        <v>471604.56000000081</v>
      </c>
      <c r="J29" s="298">
        <f>SUM(J14:J16)</f>
        <v>-313.37990000000002</v>
      </c>
    </row>
    <row r="30" spans="1:12" s="241" customFormat="1" ht="9.9499999999999993" customHeight="1">
      <c r="A30" s="334"/>
      <c r="I30" s="180"/>
      <c r="J30" s="180"/>
    </row>
    <row r="31" spans="1:12">
      <c r="B31" s="111" t="s">
        <v>6597</v>
      </c>
      <c r="C31" s="757" t="str">
        <f>CHOOSE(jezyk,n!A505,n!B505,n!C505,n!D505)</f>
        <v>Przepływy środków pieniężnych z działalności inwestycyjnej</v>
      </c>
      <c r="D31" s="756"/>
      <c r="E31" s="756"/>
      <c r="F31" s="756"/>
      <c r="G31" s="756"/>
      <c r="I31" s="38"/>
      <c r="J31" s="38"/>
    </row>
    <row r="32" spans="1:12" ht="9.9499999999999993" customHeight="1">
      <c r="B32" s="111"/>
      <c r="C32" s="334"/>
      <c r="D32" s="315"/>
      <c r="E32" s="315"/>
      <c r="F32" s="315"/>
      <c r="G32" s="315"/>
      <c r="I32" s="38"/>
      <c r="J32" s="38"/>
    </row>
    <row r="33" spans="1:11" s="241" customFormat="1">
      <c r="A33" s="334"/>
      <c r="C33" s="241" t="s">
        <v>6585</v>
      </c>
      <c r="D33" s="241" t="str">
        <f>CHOOSE(jezyk,n!A506,n!B506,n!C506,n!D506)</f>
        <v>Wpływy</v>
      </c>
      <c r="I33" s="298">
        <f>SUM(I35:I37,I45)</f>
        <v>0</v>
      </c>
      <c r="J33" s="298">
        <f>SUM(J35:J37,J45)</f>
        <v>0</v>
      </c>
    </row>
    <row r="34" spans="1:11" s="241" customFormat="1" ht="9.9499999999999993" customHeight="1">
      <c r="A34" s="334"/>
      <c r="I34" s="180"/>
      <c r="J34" s="180"/>
    </row>
    <row r="35" spans="1:11" ht="12.75" customHeight="1">
      <c r="D35" s="72" t="s">
        <v>6530</v>
      </c>
      <c r="E35" s="722" t="str">
        <f>CHOOSE(jezyk,n!A507,n!B507,n!C507,n!D507)</f>
        <v>Zbycie wartości niematerialnych i prawnych oraz rzeczowych aktywów trwałych</v>
      </c>
      <c r="F35" s="722"/>
      <c r="G35" s="722"/>
      <c r="H35" s="722"/>
      <c r="I35" s="301">
        <v>0</v>
      </c>
      <c r="J35" s="307">
        <v>0</v>
      </c>
    </row>
    <row r="36" spans="1:11" ht="12.75" customHeight="1">
      <c r="D36" s="72" t="s">
        <v>6540</v>
      </c>
      <c r="E36" s="758" t="str">
        <f>CHOOSE(jezyk,n!A508,n!B508,n!C508,n!D508)</f>
        <v>Zbycie inwestycji w nieruchomości oraz wartości niematerialne i prawne</v>
      </c>
      <c r="F36" s="758"/>
      <c r="G36" s="758"/>
      <c r="I36" s="301">
        <v>0</v>
      </c>
      <c r="J36" s="307">
        <v>0</v>
      </c>
    </row>
    <row r="37" spans="1:11">
      <c r="D37" s="66" t="s">
        <v>6544</v>
      </c>
      <c r="E37" s="758" t="str">
        <f>CHOOSE(jezyk,n!A509,n!B509,n!C509,n!D509)</f>
        <v>Z aktywów finansowych, w tym:</v>
      </c>
      <c r="F37" s="758"/>
      <c r="G37" s="758"/>
      <c r="I37" s="312">
        <f>SUM(I38:I39)</f>
        <v>0</v>
      </c>
      <c r="J37" s="312">
        <f>SUM(J38:J39)</f>
        <v>0</v>
      </c>
    </row>
    <row r="38" spans="1:11">
      <c r="E38" s="66" t="s">
        <v>6591</v>
      </c>
      <c r="F38" s="66" t="str">
        <f>CHOOSE(jezyk,n!A510,n!B510,n!C510,n!D510)</f>
        <v>w jednostkach powiązanych</v>
      </c>
      <c r="I38" s="301">
        <v>0</v>
      </c>
      <c r="J38" s="307">
        <v>0</v>
      </c>
    </row>
    <row r="39" spans="1:11">
      <c r="E39" s="66" t="s">
        <v>6593</v>
      </c>
      <c r="F39" s="66" t="str">
        <f>CHOOSE(jezyk,n!A511,n!B511,n!C511,n!D511)</f>
        <v>w pozostałych jednostkach</v>
      </c>
      <c r="I39" s="312">
        <f>SUM(I40:I44)</f>
        <v>0</v>
      </c>
      <c r="J39" s="312">
        <f>SUM(J40:J44)</f>
        <v>0</v>
      </c>
    </row>
    <row r="40" spans="1:11">
      <c r="F40" s="66" t="s">
        <v>6547</v>
      </c>
      <c r="G40" s="66" t="str">
        <f>CHOOSE(jezyk,n!A512,n!B512,n!C512,n!D512)</f>
        <v>zbycie aktywów finansowych</v>
      </c>
      <c r="I40" s="301">
        <v>0</v>
      </c>
      <c r="J40" s="307">
        <v>0</v>
      </c>
    </row>
    <row r="41" spans="1:11">
      <c r="F41" s="66" t="s">
        <v>6547</v>
      </c>
      <c r="G41" s="66" t="str">
        <f>CHOOSE(jezyk,n!A513,n!B513,n!C513,n!D513)</f>
        <v>dywidendy i udziały w zyskach</v>
      </c>
      <c r="I41" s="301">
        <v>0</v>
      </c>
      <c r="J41" s="307">
        <v>0</v>
      </c>
      <c r="K41" s="38"/>
    </row>
    <row r="42" spans="1:11">
      <c r="F42" s="72" t="s">
        <v>6547</v>
      </c>
      <c r="G42" s="66" t="str">
        <f>CHOOSE(jezyk,n!A514,n!B514,n!C514,n!D514)</f>
        <v>spłata udzielonych pożyczek długoterminowych</v>
      </c>
      <c r="I42" s="301">
        <v>0</v>
      </c>
      <c r="J42" s="307">
        <v>0</v>
      </c>
    </row>
    <row r="43" spans="1:11">
      <c r="F43" s="66" t="s">
        <v>6547</v>
      </c>
      <c r="G43" s="66" t="str">
        <f>CHOOSE(jezyk,n!A515,n!B515,n!C515,n!D515)</f>
        <v>odsetki</v>
      </c>
      <c r="I43" s="301">
        <v>0</v>
      </c>
      <c r="J43" s="307">
        <v>0</v>
      </c>
    </row>
    <row r="44" spans="1:11">
      <c r="F44" s="66" t="s">
        <v>6547</v>
      </c>
      <c r="G44" s="66" t="str">
        <f>CHOOSE(jezyk,n!A516,n!B516,n!C516,n!D516)</f>
        <v>inne wpływy z aktywów finansowych</v>
      </c>
      <c r="I44" s="301">
        <v>0</v>
      </c>
      <c r="J44" s="307">
        <v>0</v>
      </c>
    </row>
    <row r="45" spans="1:11">
      <c r="D45" s="66" t="s">
        <v>6545</v>
      </c>
      <c r="E45" s="66" t="str">
        <f>CHOOSE(jezyk,n!A517,n!B517,n!C517,n!D517)</f>
        <v>Inne wpływy inwestycyjne</v>
      </c>
      <c r="I45" s="301">
        <v>0</v>
      </c>
      <c r="J45" s="307">
        <v>0</v>
      </c>
    </row>
    <row r="46" spans="1:11" ht="9.9499999999999993" customHeight="1">
      <c r="I46" s="38"/>
      <c r="J46" s="38"/>
    </row>
    <row r="47" spans="1:11" s="241" customFormat="1">
      <c r="A47" s="334"/>
      <c r="C47" s="241" t="s">
        <v>6586</v>
      </c>
      <c r="D47" s="241" t="str">
        <f>CHOOSE(jezyk,n!A518,n!B518,n!C518,n!D518)</f>
        <v>Wydatki</v>
      </c>
      <c r="I47" s="298">
        <f>SUM(I49:I51,I56)</f>
        <v>0</v>
      </c>
      <c r="J47" s="298">
        <f>SUM(J49:J51,J56)</f>
        <v>0</v>
      </c>
    </row>
    <row r="48" spans="1:11" s="241" customFormat="1" ht="9.9499999999999993" customHeight="1">
      <c r="A48" s="334"/>
      <c r="I48" s="180"/>
      <c r="J48" s="180"/>
    </row>
    <row r="49" spans="1:10" ht="12.75" customHeight="1">
      <c r="D49" s="72" t="s">
        <v>6530</v>
      </c>
      <c r="E49" s="722" t="str">
        <f>CHOOSE(jezyk,n!A519,n!B519,n!C519,n!D519)</f>
        <v>Nabycie wartości niematerialnych i prawnych oraz rzeczowych aktywów trwałych</v>
      </c>
      <c r="F49" s="722"/>
      <c r="G49" s="722"/>
      <c r="H49" s="722"/>
      <c r="I49" s="301">
        <v>0</v>
      </c>
      <c r="J49" s="307">
        <v>0</v>
      </c>
    </row>
    <row r="50" spans="1:10" ht="12.75" customHeight="1">
      <c r="D50" s="72" t="s">
        <v>6540</v>
      </c>
      <c r="E50" s="758" t="str">
        <f>CHOOSE(jezyk,n!A520,n!B520,n!C520,n!D520)</f>
        <v>Inwestycje w nieruchomości oraz wartości niematerialne i prawne</v>
      </c>
      <c r="F50" s="758"/>
      <c r="G50" s="758"/>
      <c r="I50" s="301">
        <v>0</v>
      </c>
      <c r="J50" s="307">
        <v>0</v>
      </c>
    </row>
    <row r="51" spans="1:10">
      <c r="D51" s="66" t="s">
        <v>6544</v>
      </c>
      <c r="E51" s="758" t="str">
        <f>CHOOSE(jezyk,n!A521,n!B521,n!C521,n!D521)</f>
        <v>Na aktywa finansowe, w tym:</v>
      </c>
      <c r="F51" s="758"/>
      <c r="G51" s="758"/>
      <c r="I51" s="312">
        <f>SUM(I52:I53)</f>
        <v>0</v>
      </c>
      <c r="J51" s="312">
        <f>SUM(J52:J53)</f>
        <v>0</v>
      </c>
    </row>
    <row r="52" spans="1:10">
      <c r="E52" s="66" t="s">
        <v>6591</v>
      </c>
      <c r="F52" s="66" t="str">
        <f>CHOOSE(jezyk,n!A510,n!B510,n!C510,n!D510)</f>
        <v>w jednostkach powiązanych</v>
      </c>
      <c r="I52" s="301">
        <v>0</v>
      </c>
      <c r="J52" s="307">
        <v>0</v>
      </c>
    </row>
    <row r="53" spans="1:10">
      <c r="E53" s="66" t="s">
        <v>6593</v>
      </c>
      <c r="F53" s="66" t="str">
        <f>CHOOSE(jezyk,n!A511,n!B511,n!C511,n!D511)</f>
        <v>w pozostałych jednostkach</v>
      </c>
      <c r="I53" s="312">
        <f>SUM(I54:I55)</f>
        <v>0</v>
      </c>
      <c r="J53" s="312">
        <f>SUM(J54:J55)</f>
        <v>0</v>
      </c>
    </row>
    <row r="54" spans="1:10">
      <c r="F54" s="66" t="s">
        <v>6547</v>
      </c>
      <c r="G54" s="66" t="str">
        <f>CHOOSE(jezyk,n!A522,n!B522,n!C522,n!D522)</f>
        <v>nabycie aktywów finansowych</v>
      </c>
      <c r="I54" s="301">
        <v>0</v>
      </c>
      <c r="J54" s="307">
        <v>0</v>
      </c>
    </row>
    <row r="55" spans="1:10">
      <c r="F55" s="66" t="s">
        <v>6547</v>
      </c>
      <c r="G55" s="66" t="str">
        <f>CHOOSE(jezyk,n!A523,n!B523,n!C523,n!D523)</f>
        <v>udzielone pożyczki długoterminowe</v>
      </c>
      <c r="I55" s="301">
        <v>0</v>
      </c>
      <c r="J55" s="307">
        <v>0</v>
      </c>
    </row>
    <row r="56" spans="1:10">
      <c r="D56" s="66" t="s">
        <v>6545</v>
      </c>
      <c r="E56" s="66" t="str">
        <f>CHOOSE(jezyk,n!A524,n!B524,n!C524,n!D524)</f>
        <v>Inne wydatki inwestycyjne</v>
      </c>
      <c r="I56" s="301">
        <v>0</v>
      </c>
      <c r="J56" s="307">
        <v>0</v>
      </c>
    </row>
    <row r="57" spans="1:10" ht="9.9499999999999993" customHeight="1">
      <c r="I57" s="38"/>
      <c r="J57" s="38"/>
    </row>
    <row r="58" spans="1:10" s="241" customFormat="1" ht="12" customHeight="1">
      <c r="A58" s="334"/>
      <c r="C58" s="241" t="s">
        <v>6587</v>
      </c>
      <c r="D58" s="241" t="str">
        <f>CHOOSE(jezyk,n!A525,n!B525,n!C525,n!D525)</f>
        <v>Przepływy pieniężne netto z działalności inwestycyjnej</v>
      </c>
      <c r="I58" s="298">
        <f>I33-I47</f>
        <v>0</v>
      </c>
      <c r="J58" s="298">
        <f>J33-J47</f>
        <v>0</v>
      </c>
    </row>
    <row r="59" spans="1:10" s="241" customFormat="1" ht="9.9499999999999993" customHeight="1">
      <c r="A59" s="334"/>
      <c r="I59" s="180"/>
      <c r="J59" s="180"/>
    </row>
    <row r="60" spans="1:10">
      <c r="B60" s="111" t="s">
        <v>6602</v>
      </c>
      <c r="C60" s="757" t="str">
        <f>CHOOSE(jezyk,n!A526,n!B526,n!C526,n!D526)</f>
        <v>Przepływy środków pieniężnych z działalności finansowej</v>
      </c>
      <c r="D60" s="756"/>
      <c r="E60" s="756"/>
      <c r="F60" s="756"/>
      <c r="G60" s="756"/>
      <c r="I60" s="38"/>
      <c r="J60" s="38"/>
    </row>
    <row r="61" spans="1:10" ht="9.9499999999999993" customHeight="1">
      <c r="B61" s="111"/>
      <c r="C61" s="334"/>
      <c r="D61" s="315"/>
      <c r="E61" s="315"/>
      <c r="F61" s="315"/>
      <c r="G61" s="315"/>
      <c r="I61" s="38"/>
      <c r="J61" s="38"/>
    </row>
    <row r="62" spans="1:10" s="241" customFormat="1">
      <c r="A62" s="334"/>
      <c r="C62" s="241" t="s">
        <v>6585</v>
      </c>
      <c r="D62" s="241" t="str">
        <f>CHOOSE(jezyk,n!A506,n!B506,n!C506,n!D506)</f>
        <v>Wpływy</v>
      </c>
      <c r="I62" s="298">
        <f>SUM(I64:I67)</f>
        <v>0</v>
      </c>
      <c r="J62" s="298">
        <f>SUM(J64:J67)</f>
        <v>0</v>
      </c>
    </row>
    <row r="63" spans="1:10" s="241" customFormat="1" ht="9.9499999999999993" customHeight="1">
      <c r="A63" s="334"/>
      <c r="I63" s="180"/>
      <c r="J63" s="180"/>
    </row>
    <row r="64" spans="1:10" ht="27" customHeight="1">
      <c r="A64" s="66"/>
      <c r="D64" s="72" t="s">
        <v>6530</v>
      </c>
      <c r="E64" s="722" t="str">
        <f>CHOOSE(jezyk,n!A527,n!B527,n!C527,n!D527)</f>
        <v>Wpływy netto z wydania udziałów (emisji akcji) i innych instrumentów kapitałowych oraz dopłat do kapitału</v>
      </c>
      <c r="F64" s="722"/>
      <c r="G64" s="722"/>
      <c r="H64" s="722"/>
      <c r="I64" s="119">
        <v>0</v>
      </c>
      <c r="J64" s="115">
        <v>0</v>
      </c>
    </row>
    <row r="65" spans="1:10">
      <c r="D65" s="66" t="s">
        <v>6540</v>
      </c>
      <c r="E65" s="758" t="str">
        <f>CHOOSE(jezyk,n!A528,n!B528,n!C528,n!D528)</f>
        <v>Kredyty i pożyczki</v>
      </c>
      <c r="F65" s="758"/>
      <c r="G65" s="758"/>
      <c r="I65" s="119">
        <v>0</v>
      </c>
      <c r="J65" s="307">
        <v>0</v>
      </c>
    </row>
    <row r="66" spans="1:10">
      <c r="D66" s="66" t="s">
        <v>6544</v>
      </c>
      <c r="E66" s="758" t="str">
        <f>CHOOSE(jezyk,n!A529,n!B529,n!C529,n!D529)</f>
        <v>Emisja dłużnych papierów wartościowych</v>
      </c>
      <c r="F66" s="758"/>
      <c r="G66" s="758"/>
      <c r="I66" s="119">
        <v>0</v>
      </c>
      <c r="J66" s="307">
        <v>0</v>
      </c>
    </row>
    <row r="67" spans="1:10">
      <c r="D67" s="66" t="s">
        <v>6545</v>
      </c>
      <c r="E67" s="758" t="str">
        <f>CHOOSE(jezyk,n!A530,n!B530,n!C530,n!D530)</f>
        <v>Inne wpływy finansowe</v>
      </c>
      <c r="F67" s="758"/>
      <c r="G67" s="758"/>
      <c r="I67" s="119">
        <v>0</v>
      </c>
      <c r="J67" s="307">
        <v>0</v>
      </c>
    </row>
    <row r="68" spans="1:10" ht="9.9499999999999993" customHeight="1">
      <c r="I68" s="38"/>
      <c r="J68" s="38"/>
    </row>
    <row r="69" spans="1:10" s="241" customFormat="1">
      <c r="A69" s="334"/>
      <c r="C69" s="241" t="s">
        <v>6586</v>
      </c>
      <c r="D69" s="241" t="str">
        <f>CHOOSE(jezyk,n!A518,n!B518,n!C518,n!D518)</f>
        <v>Wydatki</v>
      </c>
      <c r="I69" s="298">
        <f>SUM(I71:I79)</f>
        <v>0</v>
      </c>
      <c r="J69" s="298">
        <f>SUM(J71:J79)</f>
        <v>0</v>
      </c>
    </row>
    <row r="70" spans="1:10" s="241" customFormat="1" ht="9.9499999999999993" customHeight="1">
      <c r="A70" s="334"/>
      <c r="I70" s="180"/>
      <c r="J70" s="180"/>
    </row>
    <row r="71" spans="1:10">
      <c r="D71" s="66" t="s">
        <v>6530</v>
      </c>
      <c r="E71" s="66" t="str">
        <f>CHOOSE(jezyk,n!A531,n!B531,n!C531,n!D531)</f>
        <v>Nabycie udziałów (akcji) własnych</v>
      </c>
      <c r="I71" s="301">
        <v>0</v>
      </c>
      <c r="J71" s="307">
        <v>0</v>
      </c>
    </row>
    <row r="72" spans="1:10">
      <c r="D72" s="66" t="s">
        <v>6540</v>
      </c>
      <c r="E72" s="66" t="str">
        <f>CHOOSE(jezyk,n!A532,n!B532,n!C532,n!D532)</f>
        <v>Dywidendy i inne wypłaty na rzecz właścicieli</v>
      </c>
      <c r="I72" s="301">
        <v>0</v>
      </c>
      <c r="J72" s="307">
        <v>0</v>
      </c>
    </row>
    <row r="73" spans="1:10" ht="12.75" customHeight="1">
      <c r="D73" s="66" t="s">
        <v>6544</v>
      </c>
      <c r="E73" s="66" t="str">
        <f>CHOOSE(jezyk,n!A533,n!B533,n!C533,n!D533)</f>
        <v>Inne, niż wypłaty na rzecz właścicieli, wydatki z tytułu podziału zysku</v>
      </c>
      <c r="F73" s="399"/>
      <c r="G73" s="399"/>
      <c r="I73" s="301">
        <v>0</v>
      </c>
      <c r="J73" s="307">
        <v>0</v>
      </c>
    </row>
    <row r="74" spans="1:10">
      <c r="D74" s="66" t="s">
        <v>6545</v>
      </c>
      <c r="E74" s="66" t="str">
        <f>CHOOSE(jezyk,n!A534,n!B534,n!C534,n!D534)</f>
        <v>Spłaty kredytów i pożyczek</v>
      </c>
      <c r="I74" s="301">
        <v>0</v>
      </c>
      <c r="J74" s="307">
        <v>0</v>
      </c>
    </row>
    <row r="75" spans="1:10">
      <c r="D75" s="66" t="s">
        <v>6550</v>
      </c>
      <c r="E75" s="66" t="str">
        <f>CHOOSE(jezyk,n!A535,n!B535,n!C535,n!D535)</f>
        <v>Wykup dłużnych papierów wartościowych</v>
      </c>
      <c r="I75" s="301">
        <v>0</v>
      </c>
      <c r="J75" s="307">
        <v>0</v>
      </c>
    </row>
    <row r="76" spans="1:10">
      <c r="D76" s="66" t="s">
        <v>6549</v>
      </c>
      <c r="E76" s="66" t="str">
        <f>CHOOSE(jezyk,n!A536,n!B536,n!C536,n!D536)</f>
        <v>Z tytułu innych zobowiązań finansowych</v>
      </c>
      <c r="I76" s="301">
        <v>0</v>
      </c>
      <c r="J76" s="307">
        <v>0</v>
      </c>
    </row>
    <row r="77" spans="1:10" ht="12.75" customHeight="1">
      <c r="D77" s="66" t="s">
        <v>6763</v>
      </c>
      <c r="E77" s="66" t="str">
        <f>CHOOSE(jezyk,n!A537,n!B537,n!C537,n!D537)</f>
        <v>Płatności zobowiązań z tytułu umów leasingu finansowego</v>
      </c>
      <c r="F77" s="399"/>
      <c r="G77" s="399"/>
      <c r="I77" s="301">
        <v>0</v>
      </c>
      <c r="J77" s="307">
        <v>0</v>
      </c>
    </row>
    <row r="78" spans="1:10">
      <c r="D78" s="66" t="s">
        <v>6772</v>
      </c>
      <c r="E78" s="66" t="str">
        <f>CHOOSE(jezyk,n!A538,n!B538,n!C538,n!D538)</f>
        <v>Odsetki</v>
      </c>
      <c r="I78" s="301">
        <v>0</v>
      </c>
      <c r="J78" s="307">
        <v>0</v>
      </c>
    </row>
    <row r="79" spans="1:10">
      <c r="D79" s="66" t="s">
        <v>6773</v>
      </c>
      <c r="E79" s="66" t="str">
        <f>CHOOSE(jezyk,n!A539,n!B539,n!C539,n!D539)</f>
        <v>Inne wydatki finansowe</v>
      </c>
      <c r="I79" s="301">
        <v>0</v>
      </c>
      <c r="J79" s="307">
        <v>0</v>
      </c>
    </row>
    <row r="80" spans="1:10" ht="9.9499999999999993" customHeight="1">
      <c r="I80" s="38"/>
      <c r="J80" s="38"/>
    </row>
    <row r="81" spans="1:13" s="241" customFormat="1">
      <c r="A81" s="334"/>
      <c r="C81" s="241" t="s">
        <v>6587</v>
      </c>
      <c r="D81" s="241" t="str">
        <f>CHOOSE(jezyk,n!A540,n!B540,n!C540,n!D540)</f>
        <v>Przepływy pieniężne netto z działalności finansowej</v>
      </c>
      <c r="I81" s="298">
        <f>I62-I69</f>
        <v>0</v>
      </c>
      <c r="J81" s="298">
        <f>J62-J69</f>
        <v>0</v>
      </c>
    </row>
    <row r="82" spans="1:13" s="241" customFormat="1" ht="9.9499999999999993" customHeight="1">
      <c r="A82" s="334"/>
      <c r="I82" s="180"/>
      <c r="J82" s="180"/>
      <c r="K82" s="335" t="str">
        <f>dzb</f>
        <v>31.12.2024</v>
      </c>
    </row>
    <row r="83" spans="1:13">
      <c r="B83" s="241" t="s">
        <v>6603</v>
      </c>
      <c r="C83" s="241" t="str">
        <f>CHOOSE(jezyk,n!A541,n!B541,n!C541,n!D541)</f>
        <v>Przepływy pieniężne netto razem</v>
      </c>
      <c r="I83" s="312">
        <f>SUM(I29,I58,I81)</f>
        <v>471604.56000000081</v>
      </c>
      <c r="J83" s="312">
        <f>SUM(J29,J58,J81)</f>
        <v>-313.37990000000002</v>
      </c>
      <c r="K83" s="179">
        <f>I83-(Bilans!J127-Bilans!K127)</f>
        <v>471604.56000000081</v>
      </c>
      <c r="L83" s="108"/>
      <c r="M83" s="38"/>
    </row>
    <row r="84" spans="1:13" ht="9.9499999999999993" customHeight="1">
      <c r="B84" s="241"/>
      <c r="C84" s="241"/>
      <c r="I84" s="38"/>
      <c r="J84" s="38"/>
      <c r="K84" s="38"/>
      <c r="L84" s="108"/>
    </row>
    <row r="85" spans="1:13">
      <c r="B85" s="241" t="s">
        <v>6605</v>
      </c>
      <c r="C85" s="241" t="str">
        <f>CHOOSE(jezyk,n!A542,n!B542,n!C542,n!D542)</f>
        <v>Bilansowa zmiana stanu środków pieniężnych, w tym:</v>
      </c>
      <c r="I85" s="312">
        <f>Bilans!J127-Bilans!K127</f>
        <v>0</v>
      </c>
      <c r="J85" s="301">
        <v>0</v>
      </c>
      <c r="K85" s="146">
        <f>I85-(Bilans!J127-Bilans!K127)</f>
        <v>0</v>
      </c>
    </row>
    <row r="86" spans="1:13" ht="9.9499999999999993" customHeight="1">
      <c r="B86" s="241"/>
      <c r="C86" s="241"/>
      <c r="I86" s="38"/>
      <c r="J86" s="38"/>
    </row>
    <row r="87" spans="1:13">
      <c r="C87" s="72" t="s">
        <v>6547</v>
      </c>
      <c r="D87" s="756" t="str">
        <f>CHOOSE(jezyk,n!A543,n!B543,n!C543,n!D543)</f>
        <v>zmiana stanu środków pieniężnych z tytułu różnic kursowych</v>
      </c>
      <c r="E87" s="756"/>
      <c r="F87" s="756"/>
      <c r="G87" s="756"/>
      <c r="I87" s="301">
        <v>0</v>
      </c>
      <c r="J87" s="307">
        <v>0</v>
      </c>
      <c r="K87" s="38"/>
    </row>
    <row r="88" spans="1:13" ht="9.9499999999999993" customHeight="1">
      <c r="C88" s="72"/>
      <c r="D88" s="315"/>
      <c r="E88" s="315"/>
      <c r="F88" s="315"/>
      <c r="G88" s="315"/>
      <c r="I88" s="38"/>
      <c r="J88" s="38"/>
    </row>
    <row r="89" spans="1:13">
      <c r="B89" s="241" t="s">
        <v>6606</v>
      </c>
      <c r="C89" s="241" t="str">
        <f>CHOOSE(jezyk,n!A544,n!B544,n!C544,n!D544)</f>
        <v>Środki pieniężne na początek okresu</v>
      </c>
      <c r="I89" s="312">
        <f>J92</f>
        <v>0</v>
      </c>
      <c r="J89" s="307">
        <v>0</v>
      </c>
    </row>
    <row r="90" spans="1:13" ht="9.9499999999999993" customHeight="1">
      <c r="B90" s="318"/>
      <c r="C90" s="318"/>
      <c r="D90" s="152"/>
      <c r="E90" s="152"/>
      <c r="F90" s="152"/>
      <c r="G90" s="152"/>
      <c r="H90" s="152"/>
      <c r="I90" s="248"/>
      <c r="J90" s="248"/>
    </row>
    <row r="91" spans="1:13" ht="9.9499999999999993" customHeight="1">
      <c r="B91" s="241"/>
      <c r="C91" s="241"/>
      <c r="I91" s="38"/>
      <c r="J91" s="38"/>
    </row>
    <row r="92" spans="1:13">
      <c r="B92" s="241" t="s">
        <v>6607</v>
      </c>
      <c r="C92" s="241" t="str">
        <f>CHOOSE(jezyk,n!A545,n!B545,n!C545,n!D545)</f>
        <v>Środki pieniężne na koniec okresu, w tym:</v>
      </c>
      <c r="I92" s="312">
        <f>I89+I83</f>
        <v>471604.56000000081</v>
      </c>
      <c r="J92" s="307">
        <v>0</v>
      </c>
    </row>
    <row r="93" spans="1:13">
      <c r="C93" s="66" t="s">
        <v>6547</v>
      </c>
      <c r="D93" s="66" t="str">
        <f>CHOOSE(jezyk,n!A546,n!B546,n!C546,n!D546)</f>
        <v>o ograniczonej możliwości dysponowania</v>
      </c>
      <c r="I93" s="301">
        <v>0</v>
      </c>
      <c r="J93" s="307">
        <v>0</v>
      </c>
    </row>
    <row r="94" spans="1:13" ht="13.5" thickBot="1">
      <c r="B94" s="1192"/>
      <c r="C94" s="1192"/>
      <c r="D94" s="1192"/>
      <c r="E94" s="1192"/>
      <c r="F94" s="1192"/>
      <c r="G94" s="1192"/>
      <c r="H94" s="1192"/>
      <c r="I94" s="1192"/>
      <c r="J94" s="1192"/>
    </row>
    <row r="96" spans="1:13">
      <c r="B96" s="66" t="str">
        <f>siedziba&amp;", "&amp;GA!D53</f>
        <v>Warszawa, 30.01.2025</v>
      </c>
      <c r="F96" s="38"/>
      <c r="G96" s="38"/>
    </row>
    <row r="97" spans="7:9">
      <c r="G97" s="251" t="str">
        <f>CHOOSE(jezyk,n!A412,n!B412,n!C412,n!D412)</f>
        <v>Osoba sporządzająca:</v>
      </c>
      <c r="I97" s="327" t="str">
        <f>CHOOSE(jezyk,n!A413,n!B413,n!C413,n!D413)</f>
        <v>Zarząd:</v>
      </c>
    </row>
  </sheetData>
  <sheetProtection formatCells="0" formatColumns="0" formatRows="0" insertRows="0" insertHyperlinks="0" sort="0" autoFilter="0" pivotTables="0"/>
  <mergeCells count="29">
    <mergeCell ref="C31:G31"/>
    <mergeCell ref="E22:G22"/>
    <mergeCell ref="E35:H35"/>
    <mergeCell ref="D87:G87"/>
    <mergeCell ref="E65:G65"/>
    <mergeCell ref="E66:G66"/>
    <mergeCell ref="E67:G67"/>
    <mergeCell ref="E36:G36"/>
    <mergeCell ref="E50:G50"/>
    <mergeCell ref="C60:G60"/>
    <mergeCell ref="E37:G37"/>
    <mergeCell ref="E51:G51"/>
    <mergeCell ref="E64:H64"/>
    <mergeCell ref="E49:H49"/>
    <mergeCell ref="E23:G23"/>
    <mergeCell ref="E24:G24"/>
    <mergeCell ref="E25:G25"/>
    <mergeCell ref="E26:G26"/>
    <mergeCell ref="E27:G27"/>
    <mergeCell ref="B1:J1"/>
    <mergeCell ref="E18:G18"/>
    <mergeCell ref="E19:G19"/>
    <mergeCell ref="E20:G20"/>
    <mergeCell ref="E21:G21"/>
    <mergeCell ref="B3:J3"/>
    <mergeCell ref="B4:J4"/>
    <mergeCell ref="B5:J5"/>
    <mergeCell ref="B6:J6"/>
    <mergeCell ref="C12:G12"/>
  </mergeCells>
  <phoneticPr fontId="0" type="noConversion"/>
  <hyperlinks>
    <hyperlink ref="B1:J1" location="'spis treści'!A1" display="SPIS TREŚCI" xr:uid="{00000000-0004-0000-1E00-000000000000}"/>
  </hyperlinks>
  <printOptions horizontalCentered="1"/>
  <pageMargins left="0.78740157480314965" right="0.78740157480314965" top="0.35433070866141736" bottom="0.98425196850393704" header="0.27559055118110237" footer="0.51181102362204722"/>
  <pageSetup paperSize="9" scale="65" orientation="portrait" blackAndWhite="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0">
    <pageSetUpPr fitToPage="1"/>
  </sheetPr>
  <dimension ref="B1:AA251"/>
  <sheetViews>
    <sheetView showGridLines="0" view="pageBreakPreview" zoomScaleNormal="100" workbookViewId="0"/>
  </sheetViews>
  <sheetFormatPr defaultColWidth="9.140625" defaultRowHeight="12.75"/>
  <cols>
    <col min="1" max="1" width="9.140625" style="1"/>
    <col min="2" max="4" width="3.140625" style="1" customWidth="1"/>
    <col min="5" max="6" width="3.5703125" style="1" customWidth="1"/>
    <col min="7" max="7" width="82.42578125" style="1" customWidth="1"/>
    <col min="8" max="8" width="4.5703125" style="1" customWidth="1"/>
    <col min="9" max="10" width="14.7109375" style="12" customWidth="1"/>
    <col min="11" max="11" width="3.7109375" style="1" customWidth="1"/>
    <col min="12" max="12" width="10.5703125" style="1" customWidth="1"/>
    <col min="13" max="16384" width="9.140625" style="1"/>
  </cols>
  <sheetData>
    <row r="1" spans="2:11">
      <c r="B1" s="759" t="s">
        <v>3202</v>
      </c>
      <c r="C1" s="759"/>
      <c r="D1" s="759"/>
      <c r="E1" s="759"/>
      <c r="F1" s="759"/>
      <c r="G1" s="759"/>
      <c r="H1" s="759"/>
      <c r="I1" s="759"/>
      <c r="J1" s="759"/>
    </row>
    <row r="2" spans="2:11" ht="42" customHeight="1">
      <c r="B2" s="683"/>
      <c r="C2" s="683"/>
      <c r="D2" s="683"/>
      <c r="E2" s="683"/>
      <c r="F2" s="683"/>
      <c r="G2" s="683"/>
      <c r="H2" s="683"/>
      <c r="I2" s="683"/>
      <c r="J2" s="683"/>
    </row>
    <row r="3" spans="2:11">
      <c r="B3" s="760" t="str">
        <f>nazwa_spolki &amp;", " &amp;siedziba</f>
        <v>Rhenus Digital Workforce Sp. z o.o., Warszawa</v>
      </c>
      <c r="C3" s="760"/>
      <c r="D3" s="760"/>
      <c r="E3" s="760"/>
      <c r="F3" s="760"/>
      <c r="G3" s="760"/>
      <c r="H3" s="760"/>
      <c r="I3" s="760"/>
      <c r="J3" s="760"/>
    </row>
    <row r="4" spans="2:11">
      <c r="B4" s="760" t="str">
        <f>CHOOSE(jezyk,n!A489,n!B489,n!C489,n!D489)</f>
        <v>Rachunek przepływów pieniężnych</v>
      </c>
      <c r="C4" s="760"/>
      <c r="D4" s="760"/>
      <c r="E4" s="760"/>
      <c r="F4" s="760"/>
      <c r="G4" s="760"/>
      <c r="H4" s="760"/>
      <c r="I4" s="760"/>
      <c r="J4" s="760"/>
    </row>
    <row r="5" spans="2:11">
      <c r="B5" s="760" t="str">
        <f>CHOOSE(jezyk,n!A418,n!B418,n!C418,n!D418)</f>
        <v>za rok obrotowy od 01.01.2024 do 31.12.2024</v>
      </c>
      <c r="C5" s="760"/>
      <c r="D5" s="760"/>
      <c r="E5" s="760"/>
      <c r="F5" s="760"/>
      <c r="G5" s="760"/>
      <c r="H5" s="760"/>
      <c r="I5" s="760"/>
      <c r="J5" s="760"/>
    </row>
    <row r="6" spans="2:11">
      <c r="B6" s="760" t="str">
        <f>CHOOSE(jezyk,n!A548,n!B548,n!C548,n!D548)</f>
        <v>(metoda bezpośrednia)</v>
      </c>
      <c r="C6" s="760"/>
      <c r="D6" s="760"/>
      <c r="E6" s="760"/>
      <c r="F6" s="760"/>
      <c r="G6" s="760"/>
      <c r="H6" s="760"/>
      <c r="I6" s="760"/>
      <c r="J6" s="760"/>
    </row>
    <row r="7" spans="2:11">
      <c r="G7" s="336"/>
      <c r="H7" s="684"/>
    </row>
    <row r="8" spans="2:11">
      <c r="B8" s="337"/>
      <c r="C8" s="337"/>
      <c r="D8" s="337"/>
      <c r="E8" s="337"/>
      <c r="F8" s="337"/>
      <c r="G8" s="4"/>
      <c r="H8" s="5"/>
      <c r="I8" s="13"/>
      <c r="J8" s="13"/>
    </row>
    <row r="9" spans="2:11">
      <c r="G9" s="338"/>
      <c r="H9" s="338"/>
      <c r="I9" s="16" t="str">
        <f>dzb</f>
        <v>31.12.2024</v>
      </c>
      <c r="J9" s="16" t="str">
        <f>CHOOSE(jezyk,n!A288,n!B288,n!C288,n!D288)</f>
        <v>Rok poprzedni</v>
      </c>
      <c r="K9" s="339"/>
    </row>
    <row r="10" spans="2:11">
      <c r="G10" s="338"/>
      <c r="H10" s="338"/>
      <c r="I10" s="16" t="s">
        <v>6583</v>
      </c>
      <c r="J10" s="16" t="s">
        <v>6583</v>
      </c>
    </row>
    <row r="11" spans="2:11">
      <c r="B11" s="340"/>
      <c r="C11" s="340"/>
      <c r="D11" s="340"/>
      <c r="E11" s="340"/>
      <c r="F11" s="340"/>
      <c r="G11" s="341"/>
      <c r="H11" s="341"/>
      <c r="I11" s="14"/>
      <c r="J11" s="14"/>
    </row>
    <row r="12" spans="2:11">
      <c r="G12" s="338"/>
      <c r="H12" s="338"/>
      <c r="I12" s="7"/>
      <c r="J12" s="7"/>
    </row>
    <row r="13" spans="2:11" s="336" customFormat="1">
      <c r="B13" s="336" t="s">
        <v>6584</v>
      </c>
      <c r="C13" s="342" t="str">
        <f>CHOOSE(jezyk,n!A491,n!B491,n!C491,n!D491)</f>
        <v>Przepływy środków pieniężnych z działalności operacyjnej</v>
      </c>
      <c r="G13" s="342"/>
      <c r="H13" s="338"/>
      <c r="I13" s="7"/>
      <c r="J13" s="7"/>
    </row>
    <row r="14" spans="2:11" s="336" customFormat="1">
      <c r="C14" s="342"/>
      <c r="G14" s="342"/>
      <c r="H14" s="338"/>
      <c r="I14" s="7"/>
      <c r="J14" s="7"/>
    </row>
    <row r="15" spans="2:11" s="336" customFormat="1">
      <c r="C15" s="336" t="s">
        <v>6585</v>
      </c>
      <c r="D15" s="336" t="str">
        <f>CHOOSE(jezyk,n!A506,n!B506,n!C506,n!D506)</f>
        <v>Wpływy</v>
      </c>
      <c r="G15" s="343"/>
      <c r="H15" s="338"/>
      <c r="I15" s="6">
        <f>SUM(I17:I18)</f>
        <v>0</v>
      </c>
      <c r="J15" s="6">
        <f>SUM(J17:J18)</f>
        <v>0</v>
      </c>
    </row>
    <row r="16" spans="2:11" s="336" customFormat="1">
      <c r="G16" s="343"/>
      <c r="H16" s="338"/>
      <c r="I16" s="7"/>
      <c r="J16" s="7"/>
    </row>
    <row r="17" spans="2:10">
      <c r="D17" s="1" t="s">
        <v>6530</v>
      </c>
      <c r="E17" s="1" t="str">
        <f>CHOOSE(jezyk,n!A549,n!B549,n!C549,n!D549)</f>
        <v>Sprzedaż</v>
      </c>
      <c r="G17" s="344"/>
      <c r="H17" s="345"/>
      <c r="I17" s="8"/>
      <c r="J17" s="8"/>
    </row>
    <row r="18" spans="2:10">
      <c r="D18" s="1" t="s">
        <v>6540</v>
      </c>
      <c r="E18" s="1" t="str">
        <f>CHOOSE(jezyk,n!A550,n!B550,n!C550,n!D550)</f>
        <v>Inne wpływy z działalności operacyjnej</v>
      </c>
      <c r="H18" s="345"/>
      <c r="I18" s="9"/>
      <c r="J18" s="9"/>
    </row>
    <row r="19" spans="2:10">
      <c r="E19" s="346"/>
      <c r="H19" s="345"/>
      <c r="I19" s="11"/>
      <c r="J19" s="11"/>
    </row>
    <row r="20" spans="2:10" s="336" customFormat="1">
      <c r="C20" s="336" t="s">
        <v>6586</v>
      </c>
      <c r="D20" s="347" t="str">
        <f>CHOOSE(jezyk,n!A518,n!B518,n!C518,n!D518)</f>
        <v>Wydatki</v>
      </c>
      <c r="H20" s="338"/>
      <c r="I20" s="6">
        <f>SUM(I22:I26)</f>
        <v>0</v>
      </c>
      <c r="J20" s="6">
        <f>SUM(J22:J26)</f>
        <v>0</v>
      </c>
    </row>
    <row r="21" spans="2:10" s="336" customFormat="1">
      <c r="D21" s="347"/>
      <c r="H21" s="338"/>
      <c r="I21" s="7"/>
      <c r="J21" s="7"/>
    </row>
    <row r="22" spans="2:10">
      <c r="D22" s="1" t="s">
        <v>6530</v>
      </c>
      <c r="E22" s="346" t="str">
        <f>CHOOSE(jezyk,n!A551,n!B551,n!C551,n!D551)</f>
        <v>Dostawy i usługi</v>
      </c>
      <c r="H22" s="345"/>
      <c r="I22" s="9"/>
      <c r="J22" s="9"/>
    </row>
    <row r="23" spans="2:10">
      <c r="D23" s="1" t="s">
        <v>6540</v>
      </c>
      <c r="E23" s="346" t="str">
        <f>CHOOSE(jezyk,n!A552,n!B552,n!C552,n!D552)</f>
        <v>Wynagrodzenia netto</v>
      </c>
      <c r="H23" s="345"/>
      <c r="I23" s="9"/>
      <c r="J23" s="9"/>
    </row>
    <row r="24" spans="2:10">
      <c r="D24" s="1" t="s">
        <v>6544</v>
      </c>
      <c r="E24" s="346" t="str">
        <f>CHOOSE(jezyk,n!A553,n!B553,n!C553,n!D553)</f>
        <v>Ubezpieczenia społeczne i zdrowotne oraz inne świadczenia</v>
      </c>
      <c r="H24" s="345"/>
      <c r="I24" s="9"/>
      <c r="J24" s="9"/>
    </row>
    <row r="25" spans="2:10">
      <c r="D25" s="1" t="s">
        <v>6545</v>
      </c>
      <c r="E25" s="346" t="str">
        <f>CHOOSE(jezyk,n!A554,n!B554,n!C554,n!D554)</f>
        <v>Podatki i opłaty o charakterze publicznoprawnym</v>
      </c>
      <c r="H25" s="345"/>
      <c r="I25" s="9"/>
      <c r="J25" s="9"/>
    </row>
    <row r="26" spans="2:10">
      <c r="D26" s="1" t="s">
        <v>6550</v>
      </c>
      <c r="E26" s="346" t="str">
        <f>CHOOSE(jezyk,n!A555,n!B555,n!C555,n!D555)</f>
        <v>Inne wydatki operacyjne</v>
      </c>
      <c r="H26" s="345"/>
      <c r="I26" s="9"/>
      <c r="J26" s="9"/>
    </row>
    <row r="27" spans="2:10">
      <c r="E27" s="346"/>
      <c r="H27" s="345"/>
      <c r="I27" s="11"/>
      <c r="J27" s="11"/>
    </row>
    <row r="28" spans="2:10" s="336" customFormat="1">
      <c r="C28" s="336" t="s">
        <v>6587</v>
      </c>
      <c r="D28" s="347" t="str">
        <f>CHOOSE(jezyk,n!A504,n!B504,n!C504,n!D504)</f>
        <v>Przepływy pieniężne netto z działalności operacyjnej</v>
      </c>
      <c r="H28" s="338"/>
      <c r="I28" s="6">
        <f>I15-I20</f>
        <v>0</v>
      </c>
      <c r="J28" s="6">
        <f>J15-J20</f>
        <v>0</v>
      </c>
    </row>
    <row r="29" spans="2:10" s="336" customFormat="1">
      <c r="D29" s="347"/>
      <c r="H29" s="338"/>
      <c r="I29" s="7"/>
      <c r="J29" s="7"/>
    </row>
    <row r="30" spans="2:10" s="336" customFormat="1">
      <c r="B30" s="336" t="s">
        <v>6597</v>
      </c>
      <c r="C30" s="347" t="str">
        <f>CHOOSE(jezyk,n!A505,n!B505,n!C505,n!D505)</f>
        <v>Przepływy środków pieniężnych z działalności inwestycyjnej</v>
      </c>
      <c r="H30" s="338"/>
      <c r="I30" s="7"/>
      <c r="J30" s="7"/>
    </row>
    <row r="31" spans="2:10" s="336" customFormat="1">
      <c r="C31" s="342"/>
      <c r="H31" s="338"/>
      <c r="I31" s="7"/>
      <c r="J31" s="7"/>
    </row>
    <row r="32" spans="2:10" s="336" customFormat="1">
      <c r="C32" s="336" t="s">
        <v>6585</v>
      </c>
      <c r="D32" s="347" t="str">
        <f>CHOOSE(jezyk,n!A506,n!B506,n!C506,n!D506)</f>
        <v>Wpływy</v>
      </c>
      <c r="H32" s="338"/>
      <c r="I32" s="6">
        <f>SUM(I34:I36)+I44</f>
        <v>0</v>
      </c>
      <c r="J32" s="6">
        <f>SUM(J34:J36)+J44</f>
        <v>0</v>
      </c>
    </row>
    <row r="33" spans="3:10">
      <c r="D33" s="347"/>
      <c r="H33" s="338"/>
      <c r="I33" s="7"/>
      <c r="J33" s="7"/>
    </row>
    <row r="34" spans="3:10">
      <c r="D34" s="1" t="s">
        <v>6530</v>
      </c>
      <c r="E34" s="346" t="str">
        <f>CHOOSE(jezyk,n!A507,n!B507,n!C507,n!D507)</f>
        <v>Zbycie wartości niematerialnych i prawnych oraz rzeczowych aktywów trwałych</v>
      </c>
      <c r="G34" s="344"/>
      <c r="H34" s="345"/>
      <c r="I34" s="9"/>
      <c r="J34" s="9"/>
    </row>
    <row r="35" spans="3:10">
      <c r="D35" s="1" t="s">
        <v>6540</v>
      </c>
      <c r="E35" s="346" t="str">
        <f>CHOOSE(jezyk,n!A508,n!B508,n!C508,n!D508)</f>
        <v>Zbycie inwestycji w nieruchomości oraz wartości niematerialne i prawne</v>
      </c>
      <c r="G35" s="344"/>
      <c r="H35" s="345"/>
      <c r="I35" s="9"/>
      <c r="J35" s="9"/>
    </row>
    <row r="36" spans="3:10">
      <c r="D36" s="1" t="s">
        <v>6544</v>
      </c>
      <c r="E36" s="346" t="str">
        <f>CHOOSE(jezyk,n!A509,n!B509,n!C509,n!D509)</f>
        <v>Z aktywów finansowych, w tym:</v>
      </c>
      <c r="G36" s="344"/>
      <c r="H36" s="345"/>
      <c r="I36" s="10">
        <f>SUM(I37:I38)</f>
        <v>0</v>
      </c>
      <c r="J36" s="10">
        <f>SUM(J37:J38)</f>
        <v>0</v>
      </c>
    </row>
    <row r="37" spans="3:10">
      <c r="E37" s="1" t="s">
        <v>6591</v>
      </c>
      <c r="F37" s="346" t="str">
        <f>CHOOSE(jezyk,n!A510,n!B510,n!C510,n!D510)</f>
        <v>w jednostkach powiązanych</v>
      </c>
      <c r="H37" s="345"/>
      <c r="I37" s="9"/>
      <c r="J37" s="9"/>
    </row>
    <row r="38" spans="3:10">
      <c r="E38" s="1" t="s">
        <v>6593</v>
      </c>
      <c r="F38" s="346" t="str">
        <f>CHOOSE(jezyk,n!A511,n!B511,n!C511,n!D511)</f>
        <v>w pozostałych jednostkach</v>
      </c>
      <c r="H38" s="345"/>
      <c r="I38" s="10">
        <f>SUM(I39:I43)</f>
        <v>0</v>
      </c>
      <c r="J38" s="10">
        <f>SUM(J39:J43)</f>
        <v>0</v>
      </c>
    </row>
    <row r="39" spans="3:10">
      <c r="F39" s="1" t="s">
        <v>6547</v>
      </c>
      <c r="G39" s="346" t="str">
        <f>CHOOSE(jezyk,n!A512,n!B512,n!C512,n!D512)</f>
        <v>zbycie aktywów finansowych</v>
      </c>
      <c r="H39" s="345"/>
      <c r="I39" s="9"/>
      <c r="J39" s="9"/>
    </row>
    <row r="40" spans="3:10">
      <c r="F40" s="1" t="s">
        <v>6547</v>
      </c>
      <c r="G40" s="346" t="str">
        <f>CHOOSE(jezyk,n!A513,n!B513,n!C513,n!D513)</f>
        <v>dywidendy i udziały w zyskach</v>
      </c>
      <c r="H40" s="345"/>
      <c r="I40" s="9"/>
      <c r="J40" s="9"/>
    </row>
    <row r="41" spans="3:10">
      <c r="F41" s="1" t="s">
        <v>6547</v>
      </c>
      <c r="G41" s="346" t="str">
        <f>CHOOSE(jezyk,n!A514,n!B514,n!C514,n!D514)</f>
        <v>spłata udzielonych pożyczek długoterminowych</v>
      </c>
      <c r="H41" s="345"/>
      <c r="I41" s="9"/>
      <c r="J41" s="9"/>
    </row>
    <row r="42" spans="3:10">
      <c r="F42" s="1" t="s">
        <v>6547</v>
      </c>
      <c r="G42" s="346" t="str">
        <f>CHOOSE(jezyk,n!A515,n!B515,n!C515,n!D515)</f>
        <v>odsetki</v>
      </c>
      <c r="H42" s="345"/>
      <c r="I42" s="9"/>
      <c r="J42" s="9"/>
    </row>
    <row r="43" spans="3:10">
      <c r="F43" s="1" t="s">
        <v>6547</v>
      </c>
      <c r="G43" s="346" t="str">
        <f>CHOOSE(jezyk,n!A516,n!B516,n!C516,n!D516)</f>
        <v>inne wpływy z aktywów finansowych</v>
      </c>
      <c r="H43" s="345"/>
      <c r="I43" s="9"/>
      <c r="J43" s="9"/>
    </row>
    <row r="44" spans="3:10">
      <c r="D44" s="1" t="s">
        <v>6545</v>
      </c>
      <c r="E44" s="346" t="str">
        <f>CHOOSE(jezyk,n!A517,n!B517,n!C517,n!D517)</f>
        <v>Inne wpływy inwestycyjne</v>
      </c>
      <c r="G44" s="344"/>
      <c r="H44" s="345"/>
      <c r="I44" s="9"/>
      <c r="J44" s="9"/>
    </row>
    <row r="45" spans="3:10">
      <c r="E45" s="346"/>
      <c r="G45" s="344"/>
      <c r="H45" s="345"/>
      <c r="I45" s="11"/>
      <c r="J45" s="11"/>
    </row>
    <row r="46" spans="3:10" s="336" customFormat="1">
      <c r="C46" s="336" t="s">
        <v>6586</v>
      </c>
      <c r="D46" s="347" t="str">
        <f>CHOOSE(jezyk,n!A518,n!B518,n!C518,n!D518)</f>
        <v>Wydatki</v>
      </c>
      <c r="G46" s="343"/>
      <c r="H46" s="338"/>
      <c r="I46" s="6">
        <f>SUM(I48:I50)+I55</f>
        <v>0</v>
      </c>
      <c r="J46" s="6">
        <f>SUM(J48:J50)+J55</f>
        <v>0</v>
      </c>
    </row>
    <row r="47" spans="3:10" s="336" customFormat="1">
      <c r="D47" s="347"/>
      <c r="G47" s="343"/>
      <c r="H47" s="338"/>
      <c r="I47" s="7"/>
      <c r="J47" s="7"/>
    </row>
    <row r="48" spans="3:10">
      <c r="D48" s="1" t="s">
        <v>6530</v>
      </c>
      <c r="E48" s="346" t="str">
        <f>CHOOSE(jezyk,n!A519,n!B519,n!C519,n!D519)</f>
        <v>Nabycie wartości niematerialnych i prawnych oraz rzeczowych aktywów trwałych</v>
      </c>
      <c r="H48" s="345"/>
      <c r="I48" s="9"/>
      <c r="J48" s="9"/>
    </row>
    <row r="49" spans="2:10">
      <c r="D49" s="1" t="s">
        <v>6540</v>
      </c>
      <c r="E49" s="346" t="str">
        <f>CHOOSE(jezyk,n!A520,n!B520,n!C520,n!D520)</f>
        <v>Inwestycje w nieruchomości oraz wartości niematerialne i prawne</v>
      </c>
      <c r="H49" s="345"/>
      <c r="I49" s="9"/>
      <c r="J49" s="9"/>
    </row>
    <row r="50" spans="2:10">
      <c r="D50" s="1" t="s">
        <v>6544</v>
      </c>
      <c r="E50" s="346" t="str">
        <f>CHOOSE(jezyk,n!A521,n!B521,n!C521,n!D521)</f>
        <v>Na aktywa finansowe, w tym:</v>
      </c>
      <c r="H50" s="345"/>
      <c r="I50" s="10">
        <f>SUM(I51:I52)</f>
        <v>0</v>
      </c>
      <c r="J50" s="10">
        <f>SUM(J51:J52)</f>
        <v>0</v>
      </c>
    </row>
    <row r="51" spans="2:10">
      <c r="E51" s="1" t="s">
        <v>6591</v>
      </c>
      <c r="F51" s="346" t="str">
        <f>CHOOSE(jezyk,n!A510,n!B510,n!C510,n!D510)</f>
        <v>w jednostkach powiązanych</v>
      </c>
      <c r="H51" s="345"/>
      <c r="I51" s="9"/>
      <c r="J51" s="9"/>
    </row>
    <row r="52" spans="2:10">
      <c r="E52" s="1" t="s">
        <v>6593</v>
      </c>
      <c r="F52" s="346" t="str">
        <f>CHOOSE(jezyk,n!A511,n!B511,n!C511,n!D511)</f>
        <v>w pozostałych jednostkach</v>
      </c>
      <c r="H52" s="345"/>
      <c r="I52" s="10">
        <f>SUM(I53:I54)</f>
        <v>0</v>
      </c>
      <c r="J52" s="10">
        <f>SUM(J53:J54)</f>
        <v>0</v>
      </c>
    </row>
    <row r="53" spans="2:10">
      <c r="F53" s="1" t="s">
        <v>6547</v>
      </c>
      <c r="G53" s="346" t="str">
        <f>CHOOSE(jezyk,n!A522,n!B522,n!C522,n!D522)</f>
        <v>nabycie aktywów finansowych</v>
      </c>
      <c r="H53" s="345"/>
      <c r="I53" s="9"/>
      <c r="J53" s="9"/>
    </row>
    <row r="54" spans="2:10">
      <c r="F54" s="1" t="s">
        <v>6547</v>
      </c>
      <c r="G54" s="346" t="str">
        <f>CHOOSE(jezyk,n!A523,n!B523,n!C523,n!D523)</f>
        <v>udzielone pożyczki długoterminowe</v>
      </c>
      <c r="H54" s="345"/>
      <c r="I54" s="9"/>
      <c r="J54" s="9"/>
    </row>
    <row r="55" spans="2:10">
      <c r="D55" s="1" t="s">
        <v>6545</v>
      </c>
      <c r="E55" s="346" t="str">
        <f>CHOOSE(jezyk,n!A524,n!B524,n!C524,n!D524)</f>
        <v>Inne wydatki inwestycyjne</v>
      </c>
      <c r="H55" s="345"/>
      <c r="I55" s="9"/>
      <c r="J55" s="9"/>
    </row>
    <row r="56" spans="2:10">
      <c r="E56" s="346"/>
      <c r="H56" s="345"/>
      <c r="I56" s="11"/>
      <c r="J56" s="11"/>
    </row>
    <row r="57" spans="2:10" s="336" customFormat="1">
      <c r="C57" s="336" t="s">
        <v>6587</v>
      </c>
      <c r="D57" s="347" t="str">
        <f>CHOOSE(jezyk,n!A525,n!B525,n!C525,n!D525)</f>
        <v>Przepływy pieniężne netto z działalności inwestycyjnej</v>
      </c>
      <c r="G57" s="343"/>
      <c r="H57" s="338"/>
      <c r="I57" s="8">
        <f>I32-I46</f>
        <v>0</v>
      </c>
      <c r="J57" s="8">
        <f>J32-J46</f>
        <v>0</v>
      </c>
    </row>
    <row r="58" spans="2:10" s="336" customFormat="1">
      <c r="D58" s="347"/>
      <c r="G58" s="343"/>
      <c r="H58" s="338"/>
      <c r="I58" s="7"/>
      <c r="J58" s="7"/>
    </row>
    <row r="59" spans="2:10" s="336" customFormat="1">
      <c r="B59" s="336" t="s">
        <v>6602</v>
      </c>
      <c r="C59" s="347" t="str">
        <f>CHOOSE(jezyk,n!A526,n!B526,n!C526,n!D526)</f>
        <v>Przepływy środków pieniężnych z działalności finansowej</v>
      </c>
      <c r="H59" s="338"/>
      <c r="I59" s="7"/>
      <c r="J59" s="7"/>
    </row>
    <row r="60" spans="2:10" s="336" customFormat="1">
      <c r="C60" s="342"/>
      <c r="H60" s="338"/>
      <c r="I60" s="7"/>
      <c r="J60" s="7"/>
    </row>
    <row r="61" spans="2:10" s="336" customFormat="1">
      <c r="C61" s="336" t="s">
        <v>6585</v>
      </c>
      <c r="D61" s="347" t="str">
        <f>CHOOSE(jezyk,n!A506,n!B506,n!C506,n!D506)</f>
        <v>Wpływy</v>
      </c>
      <c r="H61" s="338"/>
      <c r="I61" s="6">
        <f>SUM(I63:I66)</f>
        <v>0</v>
      </c>
      <c r="J61" s="6">
        <f>SUM(J63:J66)</f>
        <v>0</v>
      </c>
    </row>
    <row r="62" spans="2:10" s="336" customFormat="1">
      <c r="D62" s="347"/>
      <c r="H62" s="338"/>
      <c r="I62" s="7"/>
      <c r="J62" s="7"/>
    </row>
    <row r="63" spans="2:10">
      <c r="D63" s="1" t="s">
        <v>6530</v>
      </c>
      <c r="E63" s="764" t="str">
        <f>CHOOSE(jezyk,n!A527,n!B527,n!C527,n!D527)</f>
        <v>Wpływy netto z wydania udziałów (emisji akcji) i innych instrumentów kapitałowych oraz dopłat do kapitału</v>
      </c>
      <c r="F63" s="765"/>
      <c r="G63" s="765"/>
      <c r="H63" s="765"/>
      <c r="I63" s="9"/>
      <c r="J63" s="9"/>
    </row>
    <row r="64" spans="2:10">
      <c r="D64" s="1" t="s">
        <v>6540</v>
      </c>
      <c r="E64" s="346" t="str">
        <f>CHOOSE(jezyk,n!A528,n!B528,n!C528,n!D528)</f>
        <v>Kredyty i pożyczki</v>
      </c>
      <c r="H64" s="345"/>
      <c r="I64" s="9"/>
      <c r="J64" s="9"/>
    </row>
    <row r="65" spans="2:10">
      <c r="D65" s="1" t="s">
        <v>6544</v>
      </c>
      <c r="E65" s="346" t="str">
        <f>CHOOSE(jezyk,n!A529,n!B529,n!C529,n!D529)</f>
        <v>Emisja dłużnych papierów wartościowych</v>
      </c>
      <c r="H65" s="345"/>
      <c r="I65" s="9"/>
      <c r="J65" s="9"/>
    </row>
    <row r="66" spans="2:10">
      <c r="D66" s="1" t="s">
        <v>6545</v>
      </c>
      <c r="E66" s="346" t="str">
        <f>CHOOSE(jezyk,n!A530,n!B530,n!C530,n!D530)</f>
        <v>Inne wpływy finansowe</v>
      </c>
      <c r="H66" s="345"/>
      <c r="I66" s="9"/>
      <c r="J66" s="9"/>
    </row>
    <row r="67" spans="2:10">
      <c r="E67" s="346"/>
      <c r="H67" s="345"/>
      <c r="I67" s="11"/>
      <c r="J67" s="11"/>
    </row>
    <row r="68" spans="2:10" s="336" customFormat="1">
      <c r="C68" s="336" t="s">
        <v>6586</v>
      </c>
      <c r="D68" s="347" t="str">
        <f>CHOOSE(jezyk,n!A518,n!B518,n!C518,n!D518)</f>
        <v>Wydatki</v>
      </c>
      <c r="H68" s="338"/>
      <c r="I68" s="6">
        <f>SUM(I70:I78)</f>
        <v>0</v>
      </c>
      <c r="J68" s="6">
        <f>SUM(J70:J78)</f>
        <v>0</v>
      </c>
    </row>
    <row r="69" spans="2:10" s="336" customFormat="1">
      <c r="D69" s="347"/>
      <c r="H69" s="338"/>
      <c r="I69" s="7"/>
      <c r="J69" s="7"/>
    </row>
    <row r="70" spans="2:10">
      <c r="D70" s="1" t="s">
        <v>6530</v>
      </c>
      <c r="E70" s="346" t="str">
        <f>CHOOSE(jezyk,n!A531,n!B531,n!C531,n!D531)</f>
        <v>Nabycie udziałów (akcji) własnych</v>
      </c>
      <c r="H70" s="345"/>
      <c r="I70" s="9"/>
      <c r="J70" s="9"/>
    </row>
    <row r="71" spans="2:10">
      <c r="D71" s="1" t="s">
        <v>6540</v>
      </c>
      <c r="E71" s="346" t="str">
        <f>CHOOSE(jezyk,n!A532,n!B532,n!C532,n!D532)</f>
        <v>Dywidendy i inne wypłaty na rzecz właścicieli</v>
      </c>
      <c r="H71" s="345"/>
      <c r="I71" s="9"/>
      <c r="J71" s="9"/>
    </row>
    <row r="72" spans="2:10">
      <c r="D72" s="1" t="s">
        <v>6544</v>
      </c>
      <c r="E72" s="346" t="str">
        <f>CHOOSE(jezyk,n!A533,n!B533,n!C533,n!D533)</f>
        <v>Inne, niż wypłaty na rzecz właścicieli, wydatki z tytułu podziału zysku</v>
      </c>
      <c r="H72" s="345"/>
      <c r="I72" s="9"/>
      <c r="J72" s="9"/>
    </row>
    <row r="73" spans="2:10">
      <c r="D73" s="1" t="s">
        <v>6545</v>
      </c>
      <c r="E73" s="346" t="str">
        <f>CHOOSE(jezyk,n!A534,n!B534,n!C534,n!D534)</f>
        <v>Spłaty kredytów i pożyczek</v>
      </c>
      <c r="H73" s="345"/>
      <c r="I73" s="9"/>
      <c r="J73" s="9"/>
    </row>
    <row r="74" spans="2:10">
      <c r="D74" s="1" t="s">
        <v>6550</v>
      </c>
      <c r="E74" s="346" t="str">
        <f>CHOOSE(jezyk,n!A535,n!B535,n!C535,n!D535)</f>
        <v>Wykup dłużnych papierów wartościowych</v>
      </c>
      <c r="G74" s="336"/>
      <c r="H74" s="345"/>
      <c r="I74" s="9"/>
      <c r="J74" s="9"/>
    </row>
    <row r="75" spans="2:10">
      <c r="D75" s="1" t="s">
        <v>6549</v>
      </c>
      <c r="E75" s="346" t="str">
        <f>CHOOSE(jezyk,n!A536,n!B536,n!C536,n!D536)</f>
        <v>Z tytułu innych zobowiązań finansowych</v>
      </c>
      <c r="H75" s="345"/>
      <c r="I75" s="9"/>
      <c r="J75" s="9"/>
    </row>
    <row r="76" spans="2:10">
      <c r="D76" s="1" t="s">
        <v>6763</v>
      </c>
      <c r="E76" s="346" t="str">
        <f>CHOOSE(jezyk,n!A537,n!B537,n!C537,n!D537)</f>
        <v>Płatności zobowiązań z tytułu umów leasingu finansowego</v>
      </c>
      <c r="H76" s="345"/>
      <c r="I76" s="9"/>
      <c r="J76" s="9"/>
    </row>
    <row r="77" spans="2:10">
      <c r="B77" s="348"/>
      <c r="C77" s="348"/>
      <c r="D77" s="348" t="s">
        <v>6772</v>
      </c>
      <c r="E77" s="346" t="str">
        <f>CHOOSE(jezyk,n!A538,n!B538,n!C538,n!D538)</f>
        <v>Odsetki</v>
      </c>
      <c r="F77" s="348"/>
      <c r="G77" s="348"/>
      <c r="H77" s="345"/>
      <c r="I77" s="9"/>
      <c r="J77" s="9"/>
    </row>
    <row r="78" spans="2:10">
      <c r="B78" s="348"/>
      <c r="C78" s="348"/>
      <c r="D78" s="348" t="s">
        <v>6773</v>
      </c>
      <c r="E78" s="346" t="str">
        <f>CHOOSE(jezyk,n!A539,n!B539,n!C539,n!D539)</f>
        <v>Inne wydatki finansowe</v>
      </c>
      <c r="F78" s="348"/>
      <c r="G78" s="348"/>
      <c r="H78" s="345"/>
      <c r="I78" s="9"/>
      <c r="J78" s="9"/>
    </row>
    <row r="79" spans="2:10">
      <c r="B79" s="348"/>
      <c r="C79" s="348"/>
      <c r="D79" s="348"/>
      <c r="E79" s="346"/>
      <c r="F79" s="348"/>
      <c r="G79" s="348"/>
      <c r="H79" s="345"/>
      <c r="I79" s="11"/>
      <c r="J79" s="11"/>
    </row>
    <row r="80" spans="2:10" s="336" customFormat="1">
      <c r="B80" s="349"/>
      <c r="C80" s="350" t="s">
        <v>6587</v>
      </c>
      <c r="D80" s="763" t="str">
        <f>CHOOSE(jezyk,n!A540,n!B540,n!C540,n!D540)</f>
        <v>Przepływy pieniężne netto z działalności finansowej</v>
      </c>
      <c r="E80" s="763"/>
      <c r="F80" s="763"/>
      <c r="G80" s="763"/>
      <c r="H80" s="338"/>
      <c r="I80" s="6">
        <f>I61-I68</f>
        <v>0</v>
      </c>
      <c r="J80" s="6">
        <f>J61-J68</f>
        <v>0</v>
      </c>
    </row>
    <row r="81" spans="2:12" s="336" customFormat="1">
      <c r="B81" s="349"/>
      <c r="C81" s="349"/>
      <c r="D81" s="347"/>
      <c r="E81" s="349"/>
      <c r="F81" s="349"/>
      <c r="G81" s="349"/>
      <c r="H81" s="338"/>
      <c r="I81" s="7"/>
      <c r="J81" s="7"/>
    </row>
    <row r="82" spans="2:12" s="336" customFormat="1">
      <c r="B82" s="349" t="s">
        <v>6603</v>
      </c>
      <c r="C82" s="347" t="str">
        <f>CHOOSE(jezyk,n!A541,n!B541,n!C541,n!D541)</f>
        <v>Przepływy pieniężne netto razem</v>
      </c>
      <c r="D82" s="349"/>
      <c r="E82" s="349"/>
      <c r="F82" s="349"/>
      <c r="G82" s="349"/>
      <c r="H82" s="338"/>
      <c r="I82" s="6">
        <f>I28+I57+I80</f>
        <v>0</v>
      </c>
      <c r="J82" s="6">
        <f>J28+J57+J80</f>
        <v>0</v>
      </c>
    </row>
    <row r="83" spans="2:12" s="336" customFormat="1">
      <c r="B83" s="349"/>
      <c r="C83" s="347"/>
      <c r="D83" s="349"/>
      <c r="E83" s="349"/>
      <c r="F83" s="349"/>
      <c r="G83" s="349"/>
      <c r="H83" s="338"/>
      <c r="I83" s="7"/>
      <c r="J83" s="7"/>
      <c r="L83" s="351" t="str">
        <f>dzb</f>
        <v>31.12.2024</v>
      </c>
    </row>
    <row r="84" spans="2:12" s="336" customFormat="1">
      <c r="B84" s="349" t="s">
        <v>6605</v>
      </c>
      <c r="C84" s="347" t="str">
        <f>CHOOSE(jezyk,n!A542,n!B542,n!C542,n!D542)</f>
        <v>Bilansowa zmiana stanu środków pieniężnych, w tym:</v>
      </c>
      <c r="D84" s="349"/>
      <c r="E84" s="349"/>
      <c r="F84" s="349"/>
      <c r="G84" s="349"/>
      <c r="H84" s="338"/>
      <c r="I84" s="6">
        <f>Bilans!J127-Bilans!K127</f>
        <v>0</v>
      </c>
      <c r="J84" s="40"/>
      <c r="L84" s="352">
        <f>I84-(Bilans!J127-Bilans!K127)</f>
        <v>0</v>
      </c>
    </row>
    <row r="85" spans="2:12" s="336" customFormat="1">
      <c r="B85" s="349"/>
      <c r="C85" s="347"/>
      <c r="D85" s="349"/>
      <c r="E85" s="349"/>
      <c r="F85" s="349"/>
      <c r="G85" s="349"/>
      <c r="H85" s="338"/>
      <c r="I85" s="7"/>
      <c r="J85" s="7"/>
    </row>
    <row r="86" spans="2:12">
      <c r="B86" s="348"/>
      <c r="C86" s="348" t="s">
        <v>6547</v>
      </c>
      <c r="D86" s="346" t="str">
        <f>CHOOSE(jezyk,n!A543,n!B543,n!C543,n!D543)</f>
        <v>zmiana stanu środków pieniężnych z tytułu różnic kursowych</v>
      </c>
      <c r="E86" s="348"/>
      <c r="F86" s="348"/>
      <c r="G86" s="348"/>
      <c r="H86" s="338"/>
      <c r="I86" s="8"/>
      <c r="J86" s="8"/>
    </row>
    <row r="87" spans="2:12">
      <c r="B87" s="348"/>
      <c r="C87" s="348"/>
      <c r="D87" s="346"/>
      <c r="E87" s="348"/>
      <c r="F87" s="348"/>
      <c r="G87" s="348"/>
      <c r="H87" s="338"/>
      <c r="I87" s="7"/>
      <c r="J87" s="7"/>
    </row>
    <row r="88" spans="2:12" s="336" customFormat="1">
      <c r="B88" s="349" t="s">
        <v>6606</v>
      </c>
      <c r="C88" s="347" t="str">
        <f>CHOOSE(jezyk,n!A544,n!B544,n!C544,n!D544)</f>
        <v>Środki pieniężne na początek okresu</v>
      </c>
      <c r="D88" s="349"/>
      <c r="E88" s="349"/>
      <c r="F88" s="349"/>
      <c r="G88" s="349"/>
      <c r="H88" s="338"/>
      <c r="I88" s="6">
        <f>J91</f>
        <v>0</v>
      </c>
      <c r="J88" s="8"/>
    </row>
    <row r="89" spans="2:12" s="336" customFormat="1">
      <c r="B89" s="349"/>
      <c r="C89" s="347"/>
      <c r="D89" s="349"/>
      <c r="E89" s="349"/>
      <c r="F89" s="349"/>
      <c r="G89" s="349"/>
      <c r="H89" s="338"/>
      <c r="I89" s="7"/>
      <c r="J89" s="7"/>
    </row>
    <row r="90" spans="2:12" s="336" customFormat="1">
      <c r="B90" s="353"/>
      <c r="C90" s="354"/>
      <c r="D90" s="353"/>
      <c r="E90" s="353"/>
      <c r="F90" s="353"/>
      <c r="G90" s="353"/>
      <c r="H90" s="355"/>
      <c r="I90" s="15"/>
      <c r="J90" s="15"/>
    </row>
    <row r="91" spans="2:12" s="336" customFormat="1">
      <c r="B91" s="349" t="s">
        <v>6607</v>
      </c>
      <c r="C91" s="347" t="str">
        <f>CHOOSE(jezyk,n!A545,n!B545,n!C545,n!D545)</f>
        <v>Środki pieniężne na koniec okresu, w tym:</v>
      </c>
      <c r="D91" s="349"/>
      <c r="E91" s="349"/>
      <c r="F91" s="349"/>
      <c r="G91" s="349"/>
      <c r="H91" s="338"/>
      <c r="I91" s="6">
        <f>I88+I82</f>
        <v>0</v>
      </c>
      <c r="J91" s="8"/>
      <c r="K91" s="339"/>
    </row>
    <row r="92" spans="2:12" s="336" customFormat="1">
      <c r="B92" s="349"/>
      <c r="C92" s="347"/>
      <c r="D92" s="349"/>
      <c r="E92" s="349"/>
      <c r="F92" s="349"/>
      <c r="G92" s="349"/>
      <c r="H92" s="338"/>
      <c r="I92" s="7"/>
      <c r="J92" s="7"/>
    </row>
    <row r="93" spans="2:12">
      <c r="B93" s="348"/>
      <c r="C93" s="348" t="s">
        <v>6547</v>
      </c>
      <c r="D93" s="346" t="str">
        <f>CHOOSE(jezyk,n!A546,n!B546,n!C546,n!D546)</f>
        <v>o ograniczonej możliwości dysponowania</v>
      </c>
      <c r="E93" s="348"/>
      <c r="F93" s="348"/>
      <c r="G93" s="348"/>
      <c r="H93" s="338"/>
      <c r="I93" s="8"/>
      <c r="J93" s="8"/>
    </row>
    <row r="94" spans="2:12" ht="13.5" thickBot="1">
      <c r="B94" s="356"/>
      <c r="C94" s="356"/>
      <c r="D94" s="356"/>
      <c r="E94" s="356"/>
      <c r="F94" s="356"/>
      <c r="G94" s="356"/>
      <c r="H94" s="357"/>
      <c r="I94" s="358"/>
      <c r="J94" s="358"/>
    </row>
    <row r="95" spans="2:12" ht="13.5" thickTop="1">
      <c r="H95" s="685"/>
    </row>
    <row r="96" spans="2:12" ht="12.75" customHeight="1">
      <c r="B96" s="426" t="str">
        <f>siedziba&amp;", "&amp;GA!D53</f>
        <v>Warszawa, 30.01.2025</v>
      </c>
      <c r="C96" s="2"/>
      <c r="D96" s="2"/>
      <c r="E96" s="2"/>
      <c r="F96" s="2"/>
      <c r="H96" s="761"/>
      <c r="I96" s="761"/>
      <c r="J96" s="761"/>
    </row>
    <row r="97" spans="2:10" ht="12.75" customHeight="1">
      <c r="B97" s="426"/>
      <c r="C97" s="2"/>
      <c r="D97" s="2"/>
      <c r="E97" s="2"/>
      <c r="F97" s="2"/>
      <c r="G97" s="1195" t="str">
        <f>CHOOSE(jezyk,n!A412,n!B412,n!C412,n!D412)</f>
        <v>Osoba sporządzająca:</v>
      </c>
      <c r="H97" s="685"/>
      <c r="I97" s="1196" t="str">
        <f>CHOOSE(jezyk,n!A413,n!B413,n!C413,n!D413)</f>
        <v>Zarząd:</v>
      </c>
      <c r="J97" s="685"/>
    </row>
    <row r="98" spans="2:10">
      <c r="G98" s="3"/>
      <c r="H98" s="762"/>
      <c r="I98" s="762"/>
      <c r="J98" s="762"/>
    </row>
    <row r="251" spans="27:27">
      <c r="AA251" s="66"/>
    </row>
  </sheetData>
  <sheetProtection formatCells="0" formatColumns="0" formatRows="0" insertRows="0" insertHyperlinks="0" sort="0" autoFilter="0" pivotTables="0"/>
  <mergeCells count="9">
    <mergeCell ref="B1:J1"/>
    <mergeCell ref="B3:J3"/>
    <mergeCell ref="H96:J96"/>
    <mergeCell ref="H98:J98"/>
    <mergeCell ref="B6:J6"/>
    <mergeCell ref="D80:G80"/>
    <mergeCell ref="B5:J5"/>
    <mergeCell ref="B4:J4"/>
    <mergeCell ref="E63:H63"/>
  </mergeCells>
  <phoneticPr fontId="0" type="noConversion"/>
  <hyperlinks>
    <hyperlink ref="B1:J1" location="'spis treści'!A1" display="SPIS TREŚCI" xr:uid="{00000000-0004-0000-1F00-000000000000}"/>
  </hyperlinks>
  <printOptions horizontalCentered="1"/>
  <pageMargins left="0.78740157480314965" right="0.78740157480314965" top="0.35433070866141736" bottom="0.98425196850393704" header="0.27559055118110237" footer="0.51181102362204722"/>
  <pageSetup paperSize="8" scale="92" orientation="portrait" blackAndWhite="1"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1">
    <tabColor rgb="FFFFC000"/>
    <pageSetUpPr fitToPage="1"/>
  </sheetPr>
  <dimension ref="A1:N110"/>
  <sheetViews>
    <sheetView showGridLines="0" view="pageBreakPreview" zoomScaleNormal="100" zoomScaleSheetLayoutView="100" workbookViewId="0"/>
  </sheetViews>
  <sheetFormatPr defaultColWidth="9.140625" defaultRowHeight="12.75"/>
  <cols>
    <col min="1" max="1" width="9.7109375" style="72" bestFit="1" customWidth="1"/>
    <col min="2" max="2" width="3.140625" style="72" customWidth="1"/>
    <col min="3" max="3" width="2.28515625" style="72" customWidth="1"/>
    <col min="4" max="5" width="3.140625" style="72" customWidth="1"/>
    <col min="6" max="6" width="1.5703125" style="72" customWidth="1"/>
    <col min="7" max="7" width="44.28515625" style="72" customWidth="1"/>
    <col min="8" max="8" width="4.42578125" style="72" customWidth="1"/>
    <col min="9" max="10" width="14.7109375" style="72" customWidth="1"/>
    <col min="11" max="11" width="13.5703125" style="72" customWidth="1"/>
    <col min="12" max="12" width="9.140625" style="72"/>
    <col min="13" max="13" width="12" style="72" customWidth="1"/>
    <col min="14" max="14" width="12.140625" style="72" customWidth="1"/>
    <col min="15" max="16384" width="9.140625" style="72"/>
  </cols>
  <sheetData>
    <row r="1" spans="2:10">
      <c r="B1" s="717" t="s">
        <v>3202</v>
      </c>
      <c r="C1" s="717"/>
      <c r="D1" s="717"/>
      <c r="E1" s="717"/>
      <c r="F1" s="717"/>
      <c r="G1" s="717"/>
      <c r="H1" s="717"/>
      <c r="I1" s="717"/>
      <c r="J1" s="717"/>
    </row>
    <row r="2" spans="2:10" ht="42" customHeight="1">
      <c r="B2" s="385"/>
      <c r="C2" s="385"/>
      <c r="D2" s="385"/>
      <c r="E2" s="385"/>
      <c r="F2" s="385"/>
      <c r="G2" s="385"/>
      <c r="H2" s="385"/>
      <c r="I2" s="385"/>
      <c r="J2" s="385"/>
    </row>
    <row r="3" spans="2:10" ht="23.25" customHeight="1">
      <c r="B3" s="753" t="str">
        <f>nazwa_spolki &amp;", " &amp;siedziba</f>
        <v>Rhenus Digital Workforce Sp. z o.o., Warszawa</v>
      </c>
      <c r="C3" s="753"/>
      <c r="D3" s="753"/>
      <c r="E3" s="753"/>
      <c r="F3" s="753"/>
      <c r="G3" s="753"/>
      <c r="H3" s="753"/>
      <c r="I3" s="753"/>
      <c r="J3" s="753"/>
    </row>
    <row r="4" spans="2:10">
      <c r="B4" s="768" t="str">
        <f>CHOOSE(jezyk,n!A557,n!B557,n!C557,n!D557)</f>
        <v>Zestawienie zmian w kapitale (funduszu) własnym</v>
      </c>
      <c r="C4" s="768"/>
      <c r="D4" s="768"/>
      <c r="E4" s="768"/>
      <c r="F4" s="768"/>
      <c r="G4" s="768"/>
      <c r="H4" s="768"/>
      <c r="I4" s="768"/>
      <c r="J4" s="768"/>
    </row>
    <row r="5" spans="2:10">
      <c r="B5" s="751" t="str">
        <f>CHOOSE(jezyk,n!A418,n!B418,n!C418,n!D418)</f>
        <v>za rok obrotowy od 01.01.2024 do 31.12.2024</v>
      </c>
      <c r="C5" s="751"/>
      <c r="D5" s="751"/>
      <c r="E5" s="751"/>
      <c r="F5" s="751"/>
      <c r="G5" s="751"/>
      <c r="H5" s="751"/>
      <c r="I5" s="751"/>
      <c r="J5" s="751"/>
    </row>
    <row r="6" spans="2:10">
      <c r="B6" s="107"/>
      <c r="C6" s="107"/>
      <c r="D6" s="107"/>
      <c r="E6" s="107"/>
      <c r="F6" s="107"/>
      <c r="G6" s="107"/>
      <c r="H6" s="107"/>
      <c r="I6" s="107"/>
      <c r="J6" s="107"/>
    </row>
    <row r="7" spans="2:10">
      <c r="J7" s="133" t="str">
        <f>IF(GA!D51="nie","",CHOOSE(jezyk,n!A289,n!B289,n!C289,n!D289))</f>
        <v/>
      </c>
    </row>
    <row r="8" spans="2:10">
      <c r="I8" s="108" t="str">
        <f>CHOOSE(jezyk,n!A287,n!B287,n!C287,n!D287)</f>
        <v>Rok bieżący</v>
      </c>
      <c r="J8" s="108" t="str">
        <f>IF(GA!D51="nie",CHOOSE(jezyk,n!A288,n!B288,n!C288,n!D288),CHOOSE(jezyk,n!A290,n!B290,n!C290,n!D290))</f>
        <v>Rok poprzedni</v>
      </c>
    </row>
    <row r="9" spans="2:10">
      <c r="B9" s="109"/>
      <c r="C9" s="109"/>
      <c r="D9" s="109"/>
      <c r="E9" s="109"/>
      <c r="F9" s="109"/>
      <c r="G9" s="109"/>
      <c r="H9" s="109"/>
      <c r="I9" s="110" t="s">
        <v>6583</v>
      </c>
      <c r="J9" s="110" t="s">
        <v>6583</v>
      </c>
    </row>
    <row r="11" spans="2:10" s="111" customFormat="1">
      <c r="B11" s="111" t="s">
        <v>6585</v>
      </c>
      <c r="C11" s="111" t="str">
        <f>CHOOSE(jezyk,n!A558,n!B558,n!C558,n!D558)</f>
        <v>Kapitał (fundusz) własny na początek okresu (BO)</v>
      </c>
      <c r="I11" s="112">
        <f>J100</f>
        <v>0</v>
      </c>
      <c r="J11" s="113">
        <v>0</v>
      </c>
    </row>
    <row r="12" spans="2:10">
      <c r="C12" s="72" t="s">
        <v>6547</v>
      </c>
      <c r="D12" s="72" t="str">
        <f>CHOOSE(jezyk,n!A599,n!B599,n!C599,n!D598)</f>
        <v>zmiany przyjętych zasad (polityki) rachunkowości</v>
      </c>
      <c r="H12" s="114"/>
      <c r="I12" s="115">
        <v>0</v>
      </c>
      <c r="J12" s="115">
        <v>0</v>
      </c>
    </row>
    <row r="13" spans="2:10">
      <c r="C13" s="72" t="s">
        <v>6547</v>
      </c>
      <c r="D13" s="72" t="str">
        <f>CHOOSE(jezyk,n!A560,n!B560,n!C560,n!D560)</f>
        <v xml:space="preserve">korekty błędów </v>
      </c>
      <c r="I13" s="115">
        <v>0</v>
      </c>
      <c r="J13" s="115">
        <v>0</v>
      </c>
    </row>
    <row r="14" spans="2:10">
      <c r="I14" s="92"/>
      <c r="J14" s="92"/>
    </row>
    <row r="15" spans="2:10" ht="12" customHeight="1">
      <c r="B15" s="111" t="s">
        <v>6775</v>
      </c>
      <c r="C15" s="766" t="str">
        <f>CHOOSE(jezyk,n!A561,n!B561,n!C561,n!D561)</f>
        <v>Kapitał (fundusz) własny na początek okresu (BO), po korektach</v>
      </c>
      <c r="D15" s="766"/>
      <c r="E15" s="766"/>
      <c r="F15" s="766"/>
      <c r="G15" s="766"/>
      <c r="I15" s="116">
        <f>I11+I13+I12</f>
        <v>0</v>
      </c>
      <c r="J15" s="116">
        <f>J11+J13+J12</f>
        <v>0</v>
      </c>
    </row>
    <row r="16" spans="2:10" ht="12" customHeight="1">
      <c r="B16" s="111"/>
      <c r="C16" s="766"/>
      <c r="D16" s="766"/>
      <c r="E16" s="766"/>
      <c r="F16" s="766"/>
      <c r="G16" s="766"/>
      <c r="I16" s="92"/>
      <c r="J16" s="92"/>
    </row>
    <row r="17" spans="2:14">
      <c r="B17" s="111"/>
      <c r="C17" s="117"/>
      <c r="D17" s="99"/>
      <c r="E17" s="99"/>
      <c r="F17" s="99"/>
      <c r="G17" s="99"/>
      <c r="I17" s="92"/>
      <c r="J17" s="92"/>
    </row>
    <row r="18" spans="2:14" s="111" customFormat="1">
      <c r="C18" s="111" t="s">
        <v>6530</v>
      </c>
      <c r="D18" s="111" t="str">
        <f>CHOOSE(jezyk,n!A562,n!B562,n!C562,n!D562)</f>
        <v>Kapitał (fundusz) podstawowy na początek okresu</v>
      </c>
      <c r="I18" s="112">
        <f>J27</f>
        <v>0</v>
      </c>
      <c r="J18" s="113">
        <v>0</v>
      </c>
    </row>
    <row r="19" spans="2:14" s="111" customFormat="1">
      <c r="I19" s="118"/>
      <c r="J19" s="118"/>
    </row>
    <row r="20" spans="2:14">
      <c r="D20" s="72" t="s">
        <v>6619</v>
      </c>
      <c r="E20" s="72" t="str">
        <f>CHOOSE(jezyk,n!A563,n!B563,n!C563,n!D563)</f>
        <v>Zmiany kapitału (funduszu) podstawowego</v>
      </c>
      <c r="I20" s="116">
        <f>I21-I24</f>
        <v>0</v>
      </c>
      <c r="J20" s="116">
        <f>J21-J24</f>
        <v>0</v>
      </c>
    </row>
    <row r="21" spans="2:14">
      <c r="E21" s="72" t="s">
        <v>6591</v>
      </c>
      <c r="F21" s="72" t="str">
        <f>CHOOSE(jezyk,n!A564,n!B564,n!C564,n!D564)</f>
        <v>zwiększenie (z tytułu)</v>
      </c>
      <c r="I21" s="116">
        <f>SUM(I22:I23)</f>
        <v>0</v>
      </c>
      <c r="J21" s="116">
        <f>SUM(J22:J23)</f>
        <v>0</v>
      </c>
    </row>
    <row r="22" spans="2:14">
      <c r="F22" s="72" t="s">
        <v>6547</v>
      </c>
      <c r="G22" s="72" t="str">
        <f>CHOOSE(jezyk,n!A565,n!B565,n!C565,n!D565)</f>
        <v>wydania udziałów (emisji akcji)</v>
      </c>
      <c r="I22" s="119">
        <v>0</v>
      </c>
      <c r="J22" s="119">
        <v>0</v>
      </c>
    </row>
    <row r="23" spans="2:14">
      <c r="F23" s="72" t="s">
        <v>6547</v>
      </c>
      <c r="G23" s="120"/>
      <c r="I23" s="119">
        <v>0</v>
      </c>
      <c r="J23" s="119">
        <v>0</v>
      </c>
      <c r="K23" s="90" t="s">
        <v>6776</v>
      </c>
    </row>
    <row r="24" spans="2:14">
      <c r="E24" s="72" t="s">
        <v>6593</v>
      </c>
      <c r="F24" s="72" t="str">
        <f>CHOOSE(jezyk,n!A566,n!B566,n!C566,n!D566)</f>
        <v>zmniejszenie (z tytułu)</v>
      </c>
      <c r="I24" s="116">
        <f>SUM(I25:I26)</f>
        <v>0</v>
      </c>
      <c r="J24" s="116">
        <f>SUM(J25:J26)</f>
        <v>0</v>
      </c>
    </row>
    <row r="25" spans="2:14">
      <c r="F25" s="72" t="s">
        <v>6547</v>
      </c>
      <c r="G25" s="72" t="str">
        <f>CHOOSE(jezyk,n!A567,n!B567,n!C567,n!D567)</f>
        <v>umorzenia udziałów (akcji)</v>
      </c>
      <c r="I25" s="119">
        <v>0</v>
      </c>
      <c r="J25" s="119">
        <v>0</v>
      </c>
    </row>
    <row r="26" spans="2:14">
      <c r="F26" s="72" t="s">
        <v>6547</v>
      </c>
      <c r="G26" s="120"/>
      <c r="I26" s="119">
        <v>0</v>
      </c>
      <c r="J26" s="119">
        <v>0</v>
      </c>
      <c r="K26" s="90" t="s">
        <v>6776</v>
      </c>
      <c r="M26" s="121" t="str">
        <f>dzb</f>
        <v>31.12.2024</v>
      </c>
      <c r="N26" s="122" t="str">
        <f>pdz</f>
        <v>31.12.2023</v>
      </c>
    </row>
    <row r="27" spans="2:14">
      <c r="D27" s="111" t="s">
        <v>6628</v>
      </c>
      <c r="E27" s="111" t="str">
        <f>CHOOSE(jezyk,n!A568,n!B568,n!C568,n!D568)</f>
        <v>Kapitał (fundusz) podstawowy na koniec okresu</v>
      </c>
      <c r="F27" s="111"/>
      <c r="G27" s="111"/>
      <c r="H27" s="111"/>
      <c r="I27" s="112">
        <f>I18+I20</f>
        <v>0</v>
      </c>
      <c r="J27" s="112">
        <f>J18+J20</f>
        <v>0</v>
      </c>
      <c r="M27" s="123">
        <f>I27-Bilans!S12</f>
        <v>0</v>
      </c>
      <c r="N27" s="123">
        <f>J27-Bilans!T12</f>
        <v>0</v>
      </c>
    </row>
    <row r="28" spans="2:14">
      <c r="I28" s="92"/>
      <c r="J28" s="92"/>
    </row>
    <row r="29" spans="2:14" s="111" customFormat="1">
      <c r="C29" s="111" t="s">
        <v>6540</v>
      </c>
      <c r="D29" s="111" t="str">
        <f>CHOOSE(jezyk,n!A576,n!B576,n!C576,n!D576)</f>
        <v>Kapitał (fundusz) zapasowy na początek okresu</v>
      </c>
      <c r="I29" s="112">
        <f>J41</f>
        <v>0</v>
      </c>
      <c r="J29" s="113">
        <v>0</v>
      </c>
    </row>
    <row r="30" spans="2:14" s="111" customFormat="1">
      <c r="I30" s="118"/>
      <c r="J30" s="118"/>
    </row>
    <row r="31" spans="2:14">
      <c r="D31" s="72" t="s">
        <v>6649</v>
      </c>
      <c r="E31" s="72" t="str">
        <f>CHOOSE(jezyk,n!A577,n!B577,n!C577,n!D577)</f>
        <v>Zmiany kapitału (funduszu) zapasowego</v>
      </c>
      <c r="I31" s="116">
        <f>I32-I38</f>
        <v>0</v>
      </c>
      <c r="J31" s="116">
        <f>J32-J38</f>
        <v>0</v>
      </c>
    </row>
    <row r="32" spans="2:14">
      <c r="E32" s="72" t="s">
        <v>6591</v>
      </c>
      <c r="F32" s="72" t="str">
        <f>CHOOSE(jezyk,n!A564,n!B564,n!C564,n!D564)</f>
        <v>zwiększenie (z tytułu)</v>
      </c>
      <c r="I32" s="116">
        <f>SUM(I33:I37)</f>
        <v>0</v>
      </c>
      <c r="J32" s="116">
        <f>SUM(J33:J37)</f>
        <v>0</v>
      </c>
    </row>
    <row r="33" spans="1:14">
      <c r="F33" s="72" t="s">
        <v>6547</v>
      </c>
      <c r="G33" s="72" t="str">
        <f>CHOOSE(jezyk,n!A578,n!B578,n!C578,n!D578)</f>
        <v>emisji akcji powyżej wartości nominalnej</v>
      </c>
      <c r="I33" s="119">
        <v>0</v>
      </c>
      <c r="J33" s="119">
        <v>0</v>
      </c>
    </row>
    <row r="34" spans="1:14">
      <c r="F34" s="72" t="s">
        <v>6547</v>
      </c>
      <c r="G34" s="72" t="str">
        <f>CHOOSE(jezyk,n!A579,n!B579,n!C579,n!D579)</f>
        <v>podziału zysku (ustawowo)</v>
      </c>
      <c r="I34" s="119">
        <v>0</v>
      </c>
      <c r="J34" s="119">
        <v>0</v>
      </c>
    </row>
    <row r="35" spans="1:14">
      <c r="F35" s="72" t="s">
        <v>6547</v>
      </c>
      <c r="G35" s="722" t="str">
        <f>CHOOSE(jezyk,n!A580,n!B580,n!C580,n!D580)</f>
        <v>podziału zysku (ponad wymaganą ustawowo minimalną wartość)</v>
      </c>
      <c r="H35" s="722"/>
      <c r="I35" s="119">
        <v>0</v>
      </c>
      <c r="J35" s="119">
        <v>0</v>
      </c>
    </row>
    <row r="36" spans="1:14">
      <c r="G36" s="722"/>
      <c r="H36" s="722"/>
      <c r="I36" s="92"/>
      <c r="J36" s="92"/>
    </row>
    <row r="37" spans="1:14">
      <c r="F37" s="72" t="s">
        <v>6547</v>
      </c>
      <c r="G37" s="84"/>
      <c r="I37" s="119">
        <v>0</v>
      </c>
      <c r="J37" s="119">
        <v>0</v>
      </c>
      <c r="K37" s="90" t="s">
        <v>6776</v>
      </c>
    </row>
    <row r="38" spans="1:14">
      <c r="E38" s="72" t="s">
        <v>6593</v>
      </c>
      <c r="F38" s="72" t="str">
        <f>CHOOSE(jezyk,n!A566,n!B566,n!C566,n!D566)</f>
        <v>zmniejszenie (z tytułu)</v>
      </c>
      <c r="I38" s="116">
        <f>SUM(I39:I40)</f>
        <v>0</v>
      </c>
      <c r="J38" s="116">
        <f>SUM(J39:J40)</f>
        <v>0</v>
      </c>
    </row>
    <row r="39" spans="1:14">
      <c r="F39" s="72" t="s">
        <v>6547</v>
      </c>
      <c r="G39" s="72" t="str">
        <f>CHOOSE(jezyk,n!A582,n!B582,n!C582,n!D582)</f>
        <v>pokrycia straty</v>
      </c>
      <c r="I39" s="119">
        <v>0</v>
      </c>
      <c r="J39" s="119">
        <v>0</v>
      </c>
    </row>
    <row r="40" spans="1:14">
      <c r="F40" s="72" t="s">
        <v>6547</v>
      </c>
      <c r="G40" s="84"/>
      <c r="I40" s="119">
        <v>0</v>
      </c>
      <c r="J40" s="119">
        <v>0</v>
      </c>
      <c r="K40" s="90" t="s">
        <v>6776</v>
      </c>
      <c r="M40" s="121" t="str">
        <f>dzb</f>
        <v>31.12.2024</v>
      </c>
      <c r="N40" s="122" t="str">
        <f>pdz</f>
        <v>31.12.2023</v>
      </c>
    </row>
    <row r="41" spans="1:14">
      <c r="D41" s="111" t="s">
        <v>6684</v>
      </c>
      <c r="E41" s="769" t="str">
        <f>CHOOSE(jezyk,n!A583,n!B583,n!C583,n!D583)</f>
        <v>Stan kapitału (funduszu) zapasowego na koniec okresu</v>
      </c>
      <c r="F41" s="769"/>
      <c r="G41" s="769"/>
      <c r="H41" s="111"/>
      <c r="I41" s="112">
        <f>I29+I31</f>
        <v>0</v>
      </c>
      <c r="J41" s="112">
        <f>J29+J31</f>
        <v>0</v>
      </c>
      <c r="M41" s="123">
        <f>I41-Bilans!S13</f>
        <v>0</v>
      </c>
      <c r="N41" s="123">
        <f>J41-Bilans!T13</f>
        <v>0</v>
      </c>
    </row>
    <row r="42" spans="1:14">
      <c r="E42" s="99"/>
      <c r="F42" s="99"/>
      <c r="G42" s="99"/>
      <c r="I42" s="92"/>
      <c r="J42" s="92"/>
    </row>
    <row r="43" spans="1:14" s="111" customFormat="1" ht="37.5" customHeight="1">
      <c r="A43" s="72"/>
      <c r="C43" s="111" t="s">
        <v>6544</v>
      </c>
      <c r="D43" s="766" t="str">
        <f>CHOOSE(jezyk,n!A584,n!B584,n!C584,n!D584)</f>
        <v>Kapitał (fundusz) z aktualizacji wyceny na początek okresu – zmiany przyjętych zasad (polityki) rachunkowości</v>
      </c>
      <c r="E43" s="766"/>
      <c r="F43" s="766"/>
      <c r="G43" s="766"/>
      <c r="I43" s="112">
        <f>J52</f>
        <v>0</v>
      </c>
      <c r="J43" s="113">
        <v>0</v>
      </c>
    </row>
    <row r="44" spans="1:14" s="111" customFormat="1">
      <c r="D44" s="393"/>
      <c r="E44" s="393"/>
      <c r="F44" s="393"/>
      <c r="G44" s="393"/>
      <c r="I44" s="118"/>
      <c r="J44" s="118"/>
    </row>
    <row r="45" spans="1:14">
      <c r="D45" s="72" t="s">
        <v>6712</v>
      </c>
      <c r="E45" s="72" t="str">
        <f>CHOOSE(jezyk,n!A585,n!B585,n!C585,n!D585)</f>
        <v>Zmiany kapitału (funduszu) z aktualizacji wyceny</v>
      </c>
      <c r="I45" s="116">
        <f>I46-I49</f>
        <v>0</v>
      </c>
      <c r="J45" s="116">
        <f>J46-J49</f>
        <v>0</v>
      </c>
    </row>
    <row r="46" spans="1:14">
      <c r="E46" s="72" t="s">
        <v>6591</v>
      </c>
      <c r="F46" s="72" t="str">
        <f>CHOOSE(jezyk,n!A564,n!B564,n!C564,n!D564)</f>
        <v>zwiększenie (z tytułu)</v>
      </c>
      <c r="I46" s="116">
        <f>SUM(I47:I48)</f>
        <v>0</v>
      </c>
      <c r="J46" s="116">
        <f>SUM(J47:J48)</f>
        <v>0</v>
      </c>
    </row>
    <row r="47" spans="1:14">
      <c r="F47" s="72" t="s">
        <v>6547</v>
      </c>
      <c r="G47" s="84"/>
      <c r="I47" s="119">
        <v>0</v>
      </c>
      <c r="J47" s="119">
        <v>0</v>
      </c>
      <c r="K47" s="90" t="s">
        <v>6776</v>
      </c>
    </row>
    <row r="48" spans="1:14">
      <c r="F48" s="72" t="s">
        <v>6547</v>
      </c>
      <c r="G48" s="84"/>
      <c r="I48" s="119">
        <v>0</v>
      </c>
      <c r="J48" s="119">
        <v>0</v>
      </c>
      <c r="K48" s="90" t="s">
        <v>6776</v>
      </c>
    </row>
    <row r="49" spans="3:14">
      <c r="E49" s="72" t="s">
        <v>6593</v>
      </c>
      <c r="F49" s="72" t="str">
        <f>CHOOSE(jezyk,n!A566,n!B566,n!C566,n!D566)</f>
        <v>zmniejszenie (z tytułu)</v>
      </c>
      <c r="I49" s="116">
        <f>SUM(I50:I51)</f>
        <v>0</v>
      </c>
      <c r="J49" s="116">
        <f>SUM(J50:J51)</f>
        <v>0</v>
      </c>
    </row>
    <row r="50" spans="3:14">
      <c r="F50" s="72" t="s">
        <v>6547</v>
      </c>
      <c r="G50" s="72" t="str">
        <f>CHOOSE(jezyk,n!A586,n!B586,n!C586,n!D586)</f>
        <v>zbycia środków trwałych</v>
      </c>
      <c r="I50" s="119">
        <v>0</v>
      </c>
      <c r="J50" s="119">
        <v>0</v>
      </c>
    </row>
    <row r="51" spans="3:14">
      <c r="F51" s="72" t="s">
        <v>6547</v>
      </c>
      <c r="G51" s="84"/>
      <c r="I51" s="119">
        <v>0</v>
      </c>
      <c r="J51" s="119">
        <v>0</v>
      </c>
      <c r="K51" s="90" t="s">
        <v>6776</v>
      </c>
      <c r="M51" s="121" t="str">
        <f>dzb</f>
        <v>31.12.2024</v>
      </c>
      <c r="N51" s="122" t="str">
        <f>pdz</f>
        <v>31.12.2023</v>
      </c>
    </row>
    <row r="52" spans="3:14">
      <c r="D52" s="111" t="s">
        <v>6726</v>
      </c>
      <c r="E52" s="769" t="str">
        <f>CHOOSE(jezyk,n!A587,n!B587,n!C587,n!D587)</f>
        <v>Kapitał (fundusz) z aktualizacji wyceny na koniec okresu</v>
      </c>
      <c r="F52" s="769"/>
      <c r="G52" s="769"/>
      <c r="H52" s="111"/>
      <c r="I52" s="112">
        <f>I43+I45</f>
        <v>0</v>
      </c>
      <c r="J52" s="112">
        <f>J43+J45</f>
        <v>0</v>
      </c>
      <c r="M52" s="123">
        <f>I52-Bilans!S15</f>
        <v>0</v>
      </c>
      <c r="N52" s="123">
        <f>J52-Bilans!T15</f>
        <v>0</v>
      </c>
    </row>
    <row r="53" spans="3:14">
      <c r="E53" s="99"/>
      <c r="F53" s="99"/>
      <c r="G53" s="99"/>
      <c r="I53" s="92"/>
      <c r="J53" s="92"/>
    </row>
    <row r="54" spans="3:14">
      <c r="E54" s="99"/>
      <c r="F54" s="99"/>
      <c r="G54" s="99"/>
      <c r="I54" s="92"/>
      <c r="J54" s="92"/>
    </row>
    <row r="55" spans="3:14" s="111" customFormat="1" ht="12.75" customHeight="1">
      <c r="C55" s="111" t="s">
        <v>6545</v>
      </c>
      <c r="D55" s="766" t="str">
        <f>CHOOSE(jezyk,n!A588,n!B588,n!C588,n!D588)</f>
        <v>Pozostałe kapitały (fundusze) rezerwowe na początek okresu</v>
      </c>
      <c r="E55" s="766"/>
      <c r="F55" s="766"/>
      <c r="G55" s="766"/>
      <c r="H55" s="766"/>
      <c r="I55" s="112">
        <f>J64</f>
        <v>0</v>
      </c>
      <c r="J55" s="113">
        <v>0</v>
      </c>
    </row>
    <row r="56" spans="3:14" s="111" customFormat="1">
      <c r="D56" s="117"/>
      <c r="E56" s="117"/>
      <c r="F56" s="117"/>
      <c r="G56" s="117"/>
      <c r="I56" s="118"/>
      <c r="J56" s="118"/>
    </row>
    <row r="57" spans="3:14">
      <c r="D57" s="72" t="s">
        <v>6777</v>
      </c>
      <c r="E57" s="767" t="str">
        <f>CHOOSE(jezyk,n!A589,n!B589,n!C589,n!D589)</f>
        <v>Zmiany pozostałych kapitałów (funduszy) rezerwowych</v>
      </c>
      <c r="F57" s="767"/>
      <c r="G57" s="767"/>
      <c r="I57" s="116">
        <f>I58-I61</f>
        <v>0</v>
      </c>
      <c r="J57" s="116">
        <f>J58-J61</f>
        <v>0</v>
      </c>
    </row>
    <row r="58" spans="3:14">
      <c r="E58" s="72" t="s">
        <v>6591</v>
      </c>
      <c r="F58" s="72" t="str">
        <f>CHOOSE(jezyk,n!A564,n!B564,n!C564,n!D564)</f>
        <v>zwiększenie (z tytułu)</v>
      </c>
      <c r="I58" s="116">
        <f>SUM(I59:I60)</f>
        <v>0</v>
      </c>
      <c r="J58" s="116">
        <f>SUM(J59:J60)</f>
        <v>0</v>
      </c>
    </row>
    <row r="59" spans="3:14">
      <c r="F59" s="72" t="s">
        <v>6547</v>
      </c>
      <c r="G59" s="84"/>
      <c r="I59" s="119">
        <v>0</v>
      </c>
      <c r="J59" s="119">
        <v>0</v>
      </c>
      <c r="K59" s="90" t="s">
        <v>6776</v>
      </c>
    </row>
    <row r="60" spans="3:14">
      <c r="F60" s="72" t="s">
        <v>6547</v>
      </c>
      <c r="G60" s="84"/>
      <c r="I60" s="119">
        <v>0</v>
      </c>
      <c r="J60" s="119">
        <v>0</v>
      </c>
      <c r="K60" s="90" t="s">
        <v>6776</v>
      </c>
    </row>
    <row r="61" spans="3:14">
      <c r="E61" s="72" t="s">
        <v>6593</v>
      </c>
      <c r="F61" s="72" t="str">
        <f>CHOOSE(jezyk,n!A566,n!B566,n!C566,n!D566)</f>
        <v>zmniejszenie (z tytułu)</v>
      </c>
      <c r="I61" s="116">
        <f>SUM(I62:I63)</f>
        <v>0</v>
      </c>
      <c r="J61" s="116">
        <f>SUM(J62:J63)</f>
        <v>0</v>
      </c>
    </row>
    <row r="62" spans="3:14">
      <c r="F62" s="72" t="s">
        <v>6547</v>
      </c>
      <c r="G62" s="84"/>
      <c r="I62" s="119">
        <v>0</v>
      </c>
      <c r="J62" s="119">
        <v>0</v>
      </c>
      <c r="K62" s="90" t="s">
        <v>6776</v>
      </c>
    </row>
    <row r="63" spans="3:14">
      <c r="F63" s="72" t="s">
        <v>6547</v>
      </c>
      <c r="G63" s="84"/>
      <c r="I63" s="119">
        <v>0</v>
      </c>
      <c r="J63" s="119">
        <v>0</v>
      </c>
      <c r="K63" s="90" t="s">
        <v>6776</v>
      </c>
      <c r="M63" s="121" t="str">
        <f>dzb</f>
        <v>31.12.2024</v>
      </c>
      <c r="N63" s="122" t="str">
        <f>pdz</f>
        <v>31.12.2023</v>
      </c>
    </row>
    <row r="64" spans="3:14" s="111" customFormat="1" ht="27.75" customHeight="1">
      <c r="D64" s="111" t="s">
        <v>6778</v>
      </c>
      <c r="E64" s="766" t="str">
        <f>CHOOSE(jezyk,n!A590,n!B590,n!C590,n!D590)</f>
        <v>Pozostałe kapitały (fundusze) rezerwowe na koniec okresu</v>
      </c>
      <c r="F64" s="766"/>
      <c r="G64" s="766"/>
      <c r="I64" s="112">
        <f>I55+I57</f>
        <v>0</v>
      </c>
      <c r="J64" s="112">
        <f>J55+J57</f>
        <v>0</v>
      </c>
      <c r="M64" s="123">
        <f>I64-Bilans!S17</f>
        <v>0</v>
      </c>
      <c r="N64" s="123">
        <f>J64-Bilans!T17</f>
        <v>0</v>
      </c>
    </row>
    <row r="65" spans="3:11">
      <c r="E65" s="388"/>
      <c r="F65" s="388"/>
      <c r="G65" s="388"/>
      <c r="I65" s="92"/>
      <c r="J65" s="92"/>
    </row>
    <row r="66" spans="3:11" s="111" customFormat="1">
      <c r="C66" s="111" t="s">
        <v>6550</v>
      </c>
      <c r="D66" s="766" t="str">
        <f>CHOOSE(jezyk,n!A591,n!B591,n!C591,n!D591)</f>
        <v>Zysk (strata) z lat ubiegłych na początek okresu</v>
      </c>
      <c r="E66" s="766"/>
      <c r="F66" s="766"/>
      <c r="G66" s="766"/>
      <c r="H66" s="766"/>
      <c r="I66" s="112">
        <f>J94+J92</f>
        <v>0</v>
      </c>
      <c r="J66" s="113">
        <v>0</v>
      </c>
    </row>
    <row r="67" spans="3:11" s="111" customFormat="1">
      <c r="D67" s="766"/>
      <c r="E67" s="766"/>
      <c r="F67" s="766"/>
      <c r="G67" s="766"/>
      <c r="H67" s="766"/>
      <c r="I67" s="118"/>
      <c r="J67" s="118"/>
    </row>
    <row r="68" spans="3:11">
      <c r="D68" s="72" t="s">
        <v>6551</v>
      </c>
      <c r="E68" s="722" t="str">
        <f>CHOOSE(jezyk,n!A592,n!B592,n!C592,n!D592)</f>
        <v>Zysk z lat ubiegłych na początek okresu</v>
      </c>
      <c r="F68" s="722"/>
      <c r="G68" s="722"/>
      <c r="H68" s="722"/>
      <c r="I68" s="116">
        <f>J96+J78</f>
        <v>0</v>
      </c>
      <c r="J68" s="116">
        <f>IF(J66&gt;0,J66,0)</f>
        <v>0</v>
      </c>
    </row>
    <row r="69" spans="3:11" ht="12.75" customHeight="1">
      <c r="D69" s="72" t="s">
        <v>6547</v>
      </c>
      <c r="E69" s="767" t="str">
        <f>D12</f>
        <v>zmiany przyjętych zasad (polityki) rachunkowości</v>
      </c>
      <c r="F69" s="767"/>
      <c r="G69" s="767"/>
      <c r="I69" s="115">
        <v>0</v>
      </c>
      <c r="J69" s="115">
        <v>0</v>
      </c>
      <c r="K69" s="85"/>
    </row>
    <row r="70" spans="3:11">
      <c r="D70" s="72" t="s">
        <v>6547</v>
      </c>
      <c r="E70" s="72" t="str">
        <f>CHOOSE(jezyk,n!A593,n!B593,n!C593,n!D593)</f>
        <v xml:space="preserve">korekty błędów </v>
      </c>
      <c r="I70" s="115">
        <v>0</v>
      </c>
      <c r="J70" s="115">
        <v>0</v>
      </c>
      <c r="K70" s="85"/>
    </row>
    <row r="71" spans="3:11" ht="29.25" customHeight="1">
      <c r="D71" s="72" t="s">
        <v>6571</v>
      </c>
      <c r="E71" s="767" t="str">
        <f>CHOOSE(jezyk,n!A594,n!B594,n!C594,n!D594)</f>
        <v>Zysk z lat ubiegłych na początek okresu, po korektach</v>
      </c>
      <c r="F71" s="767"/>
      <c r="G71" s="767"/>
      <c r="H71" s="767"/>
      <c r="I71" s="116">
        <f>I68+I69+I70</f>
        <v>0</v>
      </c>
      <c r="J71" s="116">
        <f>J68+J69+J70</f>
        <v>0</v>
      </c>
    </row>
    <row r="72" spans="3:11">
      <c r="E72" s="72" t="s">
        <v>6591</v>
      </c>
      <c r="F72" s="72" t="str">
        <f>CHOOSE(jezyk,n!A564,n!B564,n!C564,n!D564)</f>
        <v>zwiększenie (z tytułu)</v>
      </c>
      <c r="I72" s="116">
        <f>SUM(I73:I74)</f>
        <v>0</v>
      </c>
      <c r="J72" s="116">
        <f>SUM(J73:J74)</f>
        <v>0</v>
      </c>
    </row>
    <row r="73" spans="3:11">
      <c r="F73" s="72" t="s">
        <v>6547</v>
      </c>
      <c r="G73" s="72" t="str">
        <f>CHOOSE(jezyk,n!A595,n!B595,n!C595,n!D595)</f>
        <v>podziału zysku z lat ubiegłych</v>
      </c>
      <c r="I73" s="119">
        <v>0</v>
      </c>
      <c r="J73" s="119">
        <v>0</v>
      </c>
    </row>
    <row r="74" spans="3:11">
      <c r="F74" s="72" t="s">
        <v>6547</v>
      </c>
      <c r="I74" s="119">
        <v>0</v>
      </c>
      <c r="J74" s="119">
        <v>0</v>
      </c>
      <c r="K74" s="90" t="s">
        <v>6776</v>
      </c>
    </row>
    <row r="75" spans="3:11">
      <c r="E75" s="72" t="s">
        <v>6593</v>
      </c>
      <c r="F75" s="72" t="str">
        <f>CHOOSE(jezyk,n!A566,n!B566,n!C566,n!D566)</f>
        <v>zmniejszenie (z tytułu)</v>
      </c>
      <c r="I75" s="116">
        <f>SUM(I76:I77)</f>
        <v>0</v>
      </c>
      <c r="J75" s="116">
        <f>SUM(J76:J77)</f>
        <v>0</v>
      </c>
    </row>
    <row r="76" spans="3:11">
      <c r="F76" s="72" t="s">
        <v>6547</v>
      </c>
      <c r="G76" s="84" t="str">
        <f>CHOOSE(jezyk,n!A596,n!B596,n!C596,n!D596)</f>
        <v>wypłata dywidendy</v>
      </c>
      <c r="I76" s="119">
        <v>0</v>
      </c>
      <c r="J76" s="119">
        <v>0</v>
      </c>
      <c r="K76" s="124"/>
    </row>
    <row r="77" spans="3:11">
      <c r="F77" s="72" t="s">
        <v>6547</v>
      </c>
      <c r="G77" s="84"/>
      <c r="I77" s="119">
        <v>0</v>
      </c>
      <c r="J77" s="119">
        <v>0</v>
      </c>
      <c r="K77" s="90" t="s">
        <v>6776</v>
      </c>
    </row>
    <row r="78" spans="3:11">
      <c r="D78" s="72" t="s">
        <v>6572</v>
      </c>
      <c r="E78" s="72" t="str">
        <f>CHOOSE(jezyk,n!A597,n!B597,n!C597,n!D596)</f>
        <v>Zysk z lat ubiegłych na koniec okresu</v>
      </c>
      <c r="I78" s="116">
        <f>I71+I72-I75</f>
        <v>0</v>
      </c>
      <c r="J78" s="116">
        <f>J71+J72-J75</f>
        <v>0</v>
      </c>
    </row>
    <row r="79" spans="3:11">
      <c r="I79" s="92"/>
      <c r="J79" s="92"/>
    </row>
    <row r="80" spans="3:11">
      <c r="D80" s="72" t="s">
        <v>6574</v>
      </c>
      <c r="E80" s="722" t="str">
        <f>CHOOSE(jezyk,n!A598,n!B598,n!C598,n!D597)</f>
        <v>Strata z lat ubiegłych na początek okresu</v>
      </c>
      <c r="F80" s="722"/>
      <c r="G80" s="722"/>
      <c r="H80" s="722"/>
      <c r="I80" s="116">
        <f>J90+J97</f>
        <v>0</v>
      </c>
      <c r="J80" s="116">
        <f>IF(J66&lt;0,J66,0)</f>
        <v>0</v>
      </c>
    </row>
    <row r="81" spans="3:14" ht="12.75" customHeight="1">
      <c r="D81" s="72" t="s">
        <v>6547</v>
      </c>
      <c r="E81" s="767" t="str">
        <f>CHOOSE(jezyk,n!A599,n!B599,n!C599,n!D598)</f>
        <v>zmiany przyjętych zasad (polityki) rachunkowości</v>
      </c>
      <c r="F81" s="767"/>
      <c r="G81" s="767"/>
      <c r="I81" s="115">
        <v>0</v>
      </c>
      <c r="J81" s="115">
        <v>0</v>
      </c>
    </row>
    <row r="82" spans="3:14">
      <c r="D82" s="72" t="s">
        <v>6547</v>
      </c>
      <c r="E82" s="72" t="str">
        <f>CHOOSE(jezyk,n!A600,n!B600,n!C600,n!D599)</f>
        <v xml:space="preserve">korekty błędów </v>
      </c>
      <c r="I82" s="115">
        <v>0</v>
      </c>
      <c r="J82" s="115">
        <v>0</v>
      </c>
    </row>
    <row r="83" spans="3:14" ht="27" customHeight="1">
      <c r="D83" s="72" t="s">
        <v>6779</v>
      </c>
      <c r="E83" s="722" t="str">
        <f>CHOOSE(jezyk,n!A601,n!B601,n!C601,n!D600)</f>
        <v>Strata z lat ubiegłych na początek okresu, po korektach</v>
      </c>
      <c r="F83" s="722"/>
      <c r="G83" s="722"/>
      <c r="H83" s="722"/>
      <c r="I83" s="116">
        <f>I80-I82-I81</f>
        <v>0</v>
      </c>
      <c r="J83" s="116">
        <f>J80-J82-J81</f>
        <v>0</v>
      </c>
    </row>
    <row r="84" spans="3:14">
      <c r="E84" s="72" t="s">
        <v>6591</v>
      </c>
      <c r="F84" s="72" t="str">
        <f>CHOOSE(jezyk,n!A564,n!B564,n!C564,n!D564)</f>
        <v>zwiększenie (z tytułu)</v>
      </c>
      <c r="I84" s="116">
        <f>SUM(I85:I86)</f>
        <v>0</v>
      </c>
      <c r="J84" s="116">
        <f>SUM(J85:J86)</f>
        <v>0</v>
      </c>
    </row>
    <row r="85" spans="3:14">
      <c r="F85" s="72" t="s">
        <v>6547</v>
      </c>
      <c r="G85" s="72" t="str">
        <f>CHOOSE(jezyk,n!A602,n!B602,n!C602,n!D601)</f>
        <v>przeniesienia straty z lat ubiegłych do pokrycia</v>
      </c>
      <c r="I85" s="119">
        <v>0</v>
      </c>
      <c r="J85" s="119">
        <v>0</v>
      </c>
    </row>
    <row r="86" spans="3:14">
      <c r="F86" s="72" t="s">
        <v>6547</v>
      </c>
      <c r="I86" s="119">
        <v>0</v>
      </c>
      <c r="J86" s="119">
        <v>0</v>
      </c>
      <c r="K86" s="90" t="s">
        <v>6776</v>
      </c>
    </row>
    <row r="87" spans="3:14">
      <c r="E87" s="72" t="s">
        <v>6593</v>
      </c>
      <c r="F87" s="72" t="str">
        <f>CHOOSE(jezyk,n!A566,n!B566,n!C566,n!D566)</f>
        <v>zmniejszenie (z tytułu)</v>
      </c>
      <c r="I87" s="116">
        <f>SUM(I88:I89)</f>
        <v>0</v>
      </c>
      <c r="J87" s="116">
        <f>SUM(J88:J89)</f>
        <v>0</v>
      </c>
    </row>
    <row r="88" spans="3:14">
      <c r="F88" s="72" t="s">
        <v>6547</v>
      </c>
      <c r="G88" s="84" t="str">
        <f>CHOOSE(jezyk,n!A603,n!B603,n!C603,n!D602)</f>
        <v>pokrycia straty z wyniku roku ubiegłego</v>
      </c>
      <c r="I88" s="119">
        <v>0</v>
      </c>
      <c r="J88" s="119">
        <v>0</v>
      </c>
      <c r="K88" s="92">
        <f>J92+J94-I66</f>
        <v>0</v>
      </c>
    </row>
    <row r="89" spans="3:14">
      <c r="F89" s="72" t="s">
        <v>6547</v>
      </c>
      <c r="G89" s="84"/>
      <c r="I89" s="119">
        <v>0</v>
      </c>
      <c r="J89" s="119">
        <v>0</v>
      </c>
      <c r="K89" s="90" t="s">
        <v>6776</v>
      </c>
    </row>
    <row r="90" spans="3:14">
      <c r="D90" s="72" t="s">
        <v>6780</v>
      </c>
      <c r="E90" s="72" t="str">
        <f>CHOOSE(jezyk,n!A604,n!B604,n!C604,n!D602)</f>
        <v>Strata z lat ubiegłych na koniec okresu</v>
      </c>
      <c r="I90" s="116">
        <f>I83+I84-I87</f>
        <v>0</v>
      </c>
      <c r="J90" s="116">
        <f>J83-J84+J87</f>
        <v>0</v>
      </c>
    </row>
    <row r="91" spans="3:14">
      <c r="I91" s="92"/>
      <c r="J91" s="92"/>
      <c r="M91" s="121" t="str">
        <f>dzb</f>
        <v>31.12.2024</v>
      </c>
      <c r="N91" s="122" t="str">
        <f>pdz</f>
        <v>31.12.2023</v>
      </c>
    </row>
    <row r="92" spans="3:14" s="111" customFormat="1">
      <c r="D92" s="111" t="s">
        <v>6781</v>
      </c>
      <c r="E92" s="766" t="str">
        <f>CHOOSE(jezyk,n!A605,n!B605,n!C605,n!D603)</f>
        <v>Zysk (strata) z lat ubiegłych na koniec okresu</v>
      </c>
      <c r="F92" s="766"/>
      <c r="G92" s="766"/>
      <c r="H92" s="766"/>
      <c r="I92" s="112">
        <f>I78+(I90*-1)</f>
        <v>0</v>
      </c>
      <c r="J92" s="112">
        <f>J78+(J90*-1)</f>
        <v>0</v>
      </c>
      <c r="M92" s="123">
        <f>I92-Bilans!S20</f>
        <v>-364172.37000000081</v>
      </c>
      <c r="N92" s="123">
        <f>J92-Bilans!T20</f>
        <v>313.37990000000002</v>
      </c>
    </row>
    <row r="93" spans="3:14">
      <c r="I93" s="92"/>
      <c r="J93" s="92"/>
    </row>
    <row r="94" spans="3:14" s="111" customFormat="1">
      <c r="C94" s="111" t="s">
        <v>6549</v>
      </c>
      <c r="D94" s="111" t="str">
        <f>CHOOSE(jezyk,n!A606,n!B606,n!C606,n!D604)</f>
        <v>Wynik netto</v>
      </c>
      <c r="I94" s="112">
        <f>I96+I97-I98</f>
        <v>0</v>
      </c>
      <c r="J94" s="112">
        <f>J96+J97-J98</f>
        <v>0</v>
      </c>
    </row>
    <row r="95" spans="3:14" s="111" customFormat="1">
      <c r="I95" s="118"/>
      <c r="J95" s="118"/>
    </row>
    <row r="96" spans="3:14">
      <c r="D96" s="72" t="s">
        <v>6591</v>
      </c>
      <c r="E96" s="72" t="str">
        <f>CHOOSE(jezyk,n!A607,n!B607,n!C607,n!D605)</f>
        <v>zysk netto</v>
      </c>
      <c r="I96" s="116">
        <f>IF(Bilans!S21&gt;0,Bilans!S21,0)</f>
        <v>0</v>
      </c>
      <c r="J96" s="116">
        <f>IF(Bilans!T21&gt;0,Bilans!T21,0)</f>
        <v>0</v>
      </c>
    </row>
    <row r="97" spans="2:14">
      <c r="D97" s="72" t="s">
        <v>6593</v>
      </c>
      <c r="E97" s="72" t="str">
        <f>CHOOSE(jezyk,n!A608,n!B608,n!C608,n!D606)</f>
        <v>strata netto</v>
      </c>
      <c r="I97" s="116">
        <f>IF(Bilans!S21&lt;0,Bilans!S21,0)</f>
        <v>0</v>
      </c>
      <c r="J97" s="116">
        <f>IF(Bilans!T21&lt;0,Bilans!T21,0)</f>
        <v>0</v>
      </c>
    </row>
    <row r="98" spans="2:14">
      <c r="D98" s="72" t="s">
        <v>6594</v>
      </c>
      <c r="E98" s="72" t="str">
        <f>CHOOSE(jezyk,n!A609,n!B609,n!C609,n!D607)</f>
        <v>odpisy z zysku</v>
      </c>
      <c r="I98" s="116">
        <f>Bilans!S22</f>
        <v>0</v>
      </c>
      <c r="J98" s="115">
        <v>0</v>
      </c>
    </row>
    <row r="99" spans="2:14">
      <c r="I99" s="92"/>
      <c r="J99" s="92"/>
      <c r="M99" s="121" t="str">
        <f>dzb</f>
        <v>31.12.2024</v>
      </c>
      <c r="N99" s="122" t="str">
        <f>GA!D33</f>
        <v>31.12.2023</v>
      </c>
    </row>
    <row r="100" spans="2:14" s="111" customFormat="1">
      <c r="B100" s="111" t="s">
        <v>6586</v>
      </c>
      <c r="C100" s="111" t="str">
        <f>CHOOSE(jezyk,n!A610,n!B610,n!C610,n!D608)</f>
        <v>Kapitał (fundusz) własny na koniec okresu (BZ)</v>
      </c>
      <c r="I100" s="112">
        <f>I27+I41+I52+I64+I92+I94</f>
        <v>0</v>
      </c>
      <c r="J100" s="112">
        <f>J27+J41+J52+J64+J92+J94</f>
        <v>0</v>
      </c>
      <c r="M100" s="123">
        <f>I100-Bilans!S10</f>
        <v>0</v>
      </c>
      <c r="N100" s="123">
        <f>J100-Bilans!T10</f>
        <v>0</v>
      </c>
    </row>
    <row r="101" spans="2:14">
      <c r="B101" s="125"/>
      <c r="C101" s="125"/>
      <c r="D101" s="109"/>
      <c r="E101" s="109"/>
      <c r="F101" s="109"/>
      <c r="G101" s="109"/>
      <c r="H101" s="109"/>
      <c r="I101" s="126"/>
      <c r="J101" s="126"/>
    </row>
    <row r="102" spans="2:14">
      <c r="B102" s="111"/>
      <c r="C102" s="111"/>
      <c r="I102" s="92"/>
      <c r="J102" s="92"/>
    </row>
    <row r="103" spans="2:14" s="111" customFormat="1" ht="12.75" customHeight="1">
      <c r="B103" s="111" t="s">
        <v>6587</v>
      </c>
      <c r="C103" s="766" t="str">
        <f>CHOOSE(jezyk,n!A611,n!B611,n!C611,n!D609)</f>
        <v>Kapitał (fundusz) własny, po uwzględnieniu proponowanego podziału zysku (pokrycia straty)</v>
      </c>
      <c r="D103" s="766"/>
      <c r="E103" s="766"/>
      <c r="F103" s="766"/>
      <c r="G103" s="766"/>
      <c r="I103" s="127">
        <f>I100</f>
        <v>0</v>
      </c>
      <c r="J103" s="127">
        <f t="shared" ref="J103" si="0">J100</f>
        <v>0</v>
      </c>
      <c r="K103" s="82" t="s">
        <v>6782</v>
      </c>
    </row>
    <row r="104" spans="2:14" s="111" customFormat="1">
      <c r="C104" s="766"/>
      <c r="D104" s="766"/>
      <c r="E104" s="766"/>
      <c r="F104" s="766"/>
      <c r="G104" s="766"/>
      <c r="I104" s="118"/>
      <c r="J104" s="118"/>
    </row>
    <row r="105" spans="2:14" ht="13.5" thickBot="1">
      <c r="B105" s="1197"/>
      <c r="C105" s="1197"/>
      <c r="D105" s="1197"/>
      <c r="E105" s="1197"/>
      <c r="F105" s="1197"/>
      <c r="G105" s="1197"/>
      <c r="H105" s="1197"/>
      <c r="I105" s="1197"/>
      <c r="J105" s="1197"/>
      <c r="K105" s="1197"/>
    </row>
    <row r="107" spans="2:14">
      <c r="B107" s="72" t="str">
        <f>siedziba&amp;", "&amp;GA!D53</f>
        <v>Warszawa, 30.01.2025</v>
      </c>
      <c r="F107" s="92"/>
      <c r="G107" s="92"/>
    </row>
    <row r="108" spans="2:14">
      <c r="G108" s="101" t="str">
        <f>CHOOSE(jezyk,n!A412,n!B412,n!C412,n!D412)</f>
        <v>Osoba sporządzająca:</v>
      </c>
      <c r="I108" s="128" t="str">
        <f>CHOOSE(jezyk,n!A413,n!B413,n!C413,n!D413)</f>
        <v>Zarząd:</v>
      </c>
    </row>
    <row r="110" spans="2:14">
      <c r="I110" s="72" t="s">
        <v>4368</v>
      </c>
    </row>
  </sheetData>
  <mergeCells count="21">
    <mergeCell ref="B3:J3"/>
    <mergeCell ref="B4:J4"/>
    <mergeCell ref="B5:J5"/>
    <mergeCell ref="B1:J1"/>
    <mergeCell ref="E64:G64"/>
    <mergeCell ref="E57:G57"/>
    <mergeCell ref="E41:G41"/>
    <mergeCell ref="E52:G52"/>
    <mergeCell ref="G35:H36"/>
    <mergeCell ref="C15:G16"/>
    <mergeCell ref="D43:G43"/>
    <mergeCell ref="C103:G104"/>
    <mergeCell ref="D55:H55"/>
    <mergeCell ref="E83:H83"/>
    <mergeCell ref="E92:H92"/>
    <mergeCell ref="E68:H68"/>
    <mergeCell ref="E71:H71"/>
    <mergeCell ref="E80:H80"/>
    <mergeCell ref="D66:H67"/>
    <mergeCell ref="E81:G81"/>
    <mergeCell ref="E69:G69"/>
  </mergeCells>
  <phoneticPr fontId="0" type="noConversion"/>
  <hyperlinks>
    <hyperlink ref="B1:J1" location="'spis treści'!A1" display="SPIS TREŚCI" xr:uid="{00000000-0004-0000-2200-000000000000}"/>
  </hyperlinks>
  <printOptions horizontalCentered="1"/>
  <pageMargins left="0.78740157480314965" right="0.78740157480314965" top="0.35433070866141736" bottom="0.98425196850393704" header="0.27559055118110237" footer="0.51181102362204722"/>
  <pageSetup paperSize="9" scale="95" fitToHeight="0" orientation="portrait" blackAndWhite="1" r:id="rId1"/>
  <rowBreaks count="1" manualBreakCount="1">
    <brk id="53" min="1" max="10"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24">
    <pageSetUpPr fitToPage="1"/>
  </sheetPr>
  <dimension ref="A1:AG402"/>
  <sheetViews>
    <sheetView view="pageBreakPreview" topLeftCell="A3" zoomScale="85" zoomScaleNormal="100" zoomScaleSheetLayoutView="85" workbookViewId="0">
      <selection activeCell="AK62" sqref="AK62"/>
    </sheetView>
  </sheetViews>
  <sheetFormatPr defaultColWidth="9.140625" defaultRowHeight="12.75"/>
  <cols>
    <col min="1" max="3" width="3.7109375" style="51" customWidth="1"/>
    <col min="4" max="4" width="3.140625" style="51" customWidth="1"/>
    <col min="5" max="7" width="3.7109375" style="51" customWidth="1"/>
    <col min="8" max="9" width="3.7109375" style="56" customWidth="1"/>
    <col min="10" max="11" width="3.7109375" style="51" customWidth="1"/>
    <col min="12" max="13" width="3.7109375" style="56" customWidth="1"/>
    <col min="14" max="14" width="3.7109375" style="57" customWidth="1"/>
    <col min="15" max="15" width="2.7109375" style="57" customWidth="1"/>
    <col min="16" max="16" width="3.85546875" style="58" customWidth="1"/>
    <col min="17" max="18" width="3.7109375" style="58" customWidth="1"/>
    <col min="19" max="21" width="3.7109375" style="52" customWidth="1"/>
    <col min="22" max="22" width="4" style="52" customWidth="1"/>
    <col min="23" max="26" width="3.7109375" style="52" customWidth="1"/>
    <col min="27" max="16384" width="9.140625" style="52"/>
  </cols>
  <sheetData>
    <row r="1" spans="1:27" hidden="1">
      <c r="H1" s="51"/>
      <c r="I1" s="51"/>
      <c r="L1" s="51"/>
      <c r="M1" s="51"/>
      <c r="N1" s="51"/>
      <c r="O1" s="51"/>
      <c r="P1" s="51"/>
      <c r="Q1" s="51"/>
      <c r="R1" s="51"/>
      <c r="S1" s="51"/>
      <c r="T1" s="51"/>
      <c r="U1" s="56"/>
      <c r="X1" s="58"/>
      <c r="Y1" s="58"/>
      <c r="Z1" s="58"/>
      <c r="AA1" s="58"/>
    </row>
    <row r="2" spans="1:27" hidden="1">
      <c r="H2" s="51"/>
      <c r="I2" s="51"/>
      <c r="L2" s="51"/>
      <c r="M2" s="51"/>
      <c r="N2" s="51"/>
      <c r="O2" s="51"/>
      <c r="P2" s="51"/>
      <c r="Q2" s="51"/>
      <c r="R2" s="51"/>
      <c r="S2" s="51"/>
      <c r="T2" s="51"/>
      <c r="U2" s="56"/>
      <c r="X2" s="58"/>
      <c r="Y2" s="58"/>
      <c r="Z2" s="58"/>
      <c r="AA2" s="58"/>
    </row>
    <row r="3" spans="1:27" s="42" customFormat="1" ht="38.25" customHeight="1">
      <c r="A3" s="41"/>
      <c r="B3" s="41"/>
      <c r="C3" s="41"/>
      <c r="D3" s="41"/>
      <c r="E3" s="41"/>
      <c r="G3" s="43"/>
      <c r="H3" s="41"/>
      <c r="I3" s="43"/>
      <c r="J3" s="43"/>
    </row>
    <row r="4" spans="1:27" s="46" customFormat="1" ht="10.5" customHeight="1">
      <c r="A4" s="44"/>
      <c r="B4" s="44"/>
      <c r="C4" s="44"/>
      <c r="D4" s="63"/>
      <c r="E4" s="44"/>
      <c r="F4" s="44"/>
      <c r="G4" s="44"/>
      <c r="H4" s="44"/>
      <c r="I4" s="44"/>
      <c r="J4" s="44"/>
      <c r="K4" s="44"/>
      <c r="L4" s="44"/>
      <c r="M4" s="44"/>
      <c r="N4" s="44"/>
      <c r="O4" s="44"/>
      <c r="P4" s="44"/>
      <c r="Q4" s="44"/>
      <c r="R4" s="44"/>
      <c r="S4" s="44"/>
      <c r="T4" s="44"/>
      <c r="U4" s="45"/>
      <c r="X4" s="47"/>
      <c r="Y4" s="47"/>
      <c r="Z4" s="47"/>
      <c r="AA4" s="47"/>
    </row>
    <row r="5" spans="1:27" s="46" customFormat="1" ht="10.5" customHeight="1">
      <c r="A5" s="44"/>
      <c r="B5" s="44"/>
      <c r="C5" s="44"/>
      <c r="D5" s="44"/>
      <c r="E5" s="44"/>
      <c r="F5" s="44"/>
      <c r="G5" s="44"/>
      <c r="H5" s="44"/>
      <c r="I5" s="44"/>
      <c r="J5" s="44"/>
      <c r="K5" s="44"/>
      <c r="L5" s="44"/>
      <c r="M5" s="44"/>
      <c r="N5" s="44"/>
      <c r="O5" s="44"/>
      <c r="P5" s="44"/>
      <c r="Q5" s="44"/>
      <c r="R5" s="44"/>
      <c r="S5" s="44"/>
      <c r="T5" s="44"/>
      <c r="U5" s="45"/>
      <c r="X5" s="47"/>
      <c r="Y5" s="47"/>
      <c r="Z5" s="47"/>
      <c r="AA5" s="47"/>
    </row>
    <row r="6" spans="1:27" s="46" customFormat="1" ht="10.5" customHeight="1">
      <c r="A6" s="44"/>
      <c r="B6" s="44"/>
      <c r="C6" s="44"/>
      <c r="D6" s="44"/>
      <c r="E6" s="44"/>
      <c r="F6" s="44"/>
      <c r="G6" s="44"/>
      <c r="H6" s="44"/>
      <c r="I6" s="44"/>
      <c r="J6" s="44"/>
      <c r="K6" s="44"/>
      <c r="L6" s="44"/>
      <c r="M6" s="44"/>
      <c r="N6" s="44"/>
      <c r="O6" s="44"/>
      <c r="P6" s="44"/>
      <c r="Q6" s="44"/>
      <c r="R6" s="44"/>
      <c r="S6" s="44"/>
      <c r="T6" s="44"/>
      <c r="U6" s="45"/>
      <c r="X6" s="47"/>
      <c r="Y6" s="47"/>
      <c r="Z6" s="47"/>
      <c r="AA6" s="47"/>
    </row>
    <row r="7" spans="1:27" s="46" customFormat="1" ht="10.5" customHeight="1">
      <c r="A7" s="44"/>
      <c r="B7" s="44"/>
      <c r="C7" s="44"/>
      <c r="D7" s="44"/>
      <c r="E7" s="44"/>
      <c r="F7" s="44"/>
      <c r="G7" s="44"/>
      <c r="H7" s="44"/>
      <c r="I7" s="44"/>
      <c r="J7" s="44"/>
      <c r="K7" s="44"/>
      <c r="L7" s="44"/>
      <c r="M7" s="44"/>
      <c r="N7" s="44"/>
      <c r="O7" s="44"/>
      <c r="P7" s="44"/>
      <c r="R7" s="44"/>
      <c r="S7" s="44"/>
      <c r="T7" s="44"/>
      <c r="U7" s="45"/>
      <c r="X7" s="47"/>
      <c r="Y7" s="47"/>
      <c r="Z7" s="47"/>
      <c r="AA7" s="47"/>
    </row>
    <row r="8" spans="1:27" s="46" customFormat="1" ht="10.5" customHeight="1">
      <c r="A8" s="44"/>
      <c r="B8" s="44"/>
      <c r="C8" s="44"/>
      <c r="D8" s="44"/>
      <c r="E8" s="44"/>
      <c r="F8" s="44"/>
      <c r="G8" s="44"/>
      <c r="H8" s="44"/>
      <c r="I8" s="44"/>
      <c r="J8" s="44"/>
      <c r="K8" s="44"/>
      <c r="L8" s="44"/>
      <c r="M8" s="44"/>
      <c r="N8" s="44"/>
      <c r="O8" s="44"/>
      <c r="P8" s="44"/>
      <c r="R8" s="44"/>
      <c r="S8" s="44"/>
      <c r="T8" s="44"/>
      <c r="U8" s="45"/>
      <c r="X8" s="47"/>
      <c r="Y8" s="47"/>
      <c r="Z8" s="47"/>
      <c r="AA8" s="47"/>
    </row>
    <row r="9" spans="1:27" s="46" customFormat="1" ht="10.5" customHeight="1">
      <c r="A9" s="44"/>
      <c r="B9" s="44"/>
      <c r="C9" s="44"/>
      <c r="D9" s="44"/>
      <c r="E9" s="44"/>
      <c r="F9" s="44"/>
      <c r="G9" s="44"/>
      <c r="H9" s="44"/>
      <c r="I9" s="44"/>
      <c r="J9" s="44"/>
      <c r="K9" s="44"/>
      <c r="L9" s="44"/>
      <c r="M9" s="44"/>
      <c r="N9" s="44"/>
      <c r="O9" s="44"/>
      <c r="P9" s="44"/>
      <c r="R9" s="44"/>
      <c r="S9" s="44"/>
      <c r="T9" s="44"/>
      <c r="U9" s="45"/>
      <c r="X9" s="47"/>
      <c r="Y9" s="47"/>
      <c r="Z9" s="47"/>
      <c r="AA9" s="47"/>
    </row>
    <row r="10" spans="1:27" s="46" customFormat="1" ht="10.5" customHeight="1">
      <c r="A10" s="44"/>
      <c r="B10" s="44"/>
      <c r="C10" s="44"/>
      <c r="D10" s="44"/>
      <c r="E10" s="44"/>
      <c r="F10" s="44"/>
      <c r="G10" s="44"/>
      <c r="H10" s="44"/>
      <c r="I10" s="44"/>
      <c r="J10" s="44"/>
      <c r="K10" s="44"/>
      <c r="L10" s="44"/>
      <c r="M10" s="44"/>
      <c r="N10" s="44"/>
      <c r="O10" s="44"/>
      <c r="P10" s="44"/>
      <c r="R10" s="44"/>
      <c r="S10" s="44"/>
      <c r="T10" s="44"/>
      <c r="U10" s="45"/>
      <c r="X10" s="47"/>
      <c r="Y10" s="47"/>
      <c r="Z10" s="47"/>
      <c r="AA10" s="47"/>
    </row>
    <row r="11" spans="1:27" s="46" customFormat="1" ht="10.5" customHeight="1">
      <c r="A11" s="44"/>
      <c r="B11" s="44"/>
      <c r="C11" s="44"/>
      <c r="D11" s="44"/>
      <c r="E11" s="44"/>
      <c r="F11" s="44"/>
      <c r="G11" s="44"/>
      <c r="H11" s="44"/>
      <c r="I11" s="44"/>
      <c r="J11" s="44"/>
      <c r="K11" s="44"/>
      <c r="L11" s="44"/>
      <c r="M11" s="44"/>
      <c r="N11" s="44"/>
      <c r="O11" s="44"/>
      <c r="P11" s="44"/>
      <c r="R11" s="44"/>
      <c r="S11" s="44"/>
      <c r="T11" s="44"/>
      <c r="U11" s="45"/>
      <c r="X11" s="47"/>
      <c r="Y11" s="47"/>
      <c r="Z11" s="47"/>
      <c r="AA11" s="47"/>
    </row>
    <row r="12" spans="1:27" s="46" customFormat="1" ht="10.5" customHeight="1">
      <c r="A12" s="44"/>
      <c r="B12" s="44"/>
      <c r="C12" s="44"/>
      <c r="D12" s="44"/>
      <c r="E12" s="44"/>
      <c r="F12" s="44"/>
      <c r="G12" s="44"/>
      <c r="H12" s="44"/>
      <c r="I12" s="44"/>
      <c r="J12" s="44"/>
      <c r="K12" s="44"/>
      <c r="L12" s="44"/>
      <c r="M12" s="44"/>
      <c r="N12" s="44"/>
      <c r="O12" s="44"/>
      <c r="P12" s="44"/>
      <c r="R12" s="44"/>
      <c r="S12" s="44"/>
      <c r="T12" s="44"/>
      <c r="U12" s="45"/>
      <c r="X12" s="47"/>
      <c r="Y12" s="47"/>
      <c r="Z12" s="47"/>
      <c r="AA12" s="47"/>
    </row>
    <row r="13" spans="1:27" s="46" customFormat="1" ht="10.5" customHeight="1">
      <c r="A13" s="44"/>
      <c r="B13" s="44"/>
      <c r="C13" s="44"/>
      <c r="D13" s="44"/>
      <c r="E13" s="44"/>
      <c r="F13" s="44"/>
      <c r="G13" s="44"/>
      <c r="H13" s="44"/>
      <c r="I13" s="44"/>
      <c r="J13" s="44"/>
      <c r="K13" s="44"/>
      <c r="L13" s="44"/>
      <c r="M13" s="44"/>
      <c r="N13" s="44"/>
      <c r="O13" s="44"/>
      <c r="P13" s="44"/>
      <c r="R13" s="44"/>
      <c r="S13" s="44"/>
      <c r="T13" s="44"/>
      <c r="U13" s="45"/>
      <c r="X13" s="47"/>
      <c r="Y13" s="47"/>
      <c r="Z13" s="47"/>
      <c r="AA13" s="47"/>
    </row>
    <row r="14" spans="1:27" s="46" customFormat="1" ht="10.5" customHeight="1">
      <c r="A14" s="44"/>
      <c r="B14" s="44"/>
      <c r="C14" s="44"/>
      <c r="D14" s="44"/>
      <c r="E14" s="44"/>
      <c r="F14" s="44"/>
      <c r="G14" s="44"/>
      <c r="H14" s="44"/>
      <c r="I14" s="44"/>
      <c r="J14" s="44"/>
      <c r="K14" s="44"/>
      <c r="L14" s="44"/>
      <c r="M14" s="44"/>
      <c r="N14" s="44"/>
      <c r="O14" s="44"/>
      <c r="P14" s="44"/>
      <c r="R14" s="44"/>
      <c r="S14" s="44"/>
      <c r="T14" s="44"/>
      <c r="U14" s="45"/>
      <c r="X14" s="47"/>
      <c r="Y14" s="47"/>
      <c r="Z14" s="47"/>
      <c r="AA14" s="47"/>
    </row>
    <row r="15" spans="1:27" s="46" customFormat="1" ht="10.5" customHeight="1">
      <c r="A15" s="44"/>
      <c r="B15" s="44"/>
      <c r="C15" s="44"/>
      <c r="D15" s="44"/>
      <c r="E15" s="44"/>
      <c r="F15" s="44"/>
      <c r="G15" s="44"/>
      <c r="H15" s="44"/>
      <c r="I15" s="44"/>
      <c r="J15" s="44"/>
      <c r="K15" s="44"/>
      <c r="L15" s="44"/>
      <c r="M15" s="44"/>
      <c r="N15" s="44"/>
      <c r="O15" s="44"/>
      <c r="P15" s="44"/>
      <c r="R15" s="44"/>
      <c r="S15" s="44"/>
      <c r="T15" s="44"/>
      <c r="U15" s="45"/>
      <c r="X15" s="47"/>
      <c r="Y15" s="47"/>
      <c r="Z15" s="47"/>
      <c r="AA15" s="47"/>
    </row>
    <row r="16" spans="1:27" s="46" customFormat="1" ht="10.5" customHeight="1">
      <c r="A16" s="44"/>
      <c r="B16" s="44"/>
      <c r="C16" s="44"/>
      <c r="D16" s="44"/>
      <c r="E16" s="44"/>
      <c r="F16" s="44"/>
      <c r="G16" s="44"/>
      <c r="H16" s="44"/>
      <c r="I16" s="44"/>
      <c r="J16" s="44"/>
      <c r="K16" s="44"/>
      <c r="L16" s="44"/>
      <c r="M16" s="44"/>
      <c r="N16" s="44"/>
      <c r="O16" s="44"/>
      <c r="P16" s="44"/>
      <c r="R16" s="44"/>
      <c r="S16" s="44"/>
      <c r="T16" s="44"/>
      <c r="U16" s="45"/>
      <c r="X16" s="47"/>
      <c r="Y16" s="47"/>
      <c r="Z16" s="47"/>
      <c r="AA16" s="47"/>
    </row>
    <row r="17" spans="1:27" s="46" customFormat="1" ht="10.5" customHeight="1">
      <c r="A17" s="44"/>
      <c r="B17" s="44"/>
      <c r="C17" s="44"/>
      <c r="D17" s="44"/>
      <c r="E17" s="44"/>
      <c r="F17" s="44"/>
      <c r="G17" s="44"/>
      <c r="H17" s="44"/>
      <c r="I17" s="44"/>
      <c r="J17" s="44"/>
      <c r="K17" s="44"/>
      <c r="L17" s="44"/>
      <c r="M17" s="44"/>
      <c r="N17" s="44"/>
      <c r="O17" s="44"/>
      <c r="P17" s="44"/>
      <c r="R17" s="44"/>
      <c r="S17" s="44"/>
      <c r="T17" s="44"/>
      <c r="U17" s="45"/>
      <c r="X17" s="47"/>
      <c r="Y17" s="47"/>
      <c r="Z17" s="47"/>
      <c r="AA17" s="47"/>
    </row>
    <row r="18" spans="1:27" s="46" customFormat="1" ht="10.5" customHeight="1">
      <c r="A18" s="44"/>
      <c r="B18" s="44"/>
      <c r="C18" s="44"/>
      <c r="D18" s="44"/>
      <c r="E18" s="44"/>
      <c r="F18" s="44"/>
      <c r="G18" s="44"/>
      <c r="H18" s="44"/>
      <c r="I18" s="44"/>
      <c r="J18" s="44"/>
      <c r="K18" s="44"/>
      <c r="L18" s="44"/>
      <c r="M18" s="44"/>
      <c r="N18" s="44"/>
      <c r="O18" s="44"/>
      <c r="P18" s="44"/>
      <c r="R18" s="44"/>
      <c r="S18" s="44"/>
      <c r="T18" s="44"/>
      <c r="U18" s="45"/>
      <c r="X18" s="47"/>
      <c r="Y18" s="47"/>
      <c r="Z18" s="47"/>
      <c r="AA18" s="47"/>
    </row>
    <row r="19" spans="1:27" s="46" customFormat="1" ht="10.5" customHeight="1">
      <c r="A19" s="44"/>
      <c r="B19" s="44"/>
      <c r="C19" s="44"/>
      <c r="D19" s="44"/>
      <c r="E19" s="44"/>
      <c r="F19" s="44"/>
      <c r="G19" s="44"/>
      <c r="H19" s="44"/>
      <c r="I19" s="44"/>
      <c r="J19" s="44"/>
      <c r="K19" s="44"/>
      <c r="L19" s="44"/>
      <c r="M19" s="44"/>
      <c r="N19" s="44"/>
      <c r="O19" s="44"/>
      <c r="P19" s="44"/>
      <c r="R19" s="44"/>
      <c r="S19" s="44"/>
      <c r="T19" s="44"/>
      <c r="U19" s="45"/>
      <c r="X19" s="47"/>
      <c r="Y19" s="47"/>
      <c r="Z19" s="47"/>
      <c r="AA19" s="47"/>
    </row>
    <row r="20" spans="1:27" s="46" customFormat="1" ht="10.5" customHeight="1">
      <c r="A20" s="44"/>
      <c r="B20" s="44"/>
      <c r="C20" s="44"/>
      <c r="D20" s="44"/>
      <c r="E20" s="44"/>
      <c r="F20" s="44"/>
      <c r="G20" s="44"/>
      <c r="H20" s="44"/>
      <c r="I20" s="44"/>
      <c r="J20" s="44"/>
      <c r="K20" s="44"/>
      <c r="L20" s="44"/>
      <c r="M20" s="44"/>
      <c r="N20" s="44"/>
      <c r="O20" s="44"/>
      <c r="P20" s="44"/>
      <c r="R20" s="44"/>
      <c r="S20" s="44"/>
      <c r="T20" s="44"/>
      <c r="U20" s="45"/>
      <c r="X20" s="47"/>
      <c r="Y20" s="47"/>
      <c r="Z20" s="47"/>
      <c r="AA20" s="47"/>
    </row>
    <row r="21" spans="1:27" s="46" customFormat="1" ht="10.5" customHeight="1">
      <c r="A21" s="44"/>
      <c r="B21" s="44"/>
      <c r="C21" s="44"/>
      <c r="D21" s="44"/>
      <c r="E21" s="44"/>
      <c r="F21" s="44"/>
      <c r="G21" s="44"/>
      <c r="H21" s="44"/>
      <c r="I21" s="44"/>
      <c r="J21" s="44"/>
      <c r="K21" s="44"/>
      <c r="L21" s="44"/>
      <c r="M21" s="44"/>
      <c r="N21" s="44"/>
      <c r="O21" s="44"/>
      <c r="P21" s="44"/>
      <c r="R21" s="44"/>
      <c r="S21" s="44"/>
      <c r="T21" s="44"/>
      <c r="U21" s="45"/>
      <c r="X21" s="47"/>
      <c r="Y21" s="47"/>
      <c r="Z21" s="47"/>
      <c r="AA21" s="47"/>
    </row>
    <row r="22" spans="1:27" s="46" customFormat="1" ht="10.5" customHeight="1">
      <c r="A22" s="44"/>
      <c r="B22" s="44"/>
      <c r="C22" s="44"/>
      <c r="D22" s="44"/>
      <c r="E22" s="44"/>
      <c r="F22" s="44"/>
      <c r="G22" s="44"/>
      <c r="H22" s="44"/>
      <c r="I22" s="44"/>
      <c r="J22" s="44"/>
      <c r="K22" s="44"/>
      <c r="L22" s="44"/>
      <c r="M22" s="44"/>
      <c r="N22" s="44"/>
      <c r="O22" s="44"/>
      <c r="P22" s="44"/>
      <c r="S22" s="44"/>
      <c r="T22" s="44"/>
      <c r="U22" s="45"/>
      <c r="X22" s="47"/>
      <c r="Y22" s="47"/>
      <c r="Z22" s="47"/>
      <c r="AA22" s="47"/>
    </row>
    <row r="23" spans="1:27" s="46" customFormat="1" ht="10.5" customHeight="1">
      <c r="A23" s="44"/>
      <c r="B23" s="44"/>
      <c r="C23" s="44"/>
      <c r="D23" s="44"/>
      <c r="E23" s="44"/>
      <c r="F23" s="44"/>
      <c r="G23" s="44"/>
      <c r="H23" s="44"/>
      <c r="I23" s="44"/>
      <c r="J23" s="44"/>
      <c r="K23" s="44"/>
      <c r="L23" s="44"/>
      <c r="M23" s="44"/>
      <c r="N23" s="44"/>
      <c r="O23" s="44"/>
      <c r="P23" s="44"/>
      <c r="X23" s="47"/>
      <c r="Y23" s="47"/>
      <c r="Z23" s="47"/>
      <c r="AA23" s="47"/>
    </row>
    <row r="24" spans="1:27" s="46" customFormat="1" ht="10.5" customHeight="1">
      <c r="A24" s="44"/>
      <c r="B24" s="44"/>
      <c r="C24" s="44"/>
      <c r="D24" s="44"/>
      <c r="E24" s="44"/>
      <c r="F24" s="44"/>
      <c r="G24" s="44"/>
      <c r="H24" s="44"/>
      <c r="I24" s="44"/>
      <c r="J24" s="44"/>
      <c r="K24" s="44"/>
      <c r="L24" s="44"/>
      <c r="M24" s="44"/>
      <c r="N24" s="44"/>
      <c r="O24" s="44"/>
      <c r="P24" s="44"/>
      <c r="S24" s="44"/>
      <c r="T24" s="44"/>
      <c r="U24" s="45"/>
      <c r="X24" s="47"/>
      <c r="Y24" s="47"/>
      <c r="Z24" s="47"/>
      <c r="AA24" s="47"/>
    </row>
    <row r="25" spans="1:27" s="46" customFormat="1" ht="10.5" customHeight="1">
      <c r="A25" s="44"/>
      <c r="B25" s="44"/>
      <c r="C25" s="44"/>
      <c r="D25" s="44"/>
      <c r="E25" s="44"/>
      <c r="F25" s="44"/>
      <c r="G25" s="44"/>
      <c r="H25" s="44"/>
      <c r="I25" s="44"/>
      <c r="J25" s="44"/>
      <c r="K25" s="44"/>
      <c r="L25" s="44"/>
      <c r="M25" s="44"/>
      <c r="N25" s="44"/>
      <c r="O25" s="44"/>
      <c r="P25" s="44"/>
      <c r="S25" s="44"/>
      <c r="T25" s="44"/>
      <c r="U25" s="45"/>
      <c r="X25" s="47"/>
      <c r="Y25" s="47"/>
      <c r="Z25" s="47"/>
      <c r="AA25" s="47"/>
    </row>
    <row r="26" spans="1:27" s="46" customFormat="1" ht="10.5" customHeight="1">
      <c r="A26" s="44"/>
      <c r="B26" s="44"/>
      <c r="C26" s="44"/>
      <c r="D26" s="44"/>
      <c r="E26" s="44"/>
      <c r="F26" s="44"/>
      <c r="G26" s="44"/>
      <c r="H26" s="44"/>
      <c r="I26" s="44"/>
      <c r="J26" s="44"/>
      <c r="K26" s="44"/>
      <c r="L26" s="44"/>
      <c r="M26" s="44"/>
      <c r="N26" s="44"/>
      <c r="O26" s="44"/>
      <c r="P26" s="44"/>
      <c r="S26" s="44"/>
      <c r="T26" s="44"/>
      <c r="U26" s="45"/>
      <c r="X26" s="47"/>
      <c r="Y26" s="47"/>
      <c r="Z26" s="47"/>
      <c r="AA26" s="47"/>
    </row>
    <row r="27" spans="1:27" s="46" customFormat="1" ht="10.5" customHeight="1">
      <c r="A27" s="44"/>
      <c r="B27" s="44"/>
      <c r="C27" s="44"/>
      <c r="D27" s="44"/>
      <c r="E27" s="44"/>
      <c r="F27" s="44"/>
      <c r="G27" s="44"/>
      <c r="H27" s="44"/>
      <c r="I27" s="44"/>
      <c r="J27" s="44"/>
      <c r="K27" s="44"/>
      <c r="L27" s="44"/>
      <c r="M27" s="44"/>
      <c r="N27" s="44"/>
      <c r="O27" s="44"/>
      <c r="P27" s="44"/>
      <c r="S27" s="44"/>
      <c r="T27" s="44"/>
      <c r="U27" s="45"/>
      <c r="X27" s="47"/>
      <c r="Y27" s="47"/>
      <c r="Z27" s="47"/>
      <c r="AA27" s="47"/>
    </row>
    <row r="28" spans="1:27" s="46" customFormat="1" ht="10.5" customHeight="1">
      <c r="A28" s="44"/>
      <c r="B28" s="44"/>
      <c r="C28" s="44"/>
      <c r="D28" s="44"/>
      <c r="E28" s="44"/>
      <c r="F28" s="44"/>
      <c r="G28" s="44"/>
      <c r="H28" s="44"/>
      <c r="I28" s="44"/>
      <c r="J28" s="44"/>
      <c r="K28" s="44"/>
      <c r="L28" s="44"/>
      <c r="M28" s="44"/>
      <c r="N28" s="44"/>
      <c r="O28" s="44"/>
      <c r="P28" s="44"/>
      <c r="S28" s="44"/>
      <c r="T28" s="44"/>
      <c r="U28" s="45"/>
      <c r="X28" s="47"/>
      <c r="Y28" s="47"/>
      <c r="Z28" s="47"/>
      <c r="AA28" s="47"/>
    </row>
    <row r="29" spans="1:27" s="46" customFormat="1" ht="10.5" customHeight="1">
      <c r="A29" s="44"/>
      <c r="B29" s="44"/>
      <c r="C29" s="44"/>
      <c r="D29" s="44"/>
      <c r="E29" s="44"/>
      <c r="F29" s="44"/>
      <c r="G29" s="44"/>
      <c r="H29" s="44"/>
      <c r="I29" s="44"/>
      <c r="J29" s="44"/>
      <c r="K29" s="44"/>
      <c r="L29" s="44"/>
      <c r="M29" s="44"/>
      <c r="N29" s="44"/>
      <c r="O29" s="44"/>
      <c r="P29" s="44"/>
      <c r="S29" s="44"/>
      <c r="T29" s="44"/>
      <c r="U29" s="45"/>
      <c r="X29" s="47"/>
      <c r="Y29" s="47"/>
      <c r="Z29" s="47"/>
      <c r="AA29" s="47"/>
    </row>
    <row r="30" spans="1:27" s="46" customFormat="1" ht="10.5" customHeight="1">
      <c r="A30" s="44"/>
      <c r="B30" s="44"/>
      <c r="C30" s="44"/>
      <c r="D30" s="44"/>
      <c r="E30" s="44"/>
      <c r="F30" s="44"/>
      <c r="G30" s="44"/>
      <c r="H30" s="44"/>
      <c r="I30" s="44"/>
      <c r="J30" s="44"/>
      <c r="K30" s="44"/>
      <c r="L30" s="44"/>
      <c r="M30" s="44"/>
      <c r="N30" s="44"/>
      <c r="O30" s="44"/>
      <c r="P30" s="44"/>
      <c r="S30" s="48"/>
      <c r="T30" s="48"/>
      <c r="U30" s="45"/>
      <c r="X30" s="47"/>
      <c r="Y30" s="47"/>
      <c r="Z30" s="47"/>
      <c r="AA30" s="47"/>
    </row>
    <row r="31" spans="1:27" s="46" customFormat="1" ht="10.5" customHeight="1">
      <c r="A31" s="44"/>
      <c r="B31" s="44"/>
      <c r="C31" s="44"/>
      <c r="D31" s="44"/>
      <c r="E31" s="44"/>
      <c r="F31" s="44"/>
      <c r="G31" s="44"/>
      <c r="H31" s="44"/>
      <c r="I31" s="44"/>
      <c r="J31" s="44"/>
      <c r="K31" s="44"/>
      <c r="L31" s="44"/>
      <c r="M31" s="44"/>
      <c r="N31" s="44"/>
      <c r="O31" s="44"/>
      <c r="P31" s="44"/>
      <c r="S31" s="44"/>
      <c r="T31" s="44"/>
      <c r="U31" s="45"/>
      <c r="X31" s="47"/>
      <c r="Y31" s="47"/>
      <c r="Z31" s="47"/>
      <c r="AA31" s="47"/>
    </row>
    <row r="32" spans="1:27" s="46" customFormat="1" ht="10.5" customHeight="1">
      <c r="A32" s="44"/>
      <c r="B32" s="44"/>
      <c r="C32" s="44"/>
      <c r="D32" s="44"/>
      <c r="E32" s="44"/>
      <c r="F32" s="44"/>
      <c r="G32" s="44"/>
      <c r="H32" s="44"/>
      <c r="I32" s="44"/>
      <c r="J32" s="44"/>
      <c r="K32" s="44"/>
      <c r="L32" s="44"/>
      <c r="M32" s="44"/>
      <c r="N32" s="44"/>
      <c r="O32" s="44"/>
      <c r="P32" s="44"/>
      <c r="S32" s="44"/>
      <c r="T32" s="44"/>
      <c r="U32" s="45"/>
      <c r="X32" s="47"/>
      <c r="Y32" s="47"/>
      <c r="Z32" s="47"/>
      <c r="AA32" s="47"/>
    </row>
    <row r="33" spans="1:33" s="46" customFormat="1" ht="10.5" customHeight="1">
      <c r="A33" s="44"/>
      <c r="B33" s="44"/>
      <c r="C33" s="44"/>
      <c r="D33" s="44"/>
      <c r="E33" s="44"/>
      <c r="F33" s="44"/>
      <c r="G33" s="44"/>
      <c r="H33" s="44"/>
      <c r="I33" s="44"/>
      <c r="J33" s="44"/>
      <c r="K33" s="44"/>
      <c r="L33" s="44"/>
      <c r="M33" s="44"/>
      <c r="N33" s="44"/>
      <c r="O33" s="44"/>
      <c r="P33" s="44"/>
      <c r="Q33" s="44"/>
      <c r="R33" s="44"/>
      <c r="S33" s="44"/>
      <c r="T33" s="44"/>
      <c r="U33" s="45"/>
      <c r="X33" s="47"/>
      <c r="Y33" s="47"/>
      <c r="Z33" s="47"/>
      <c r="AA33" s="47"/>
    </row>
    <row r="34" spans="1:33" s="46" customFormat="1" ht="10.5" customHeight="1">
      <c r="A34" s="44"/>
      <c r="B34" s="44"/>
      <c r="C34" s="44"/>
      <c r="D34" s="44"/>
      <c r="E34" s="44"/>
      <c r="F34" s="44"/>
      <c r="G34" s="44"/>
      <c r="H34" s="44"/>
      <c r="I34" s="44"/>
      <c r="J34" s="44"/>
      <c r="K34" s="44"/>
      <c r="L34" s="44"/>
      <c r="M34" s="44"/>
      <c r="N34" s="44"/>
      <c r="O34" s="44"/>
      <c r="P34" s="44"/>
      <c r="Q34" s="44"/>
      <c r="X34" s="47"/>
      <c r="Y34" s="47"/>
      <c r="Z34" s="47"/>
      <c r="AA34" s="47"/>
    </row>
    <row r="35" spans="1:33" s="46" customFormat="1" ht="10.5" customHeight="1">
      <c r="A35" s="44"/>
      <c r="B35" s="44"/>
      <c r="C35" s="44"/>
      <c r="D35" s="44"/>
      <c r="E35" s="44"/>
      <c r="F35" s="44"/>
      <c r="G35" s="44"/>
      <c r="H35" s="44"/>
      <c r="I35" s="44"/>
      <c r="J35" s="44"/>
      <c r="K35" s="44"/>
      <c r="L35" s="44"/>
      <c r="M35" s="44"/>
      <c r="N35" s="44"/>
      <c r="O35" s="44"/>
      <c r="P35" s="44"/>
      <c r="Q35" s="44"/>
      <c r="R35" s="44"/>
      <c r="S35" s="44"/>
      <c r="T35" s="44"/>
      <c r="U35" s="45"/>
      <c r="X35" s="47"/>
      <c r="Y35" s="47"/>
      <c r="Z35" s="47"/>
      <c r="AA35" s="47"/>
    </row>
    <row r="36" spans="1:33" s="46" customFormat="1" ht="10.5" customHeight="1">
      <c r="A36" s="44"/>
      <c r="B36" s="44"/>
      <c r="C36" s="44"/>
      <c r="D36" s="44"/>
      <c r="E36" s="44"/>
      <c r="F36" s="44"/>
      <c r="G36" s="44"/>
      <c r="H36" s="44"/>
      <c r="I36" s="44"/>
      <c r="J36" s="44"/>
      <c r="K36" s="44"/>
      <c r="L36" s="44"/>
      <c r="M36" s="44"/>
      <c r="N36" s="44"/>
      <c r="O36" s="44"/>
      <c r="P36" s="44"/>
      <c r="Q36" s="44"/>
      <c r="R36" s="44"/>
      <c r="S36" s="44"/>
      <c r="T36" s="44"/>
      <c r="U36" s="45"/>
      <c r="X36" s="47"/>
      <c r="Y36" s="47"/>
      <c r="Z36" s="47"/>
      <c r="AA36" s="47"/>
    </row>
    <row r="37" spans="1:33" s="46" customFormat="1" ht="10.5" customHeight="1">
      <c r="A37" s="44"/>
      <c r="B37" s="44"/>
      <c r="C37" s="44"/>
      <c r="D37" s="44"/>
      <c r="E37" s="44"/>
      <c r="F37" s="44"/>
      <c r="G37" s="44"/>
      <c r="H37" s="44"/>
      <c r="I37" s="44"/>
      <c r="J37" s="44"/>
      <c r="K37" s="44"/>
      <c r="L37" s="44"/>
      <c r="M37" s="44"/>
      <c r="N37" s="44"/>
      <c r="O37" s="44"/>
      <c r="P37" s="44"/>
      <c r="Q37" s="44"/>
      <c r="R37" s="44"/>
      <c r="S37" s="44"/>
      <c r="T37" s="44"/>
      <c r="U37" s="45"/>
      <c r="X37" s="47"/>
      <c r="Y37" s="47"/>
      <c r="Z37" s="47"/>
      <c r="AA37" s="47"/>
    </row>
    <row r="38" spans="1:33" s="46" customFormat="1" ht="10.5" customHeight="1">
      <c r="A38" s="44"/>
      <c r="B38" s="44"/>
      <c r="C38" s="44"/>
      <c r="D38" s="44"/>
      <c r="E38" s="44"/>
      <c r="F38" s="44"/>
      <c r="G38" s="44"/>
      <c r="H38" s="44"/>
      <c r="I38" s="44"/>
      <c r="J38" s="44"/>
      <c r="K38" s="44"/>
      <c r="L38" s="44"/>
      <c r="M38" s="44"/>
      <c r="N38" s="44"/>
      <c r="O38" s="44"/>
      <c r="P38" s="44"/>
      <c r="Q38" s="44"/>
      <c r="R38" s="44"/>
      <c r="S38" s="44"/>
      <c r="T38" s="44"/>
      <c r="U38" s="45"/>
      <c r="X38" s="47"/>
      <c r="Y38" s="47"/>
      <c r="Z38" s="47"/>
      <c r="AA38" s="47"/>
    </row>
    <row r="39" spans="1:33" s="46" customFormat="1" ht="10.5" customHeight="1">
      <c r="A39" s="44"/>
      <c r="B39" s="44"/>
      <c r="C39" s="44"/>
      <c r="D39" s="44"/>
      <c r="E39" s="44"/>
      <c r="F39" s="44"/>
      <c r="G39" s="44"/>
      <c r="H39" s="44"/>
      <c r="I39" s="44"/>
      <c r="J39" s="44"/>
      <c r="K39" s="44"/>
      <c r="L39" s="44"/>
      <c r="M39" s="44"/>
      <c r="N39" s="44"/>
      <c r="O39" s="44"/>
      <c r="P39" s="44"/>
      <c r="Q39" s="44"/>
      <c r="R39" s="44"/>
      <c r="S39" s="44"/>
      <c r="T39" s="44"/>
      <c r="U39" s="45"/>
      <c r="X39" s="47"/>
      <c r="Y39" s="47"/>
      <c r="Z39" s="47"/>
      <c r="AA39" s="47"/>
    </row>
    <row r="40" spans="1:33" s="46" customFormat="1" ht="10.5" customHeight="1">
      <c r="A40" s="44"/>
      <c r="B40" s="44"/>
      <c r="C40" s="44"/>
      <c r="D40" s="44"/>
      <c r="E40" s="44"/>
      <c r="F40" s="44"/>
      <c r="G40" s="44"/>
      <c r="H40" s="44"/>
      <c r="I40" s="44"/>
      <c r="J40" s="44"/>
      <c r="K40" s="44"/>
      <c r="L40" s="44"/>
      <c r="M40" s="44"/>
      <c r="N40" s="44"/>
      <c r="O40" s="44"/>
      <c r="P40" s="44"/>
      <c r="Q40" s="44"/>
      <c r="R40" s="44"/>
      <c r="S40" s="44"/>
      <c r="T40" s="44"/>
      <c r="U40" s="45"/>
      <c r="X40" s="47"/>
      <c r="Y40" s="47"/>
      <c r="Z40" s="47"/>
      <c r="AA40" s="47"/>
    </row>
    <row r="41" spans="1:33" s="46" customFormat="1" ht="10.5" customHeight="1">
      <c r="A41" s="44"/>
      <c r="B41" s="44"/>
      <c r="C41" s="44"/>
      <c r="D41" s="44"/>
      <c r="E41" s="44"/>
      <c r="F41" s="44"/>
      <c r="G41" s="44"/>
      <c r="H41" s="44"/>
      <c r="I41" s="44"/>
      <c r="J41" s="44"/>
      <c r="K41" s="44"/>
      <c r="L41" s="44"/>
      <c r="M41" s="44"/>
      <c r="N41" s="44"/>
      <c r="O41" s="44"/>
      <c r="P41" s="44"/>
      <c r="Q41" s="44"/>
      <c r="R41" s="44"/>
      <c r="S41" s="44"/>
      <c r="T41" s="44"/>
      <c r="U41" s="45"/>
      <c r="X41" s="47"/>
      <c r="Y41" s="47"/>
      <c r="Z41" s="47"/>
      <c r="AA41" s="47"/>
    </row>
    <row r="42" spans="1:33" s="46" customFormat="1" ht="10.5" customHeight="1">
      <c r="A42" s="44"/>
      <c r="B42" s="44"/>
      <c r="C42" s="44"/>
      <c r="D42" s="44"/>
      <c r="E42" s="44"/>
      <c r="F42" s="44"/>
      <c r="G42" s="44"/>
      <c r="I42" s="44"/>
      <c r="J42" s="44"/>
      <c r="K42" s="44"/>
      <c r="L42" s="44"/>
      <c r="M42" s="44"/>
      <c r="N42" s="44"/>
      <c r="O42" s="44"/>
      <c r="P42" s="44"/>
      <c r="Q42" s="44"/>
      <c r="R42" s="44"/>
      <c r="S42" s="44"/>
      <c r="T42" s="44"/>
      <c r="U42" s="45"/>
      <c r="X42" s="47"/>
      <c r="Y42" s="47"/>
      <c r="Z42" s="47"/>
      <c r="AA42" s="47"/>
    </row>
    <row r="43" spans="1:33" s="46" customFormat="1" ht="10.5" customHeight="1">
      <c r="A43" s="44"/>
      <c r="B43" s="44"/>
      <c r="C43" s="44"/>
      <c r="D43" s="44"/>
      <c r="E43" s="44"/>
      <c r="F43" s="44"/>
      <c r="G43" s="44"/>
      <c r="I43" s="44"/>
      <c r="J43" s="44"/>
      <c r="K43" s="44"/>
      <c r="L43" s="44"/>
      <c r="M43" s="44"/>
      <c r="N43" s="44"/>
      <c r="O43" s="44"/>
      <c r="P43" s="44"/>
      <c r="Q43" s="44"/>
      <c r="R43" s="44"/>
      <c r="S43" s="44"/>
      <c r="T43" s="44"/>
      <c r="U43" s="45"/>
      <c r="X43" s="47"/>
      <c r="Y43" s="47"/>
      <c r="Z43" s="47"/>
      <c r="AA43" s="47"/>
      <c r="AG43" s="54"/>
    </row>
    <row r="44" spans="1:33" s="46" customFormat="1" ht="10.5" customHeight="1">
      <c r="A44" s="44"/>
      <c r="B44" s="44"/>
      <c r="C44" s="44"/>
      <c r="D44" s="44"/>
      <c r="E44" s="44"/>
      <c r="F44" s="44"/>
      <c r="G44" s="44"/>
      <c r="I44" s="44"/>
      <c r="J44" s="44"/>
      <c r="K44" s="44"/>
      <c r="L44" s="44"/>
      <c r="M44" s="44"/>
      <c r="N44" s="44"/>
      <c r="O44" s="44"/>
      <c r="P44" s="44"/>
      <c r="Q44" s="44"/>
      <c r="R44" s="44"/>
      <c r="S44" s="44"/>
      <c r="T44" s="44"/>
      <c r="U44" s="45"/>
      <c r="X44" s="47"/>
      <c r="Y44" s="47"/>
      <c r="Z44" s="47"/>
      <c r="AA44" s="47"/>
    </row>
    <row r="45" spans="1:33" s="46" customFormat="1" ht="10.5" customHeight="1">
      <c r="A45" s="44"/>
      <c r="B45" s="44"/>
      <c r="C45" s="44"/>
      <c r="D45" s="44"/>
      <c r="E45" s="44"/>
      <c r="F45" s="44"/>
      <c r="G45" s="44"/>
      <c r="I45" s="44"/>
      <c r="J45" s="44"/>
      <c r="K45" s="44"/>
      <c r="L45" s="44"/>
      <c r="M45" s="44"/>
      <c r="N45" s="44"/>
      <c r="O45" s="44"/>
      <c r="P45" s="44"/>
      <c r="Q45" s="44"/>
      <c r="R45" s="44"/>
      <c r="S45" s="44"/>
      <c r="T45" s="44"/>
      <c r="U45" s="45"/>
      <c r="X45" s="47"/>
      <c r="Y45" s="47"/>
      <c r="Z45" s="47"/>
      <c r="AA45" s="47"/>
    </row>
    <row r="46" spans="1:33" s="46" customFormat="1" ht="10.5" customHeight="1">
      <c r="A46" s="44"/>
      <c r="B46" s="44"/>
      <c r="C46" s="44"/>
      <c r="D46" s="44"/>
      <c r="E46" s="44"/>
      <c r="F46" s="44"/>
      <c r="G46" s="44"/>
      <c r="I46" s="44"/>
      <c r="J46" s="44"/>
      <c r="K46" s="44"/>
      <c r="L46" s="44"/>
      <c r="M46" s="44"/>
      <c r="N46" s="44"/>
      <c r="O46" s="44"/>
      <c r="P46" s="44"/>
      <c r="Q46" s="44"/>
      <c r="R46" s="44"/>
      <c r="S46" s="44"/>
      <c r="T46" s="44"/>
      <c r="U46" s="45"/>
      <c r="X46" s="47"/>
      <c r="Y46" s="47"/>
      <c r="Z46" s="47"/>
      <c r="AA46" s="47"/>
    </row>
    <row r="47" spans="1:33" s="46" customFormat="1" ht="10.5" customHeight="1">
      <c r="A47" s="44"/>
      <c r="B47" s="44"/>
      <c r="C47" s="44"/>
      <c r="D47" s="44"/>
      <c r="E47" s="44"/>
      <c r="F47" s="44"/>
      <c r="G47" s="44"/>
      <c r="I47" s="44"/>
      <c r="J47" s="44"/>
      <c r="K47" s="44"/>
      <c r="L47" s="44"/>
      <c r="M47" s="44"/>
      <c r="N47" s="44"/>
      <c r="O47" s="44"/>
      <c r="P47" s="44"/>
      <c r="Q47" s="44"/>
      <c r="R47" s="44"/>
      <c r="S47" s="44"/>
      <c r="T47" s="44"/>
      <c r="U47" s="45"/>
      <c r="X47" s="47"/>
      <c r="Y47" s="47"/>
      <c r="Z47" s="47"/>
      <c r="AA47" s="47"/>
    </row>
    <row r="48" spans="1:33" s="46" customFormat="1" ht="10.5" customHeight="1">
      <c r="A48" s="44"/>
      <c r="B48" s="44"/>
      <c r="C48" s="44"/>
      <c r="D48" s="44"/>
      <c r="E48" s="44"/>
      <c r="F48" s="44"/>
      <c r="G48" s="44"/>
      <c r="I48" s="44"/>
      <c r="J48" s="44"/>
      <c r="K48" s="44"/>
      <c r="L48" s="44"/>
      <c r="M48" s="44"/>
      <c r="N48" s="44"/>
      <c r="O48" s="44"/>
      <c r="P48" s="44"/>
      <c r="Q48" s="44"/>
      <c r="R48" s="44"/>
      <c r="S48" s="44"/>
      <c r="T48" s="44"/>
      <c r="U48" s="45"/>
      <c r="X48" s="47"/>
      <c r="Y48" s="47"/>
      <c r="Z48" s="47"/>
      <c r="AA48" s="47"/>
    </row>
    <row r="49" spans="1:27" s="46" customFormat="1" ht="10.5" customHeight="1">
      <c r="A49" s="44"/>
      <c r="B49" s="44"/>
      <c r="C49" s="44"/>
      <c r="D49" s="44"/>
      <c r="E49" s="44"/>
      <c r="F49" s="44"/>
      <c r="G49" s="44"/>
      <c r="I49" s="44"/>
      <c r="J49" s="44"/>
      <c r="K49" s="44"/>
      <c r="L49" s="44"/>
      <c r="M49" s="44"/>
      <c r="N49" s="44"/>
      <c r="O49" s="44"/>
      <c r="P49" s="44"/>
      <c r="Q49" s="44"/>
      <c r="R49" s="44"/>
      <c r="S49" s="44"/>
      <c r="T49" s="44"/>
      <c r="U49" s="45"/>
      <c r="X49" s="47"/>
      <c r="Y49" s="47"/>
      <c r="Z49" s="47"/>
      <c r="AA49" s="47"/>
    </row>
    <row r="50" spans="1:27" s="46" customFormat="1" ht="10.5" customHeight="1">
      <c r="A50" s="44"/>
      <c r="B50" s="44"/>
      <c r="C50" s="44"/>
      <c r="D50" s="44"/>
      <c r="E50" s="44"/>
      <c r="F50" s="44"/>
      <c r="G50" s="44"/>
      <c r="I50" s="44"/>
      <c r="J50" s="44"/>
      <c r="K50" s="44"/>
      <c r="L50" s="44"/>
      <c r="M50" s="44"/>
      <c r="N50" s="44"/>
      <c r="O50" s="44"/>
      <c r="P50" s="44"/>
      <c r="Q50" s="44"/>
      <c r="R50" s="44"/>
      <c r="S50" s="44"/>
      <c r="T50" s="44"/>
      <c r="U50" s="45"/>
      <c r="X50" s="47"/>
      <c r="Y50" s="47"/>
      <c r="Z50" s="47"/>
      <c r="AA50" s="47"/>
    </row>
    <row r="51" spans="1:27" s="46" customFormat="1" ht="10.5" customHeight="1">
      <c r="A51" s="44"/>
      <c r="B51" s="44"/>
      <c r="C51" s="44"/>
      <c r="D51" s="44"/>
      <c r="E51" s="44"/>
      <c r="F51" s="44"/>
      <c r="G51" s="44"/>
      <c r="I51" s="44"/>
      <c r="J51" s="44"/>
      <c r="K51" s="44"/>
      <c r="L51" s="44"/>
      <c r="M51" s="44"/>
      <c r="N51" s="44"/>
      <c r="O51" s="44"/>
      <c r="P51" s="44"/>
      <c r="Q51" s="44"/>
      <c r="R51" s="44"/>
      <c r="S51" s="44"/>
      <c r="T51" s="44"/>
      <c r="U51" s="45"/>
      <c r="X51" s="47"/>
      <c r="Y51" s="47"/>
      <c r="Z51" s="47"/>
      <c r="AA51" s="47"/>
    </row>
    <row r="52" spans="1:27" s="46" customFormat="1" ht="10.5" customHeight="1">
      <c r="A52" s="44"/>
      <c r="B52" s="44"/>
      <c r="C52" s="44"/>
      <c r="D52" s="44"/>
      <c r="E52" s="44"/>
      <c r="F52" s="44"/>
      <c r="G52" s="44"/>
      <c r="I52" s="44"/>
      <c r="J52" s="44"/>
      <c r="K52" s="44"/>
      <c r="L52" s="44"/>
      <c r="M52" s="44"/>
      <c r="N52" s="44"/>
      <c r="O52" s="44"/>
      <c r="P52" s="44"/>
      <c r="Q52" s="44"/>
      <c r="R52" s="44"/>
      <c r="S52" s="44"/>
      <c r="T52" s="44"/>
      <c r="U52" s="45"/>
      <c r="X52" s="47"/>
      <c r="Y52" s="47"/>
      <c r="Z52" s="47"/>
      <c r="AA52" s="47"/>
    </row>
    <row r="53" spans="1:27" s="46" customFormat="1" ht="10.5" customHeight="1">
      <c r="A53" s="44"/>
      <c r="B53" s="44"/>
      <c r="C53" s="44"/>
      <c r="D53" s="44"/>
      <c r="E53" s="44"/>
      <c r="F53" s="44"/>
      <c r="G53" s="44"/>
      <c r="I53" s="44"/>
      <c r="J53" s="44"/>
      <c r="K53" s="44"/>
      <c r="L53" s="44"/>
      <c r="M53" s="44"/>
      <c r="N53" s="44"/>
      <c r="O53" s="44"/>
      <c r="P53" s="44"/>
      <c r="Q53" s="44"/>
      <c r="R53" s="44"/>
      <c r="S53" s="44"/>
      <c r="T53" s="44"/>
      <c r="U53" s="45"/>
      <c r="X53" s="47"/>
      <c r="Y53" s="47"/>
      <c r="Z53" s="47"/>
      <c r="AA53" s="47"/>
    </row>
    <row r="54" spans="1:27" s="46" customFormat="1" ht="10.5" customHeight="1">
      <c r="A54" s="44"/>
      <c r="B54" s="44"/>
      <c r="C54" s="44"/>
      <c r="D54" s="44"/>
      <c r="E54" s="712" t="str">
        <f>GA!D16</f>
        <v>Rhenus Digital Workforce Sp. z o.o.</v>
      </c>
      <c r="F54" s="712"/>
      <c r="G54" s="712"/>
      <c r="H54" s="712"/>
      <c r="I54" s="712"/>
      <c r="J54" s="712"/>
      <c r="K54" s="712"/>
      <c r="L54" s="712"/>
      <c r="M54" s="712"/>
      <c r="N54" s="712"/>
      <c r="O54" s="712"/>
      <c r="P54" s="712"/>
      <c r="Q54" s="712"/>
      <c r="R54" s="712"/>
      <c r="S54" s="712"/>
      <c r="T54" s="712"/>
      <c r="U54" s="712"/>
      <c r="V54" s="712"/>
      <c r="W54" s="712"/>
      <c r="X54" s="47"/>
      <c r="Y54" s="47"/>
      <c r="Z54" s="47"/>
      <c r="AA54" s="47"/>
    </row>
    <row r="55" spans="1:27" s="46" customFormat="1" ht="10.5" customHeight="1">
      <c r="A55" s="44"/>
      <c r="B55" s="44"/>
      <c r="C55" s="44"/>
      <c r="D55" s="44"/>
      <c r="E55" s="712"/>
      <c r="F55" s="712"/>
      <c r="G55" s="712"/>
      <c r="H55" s="712"/>
      <c r="I55" s="712"/>
      <c r="J55" s="712"/>
      <c r="K55" s="712"/>
      <c r="L55" s="712"/>
      <c r="M55" s="712"/>
      <c r="N55" s="712"/>
      <c r="O55" s="712"/>
      <c r="P55" s="712"/>
      <c r="Q55" s="712"/>
      <c r="R55" s="712"/>
      <c r="S55" s="712"/>
      <c r="T55" s="712"/>
      <c r="U55" s="712"/>
      <c r="V55" s="712"/>
      <c r="W55" s="712"/>
      <c r="X55" s="47"/>
      <c r="Y55" s="47"/>
      <c r="Z55" s="47"/>
      <c r="AA55" s="47"/>
    </row>
    <row r="56" spans="1:27" s="46" customFormat="1" ht="10.5" customHeight="1">
      <c r="A56" s="44"/>
      <c r="B56" s="44"/>
      <c r="C56" s="44"/>
      <c r="D56" s="44"/>
      <c r="E56" s="712"/>
      <c r="F56" s="712"/>
      <c r="G56" s="712"/>
      <c r="H56" s="712"/>
      <c r="I56" s="712"/>
      <c r="J56" s="712"/>
      <c r="K56" s="712"/>
      <c r="L56" s="712"/>
      <c r="M56" s="712"/>
      <c r="N56" s="712"/>
      <c r="O56" s="712"/>
      <c r="P56" s="712"/>
      <c r="Q56" s="712"/>
      <c r="R56" s="712"/>
      <c r="S56" s="712"/>
      <c r="T56" s="712"/>
      <c r="U56" s="712"/>
      <c r="V56" s="712"/>
      <c r="W56" s="712"/>
      <c r="X56" s="47"/>
      <c r="Y56" s="47"/>
      <c r="Z56" s="47"/>
      <c r="AA56" s="47"/>
    </row>
    <row r="57" spans="1:27" s="46" customFormat="1" ht="10.5" customHeight="1">
      <c r="A57" s="44"/>
      <c r="B57" s="44"/>
      <c r="C57" s="44"/>
      <c r="D57" s="44"/>
      <c r="E57" s="712"/>
      <c r="F57" s="712"/>
      <c r="G57" s="712"/>
      <c r="H57" s="712"/>
      <c r="I57" s="712"/>
      <c r="J57" s="712"/>
      <c r="K57" s="712"/>
      <c r="L57" s="712"/>
      <c r="M57" s="712"/>
      <c r="N57" s="712"/>
      <c r="O57" s="712"/>
      <c r="P57" s="712"/>
      <c r="Q57" s="712"/>
      <c r="R57" s="712"/>
      <c r="S57" s="712"/>
      <c r="T57" s="712"/>
      <c r="U57" s="712"/>
      <c r="V57" s="712"/>
      <c r="W57" s="712"/>
      <c r="X57" s="47"/>
      <c r="Y57" s="47"/>
      <c r="Z57" s="47"/>
      <c r="AA57" s="47"/>
    </row>
    <row r="58" spans="1:27" s="46" customFormat="1" ht="10.5" customHeight="1">
      <c r="A58" s="44"/>
      <c r="B58" s="44"/>
      <c r="C58" s="44"/>
      <c r="D58" s="44"/>
      <c r="E58" s="712"/>
      <c r="F58" s="712"/>
      <c r="G58" s="712"/>
      <c r="H58" s="712"/>
      <c r="I58" s="712"/>
      <c r="J58" s="712"/>
      <c r="K58" s="712"/>
      <c r="L58" s="712"/>
      <c r="M58" s="712"/>
      <c r="N58" s="712"/>
      <c r="O58" s="712"/>
      <c r="P58" s="712"/>
      <c r="Q58" s="712"/>
      <c r="R58" s="712"/>
      <c r="S58" s="712"/>
      <c r="T58" s="712"/>
      <c r="U58" s="712"/>
      <c r="V58" s="712"/>
      <c r="W58" s="712"/>
      <c r="X58" s="47"/>
      <c r="Y58" s="47"/>
      <c r="Z58" s="47"/>
      <c r="AA58" s="47"/>
    </row>
    <row r="59" spans="1:27" s="46" customFormat="1" ht="4.5" customHeight="1">
      <c r="A59" s="44"/>
      <c r="B59" s="44"/>
      <c r="C59" s="44"/>
      <c r="D59" s="44"/>
      <c r="E59" s="713" t="str">
        <f>GA!D17</f>
        <v>ul. Puławska 99</v>
      </c>
      <c r="F59" s="714"/>
      <c r="G59" s="714"/>
      <c r="H59" s="714"/>
      <c r="I59" s="714"/>
      <c r="J59" s="714"/>
      <c r="K59" s="714"/>
      <c r="L59" s="714"/>
      <c r="M59" s="714"/>
      <c r="N59" s="714"/>
      <c r="O59" s="714"/>
      <c r="P59" s="714"/>
      <c r="Q59" s="49"/>
      <c r="R59" s="44"/>
      <c r="S59" s="44"/>
      <c r="T59" s="44"/>
      <c r="U59" s="45"/>
      <c r="X59" s="47"/>
      <c r="Y59" s="47"/>
      <c r="Z59" s="47"/>
      <c r="AA59" s="47"/>
    </row>
    <row r="60" spans="1:27" s="46" customFormat="1" ht="12.75" customHeight="1">
      <c r="A60" s="44"/>
      <c r="B60" s="44"/>
      <c r="C60" s="44"/>
      <c r="D60" s="44"/>
      <c r="E60" s="714"/>
      <c r="F60" s="714"/>
      <c r="G60" s="714"/>
      <c r="H60" s="714"/>
      <c r="I60" s="714"/>
      <c r="J60" s="714"/>
      <c r="K60" s="714"/>
      <c r="L60" s="714"/>
      <c r="M60" s="714"/>
      <c r="N60" s="714"/>
      <c r="O60" s="714"/>
      <c r="P60" s="714"/>
      <c r="Q60" s="49"/>
      <c r="R60" s="44"/>
      <c r="S60" s="44"/>
      <c r="T60" s="44"/>
      <c r="U60" s="45"/>
      <c r="X60" s="47"/>
      <c r="Y60" s="47"/>
      <c r="Z60" s="47"/>
      <c r="AA60" s="47"/>
    </row>
    <row r="61" spans="1:27" s="54" customFormat="1" ht="12.75" customHeight="1">
      <c r="A61" s="44"/>
      <c r="B61" s="44"/>
      <c r="C61" s="44"/>
      <c r="D61" s="44"/>
      <c r="E61" s="713" t="str">
        <f>GA!D18</f>
        <v>02-595</v>
      </c>
      <c r="F61" s="713"/>
      <c r="G61" s="383" t="str">
        <f>GA!D19</f>
        <v>Warszawa</v>
      </c>
      <c r="H61" s="59"/>
      <c r="I61" s="59"/>
      <c r="J61" s="59"/>
      <c r="K61" s="59"/>
      <c r="L61" s="59"/>
      <c r="M61" s="59"/>
      <c r="N61" s="59"/>
      <c r="O61" s="59"/>
      <c r="P61" s="59"/>
      <c r="Q61" s="49"/>
      <c r="R61" s="44"/>
      <c r="S61" s="44"/>
      <c r="T61" s="44"/>
      <c r="U61" s="45"/>
      <c r="V61" s="46"/>
      <c r="W61" s="46"/>
      <c r="X61" s="47"/>
      <c r="Y61" s="47"/>
      <c r="Z61" s="53"/>
      <c r="AA61" s="53"/>
    </row>
    <row r="62" spans="1:27" s="54" customFormat="1" ht="12.75" customHeight="1">
      <c r="A62" s="44"/>
      <c r="B62" s="44"/>
      <c r="C62" s="44"/>
      <c r="D62" s="44"/>
      <c r="E62" s="59"/>
      <c r="F62" s="59"/>
      <c r="G62" s="59"/>
      <c r="H62" s="59"/>
      <c r="I62" s="59"/>
      <c r="J62" s="59"/>
      <c r="K62" s="59"/>
      <c r="L62" s="59"/>
      <c r="M62" s="59"/>
      <c r="N62" s="59"/>
      <c r="O62" s="59"/>
      <c r="P62" s="59"/>
      <c r="Q62" s="49"/>
      <c r="R62" s="44"/>
      <c r="S62" s="44"/>
      <c r="T62" s="44"/>
      <c r="U62" s="45"/>
      <c r="V62" s="46"/>
      <c r="W62" s="46"/>
      <c r="X62" s="47"/>
      <c r="Y62" s="47"/>
      <c r="Z62" s="53"/>
      <c r="AA62" s="53"/>
    </row>
    <row r="63" spans="1:27" s="46" customFormat="1" ht="9.75" customHeight="1">
      <c r="A63" s="44"/>
      <c r="B63" s="44"/>
      <c r="C63" s="44"/>
      <c r="D63" s="44"/>
      <c r="E63" s="44"/>
      <c r="G63" s="44"/>
      <c r="H63" s="50"/>
      <c r="J63" s="44"/>
      <c r="K63" s="44"/>
      <c r="L63" s="44"/>
      <c r="M63" s="44"/>
      <c r="N63" s="44"/>
      <c r="O63" s="44"/>
      <c r="P63" s="44"/>
      <c r="Q63" s="44"/>
      <c r="R63" s="44"/>
      <c r="S63" s="44"/>
      <c r="T63" s="44"/>
      <c r="U63" s="45"/>
      <c r="X63" s="47"/>
      <c r="Y63" s="47"/>
      <c r="Z63" s="47"/>
      <c r="AA63" s="47"/>
    </row>
    <row r="64" spans="1:27" s="46" customFormat="1" ht="12.75" customHeight="1">
      <c r="A64" s="44"/>
      <c r="B64" s="44"/>
      <c r="C64" s="44"/>
      <c r="D64" s="44"/>
      <c r="E64" s="715" t="str">
        <f>CHOOSE(jezyk,n!A35,n!B35,n!C35)</f>
        <v>ZAŁĄCZNIK 1 DO SPRAWOZDANIA FINANSOWEGO SPORZĄDZONEGO W FORMIE ELEKTRONICZNEJ - INFORMACJE DODATKOWE</v>
      </c>
      <c r="F64" s="715"/>
      <c r="G64" s="715"/>
      <c r="H64" s="715"/>
      <c r="I64" s="715"/>
      <c r="J64" s="715"/>
      <c r="K64" s="715"/>
      <c r="L64" s="715"/>
      <c r="M64" s="715"/>
      <c r="N64" s="715"/>
      <c r="O64" s="715"/>
      <c r="P64" s="715"/>
      <c r="Q64" s="715"/>
      <c r="R64" s="715"/>
      <c r="S64" s="715"/>
      <c r="T64" s="715"/>
      <c r="U64" s="715"/>
      <c r="V64" s="715"/>
      <c r="X64" s="47"/>
      <c r="Y64" s="47"/>
      <c r="Z64" s="47"/>
      <c r="AA64" s="47"/>
    </row>
    <row r="65" spans="1:27" s="46" customFormat="1" ht="12.75" customHeight="1">
      <c r="A65" s="44"/>
      <c r="B65" s="44"/>
      <c r="C65" s="44"/>
      <c r="D65" s="44"/>
      <c r="E65" s="715"/>
      <c r="F65" s="715"/>
      <c r="G65" s="715"/>
      <c r="H65" s="715"/>
      <c r="I65" s="715"/>
      <c r="J65" s="715"/>
      <c r="K65" s="715"/>
      <c r="L65" s="715"/>
      <c r="M65" s="715"/>
      <c r="N65" s="715"/>
      <c r="O65" s="715"/>
      <c r="P65" s="715"/>
      <c r="Q65" s="715"/>
      <c r="R65" s="715"/>
      <c r="S65" s="715"/>
      <c r="T65" s="715"/>
      <c r="U65" s="715"/>
      <c r="V65" s="715"/>
      <c r="X65" s="47"/>
      <c r="Y65" s="47"/>
      <c r="Z65" s="47"/>
      <c r="AA65" s="47"/>
    </row>
    <row r="66" spans="1:27" s="54" customFormat="1" ht="12.75" customHeight="1">
      <c r="A66" s="60"/>
      <c r="B66" s="60"/>
      <c r="C66" s="60"/>
      <c r="D66" s="60"/>
      <c r="E66" s="59"/>
      <c r="G66" s="60"/>
      <c r="H66" s="62"/>
      <c r="J66" s="60"/>
      <c r="K66" s="60"/>
      <c r="L66" s="60"/>
      <c r="M66" s="60"/>
      <c r="N66" s="60"/>
      <c r="O66" s="60"/>
      <c r="P66" s="60"/>
      <c r="Q66" s="60"/>
      <c r="R66" s="60"/>
      <c r="S66" s="60"/>
      <c r="T66" s="60"/>
      <c r="U66" s="61"/>
      <c r="X66" s="53"/>
      <c r="Y66" s="53"/>
      <c r="Z66" s="53"/>
      <c r="AA66" s="53"/>
    </row>
    <row r="67" spans="1:27" s="46" customFormat="1" ht="12.75" customHeight="1">
      <c r="A67" s="44"/>
      <c r="B67" s="44"/>
      <c r="C67" s="44"/>
      <c r="D67" s="44"/>
      <c r="E67" s="54"/>
      <c r="G67" s="44"/>
      <c r="H67" s="50"/>
      <c r="J67" s="44"/>
      <c r="K67" s="44"/>
      <c r="L67" s="44"/>
      <c r="M67" s="44"/>
      <c r="N67" s="44"/>
      <c r="O67" s="44"/>
      <c r="P67" s="44"/>
      <c r="Q67" s="44"/>
      <c r="R67" s="44"/>
      <c r="S67" s="44"/>
      <c r="T67" s="44"/>
      <c r="U67" s="45"/>
      <c r="X67" s="47"/>
      <c r="Y67" s="47"/>
      <c r="Z67" s="47"/>
      <c r="AA67" s="47"/>
    </row>
    <row r="68" spans="1:27" s="46" customFormat="1">
      <c r="A68" s="44"/>
      <c r="B68" s="44"/>
      <c r="C68" s="44"/>
      <c r="D68" s="44"/>
      <c r="E68" s="59"/>
      <c r="G68" s="44"/>
      <c r="H68" s="50"/>
      <c r="J68" s="44"/>
      <c r="K68" s="44"/>
      <c r="L68" s="44"/>
      <c r="M68" s="44"/>
      <c r="N68" s="44"/>
      <c r="O68" s="44"/>
      <c r="P68" s="44"/>
      <c r="Q68" s="44"/>
      <c r="R68" s="44"/>
      <c r="S68" s="44"/>
      <c r="T68" s="44"/>
      <c r="U68" s="45"/>
      <c r="X68" s="47"/>
      <c r="Y68" s="47"/>
      <c r="Z68" s="47"/>
      <c r="AA68" s="47"/>
    </row>
    <row r="69" spans="1:27" s="46" customFormat="1">
      <c r="A69" s="44"/>
      <c r="B69" s="44"/>
      <c r="C69" s="44"/>
      <c r="D69" s="44"/>
      <c r="E69" s="59"/>
      <c r="G69" s="44"/>
      <c r="H69" s="52"/>
      <c r="N69" s="44"/>
      <c r="O69" s="44"/>
      <c r="P69" s="44"/>
      <c r="Q69" s="44"/>
      <c r="R69" s="44"/>
      <c r="S69" s="44"/>
      <c r="T69" s="44"/>
      <c r="U69" s="45"/>
      <c r="X69" s="47"/>
      <c r="Y69" s="47"/>
      <c r="Z69" s="47"/>
      <c r="AA69" s="47"/>
    </row>
    <row r="70" spans="1:27" s="46" customFormat="1" ht="10.5" customHeight="1">
      <c r="A70" s="44"/>
      <c r="B70" s="44"/>
      <c r="C70" s="44"/>
      <c r="D70" s="44"/>
      <c r="E70" s="44"/>
      <c r="G70" s="44"/>
      <c r="N70" s="44"/>
      <c r="O70" s="44"/>
      <c r="P70" s="44"/>
      <c r="Q70" s="44"/>
      <c r="R70" s="44"/>
      <c r="S70" s="44"/>
      <c r="T70" s="44"/>
      <c r="U70" s="45"/>
      <c r="X70" s="47"/>
      <c r="Y70" s="47"/>
      <c r="Z70" s="47"/>
      <c r="AA70" s="47"/>
    </row>
    <row r="71" spans="1:27" s="46" customFormat="1" ht="10.5" customHeight="1">
      <c r="A71" s="44"/>
      <c r="B71" s="44"/>
      <c r="C71" s="44"/>
      <c r="D71" s="44"/>
      <c r="E71" s="44"/>
      <c r="F71" s="44"/>
      <c r="G71" s="44"/>
      <c r="I71" s="44"/>
      <c r="J71" s="44"/>
      <c r="K71" s="44"/>
      <c r="L71" s="44"/>
      <c r="M71" s="44"/>
      <c r="N71" s="44"/>
      <c r="O71" s="44"/>
      <c r="P71" s="44"/>
      <c r="Q71" s="44"/>
      <c r="R71" s="44"/>
      <c r="S71" s="44"/>
      <c r="T71" s="44"/>
      <c r="U71" s="45"/>
      <c r="X71" s="47"/>
      <c r="Y71" s="47"/>
      <c r="Z71" s="47"/>
      <c r="AA71" s="47"/>
    </row>
    <row r="72" spans="1:27" s="54" customFormat="1" ht="10.5" customHeight="1">
      <c r="A72" s="60"/>
      <c r="B72" s="60"/>
      <c r="C72" s="60"/>
      <c r="D72" s="60"/>
      <c r="E72" s="60"/>
      <c r="F72" s="60"/>
      <c r="G72" s="60"/>
      <c r="H72" s="60"/>
      <c r="I72" s="60"/>
      <c r="J72" s="60"/>
      <c r="K72" s="60"/>
      <c r="L72" s="60"/>
      <c r="M72" s="60"/>
      <c r="N72" s="60"/>
      <c r="O72" s="60"/>
      <c r="P72" s="60"/>
      <c r="Q72" s="60"/>
      <c r="R72" s="60"/>
      <c r="S72" s="60"/>
      <c r="T72" s="60"/>
      <c r="U72" s="61"/>
      <c r="X72" s="53"/>
      <c r="Y72" s="53"/>
      <c r="Z72" s="53"/>
      <c r="AA72" s="53"/>
    </row>
    <row r="73" spans="1:27" s="54" customFormat="1" ht="10.5" customHeight="1">
      <c r="A73" s="46"/>
      <c r="B73" s="46"/>
      <c r="C73" s="46"/>
      <c r="D73" s="46"/>
      <c r="E73" s="46"/>
      <c r="F73" s="46"/>
      <c r="G73" s="46"/>
      <c r="H73" s="46"/>
      <c r="I73" s="46"/>
      <c r="J73" s="46"/>
      <c r="K73" s="46"/>
      <c r="L73" s="46"/>
      <c r="M73" s="46"/>
      <c r="N73" s="46"/>
      <c r="O73" s="46"/>
      <c r="P73" s="44"/>
      <c r="Q73" s="44"/>
      <c r="R73" s="44"/>
      <c r="S73" s="46"/>
      <c r="T73" s="46"/>
      <c r="U73" s="46"/>
      <c r="V73" s="46"/>
      <c r="W73" s="46"/>
      <c r="X73" s="46"/>
      <c r="Y73" s="47"/>
      <c r="Z73" s="53"/>
      <c r="AA73" s="53"/>
    </row>
    <row r="74" spans="1:27" s="54" customFormat="1" ht="10.5" customHeight="1">
      <c r="A74" s="46"/>
      <c r="B74" s="46"/>
      <c r="C74" s="46"/>
      <c r="D74" s="46"/>
      <c r="E74" s="46"/>
      <c r="F74" s="46"/>
      <c r="G74" s="46"/>
      <c r="H74" s="46"/>
      <c r="I74" s="46"/>
      <c r="J74" s="46"/>
      <c r="K74" s="46"/>
      <c r="L74" s="46"/>
      <c r="M74" s="46"/>
      <c r="N74" s="46"/>
      <c r="O74" s="46"/>
      <c r="P74" s="44"/>
      <c r="Q74" s="44"/>
      <c r="R74" s="44"/>
      <c r="S74" s="47"/>
      <c r="T74" s="46"/>
      <c r="U74" s="47"/>
      <c r="V74" s="46"/>
      <c r="W74" s="47"/>
      <c r="X74" s="46"/>
      <c r="Y74" s="47"/>
      <c r="Z74" s="53"/>
      <c r="AA74" s="53"/>
    </row>
    <row r="75" spans="1:27" s="54" customFormat="1" ht="10.5" customHeight="1">
      <c r="A75" s="46"/>
      <c r="B75" s="46"/>
      <c r="C75" s="46"/>
      <c r="D75" s="46"/>
      <c r="E75" s="46"/>
      <c r="F75" s="46"/>
      <c r="G75" s="46"/>
      <c r="H75" s="46"/>
      <c r="I75" s="46"/>
      <c r="J75" s="46"/>
      <c r="K75" s="46"/>
      <c r="L75" s="46"/>
      <c r="M75" s="46"/>
      <c r="N75" s="46"/>
      <c r="O75" s="46"/>
      <c r="P75" s="44"/>
      <c r="Q75" s="44"/>
      <c r="R75" s="44"/>
      <c r="S75" s="46"/>
      <c r="T75" s="46"/>
      <c r="U75" s="44"/>
      <c r="V75" s="45"/>
      <c r="W75" s="46"/>
      <c r="X75" s="46"/>
      <c r="Y75" s="47"/>
      <c r="Z75" s="53"/>
      <c r="AA75" s="53"/>
    </row>
    <row r="76" spans="1:27" s="54" customFormat="1" ht="10.5" customHeight="1">
      <c r="A76" s="46"/>
      <c r="B76" s="46"/>
      <c r="C76" s="46"/>
      <c r="D76" s="46"/>
      <c r="E76" s="46"/>
      <c r="F76" s="46"/>
      <c r="G76" s="46"/>
      <c r="H76" s="46"/>
      <c r="I76" s="46"/>
      <c r="J76" s="46"/>
      <c r="K76" s="46"/>
      <c r="L76" s="46"/>
      <c r="M76" s="46"/>
      <c r="N76" s="46"/>
      <c r="O76" s="46"/>
      <c r="P76" s="44"/>
      <c r="Q76" s="44"/>
      <c r="R76" s="44"/>
      <c r="S76" s="46"/>
      <c r="T76" s="55"/>
      <c r="U76" s="44"/>
      <c r="V76" s="45"/>
      <c r="W76" s="46"/>
      <c r="X76" s="46"/>
      <c r="Y76" s="47"/>
      <c r="Z76" s="53"/>
      <c r="AA76" s="53"/>
    </row>
    <row r="77" spans="1:27" s="54" customFormat="1" ht="10.5" customHeight="1">
      <c r="A77" s="46"/>
      <c r="B77" s="46"/>
      <c r="C77" s="46"/>
      <c r="D77" s="46"/>
      <c r="E77" s="46"/>
      <c r="F77" s="46"/>
      <c r="G77" s="46"/>
      <c r="H77" s="46"/>
      <c r="I77" s="46"/>
      <c r="J77" s="46"/>
      <c r="K77" s="46"/>
      <c r="L77" s="46"/>
      <c r="M77" s="46"/>
      <c r="N77" s="46"/>
      <c r="O77" s="46"/>
      <c r="P77" s="44"/>
      <c r="Q77" s="44"/>
      <c r="R77" s="44"/>
      <c r="S77" s="46"/>
      <c r="T77" s="46"/>
      <c r="U77" s="44"/>
      <c r="V77" s="45"/>
      <c r="W77" s="46"/>
      <c r="X77" s="46"/>
      <c r="Y77" s="47"/>
      <c r="Z77" s="53"/>
      <c r="AA77" s="53"/>
    </row>
    <row r="78" spans="1:27" s="54" customFormat="1" ht="10.5" customHeight="1">
      <c r="A78" s="44"/>
      <c r="B78" s="44"/>
      <c r="C78" s="44"/>
      <c r="D78" s="44"/>
      <c r="E78" s="44"/>
      <c r="F78" s="44"/>
      <c r="G78" s="44"/>
      <c r="H78" s="44"/>
      <c r="I78" s="44"/>
      <c r="J78" s="44"/>
      <c r="K78" s="44"/>
      <c r="L78" s="44"/>
      <c r="M78" s="44"/>
      <c r="N78" s="44"/>
      <c r="O78" s="44"/>
      <c r="P78" s="44"/>
      <c r="Q78" s="44"/>
      <c r="R78" s="44"/>
      <c r="S78" s="46"/>
      <c r="T78" s="44"/>
      <c r="U78" s="45"/>
      <c r="V78" s="46"/>
      <c r="W78" s="46"/>
      <c r="X78" s="47"/>
      <c r="Y78" s="47"/>
      <c r="Z78" s="53"/>
      <c r="AA78" s="53"/>
    </row>
    <row r="79" spans="1:27" s="54" customFormat="1" ht="10.5" customHeight="1">
      <c r="A79" s="44"/>
      <c r="B79" s="44"/>
      <c r="C79" s="44"/>
      <c r="D79" s="44"/>
      <c r="E79" s="44"/>
      <c r="F79" s="44"/>
      <c r="G79" s="44"/>
      <c r="H79" s="44"/>
      <c r="I79" s="44"/>
      <c r="J79" s="44"/>
      <c r="K79" s="44"/>
      <c r="L79" s="44"/>
      <c r="M79" s="44"/>
      <c r="N79" s="44"/>
      <c r="O79" s="44"/>
      <c r="P79" s="44"/>
      <c r="Q79" s="44"/>
      <c r="R79" s="44"/>
      <c r="S79" s="46"/>
      <c r="T79" s="44"/>
      <c r="U79" s="45"/>
      <c r="V79" s="46"/>
      <c r="W79" s="46"/>
      <c r="X79" s="47"/>
      <c r="Y79" s="47"/>
      <c r="Z79" s="53"/>
      <c r="AA79" s="53"/>
    </row>
    <row r="80" spans="1:27" s="54" customFormat="1" ht="10.5" customHeight="1">
      <c r="A80" s="44"/>
      <c r="B80" s="44"/>
      <c r="C80" s="44"/>
      <c r="D80" s="44"/>
      <c r="E80" s="44"/>
      <c r="F80" s="44"/>
      <c r="G80" s="44"/>
      <c r="H80" s="44"/>
      <c r="I80" s="44"/>
      <c r="J80" s="44"/>
      <c r="K80" s="44"/>
      <c r="L80" s="44"/>
      <c r="M80" s="44"/>
      <c r="N80" s="44"/>
      <c r="O80" s="44"/>
      <c r="P80" s="44"/>
      <c r="Q80" s="44"/>
      <c r="R80" s="44"/>
      <c r="S80" s="44"/>
      <c r="T80" s="44"/>
      <c r="U80" s="45"/>
      <c r="V80" s="46"/>
      <c r="W80" s="46"/>
      <c r="X80" s="47"/>
      <c r="Y80" s="47"/>
      <c r="Z80" s="53"/>
      <c r="AA80" s="53"/>
    </row>
    <row r="81" spans="1:27" s="54" customFormat="1" ht="10.5" customHeight="1">
      <c r="A81" s="46"/>
      <c r="B81" s="46"/>
      <c r="C81" s="46"/>
      <c r="D81" s="46"/>
      <c r="E81" s="46"/>
      <c r="F81" s="46"/>
      <c r="G81" s="46"/>
      <c r="H81" s="46"/>
      <c r="I81" s="46"/>
      <c r="J81" s="46"/>
      <c r="K81" s="46"/>
      <c r="L81" s="46"/>
      <c r="M81" s="46"/>
      <c r="N81" s="46"/>
      <c r="O81" s="46"/>
      <c r="P81" s="44"/>
      <c r="Q81" s="44"/>
      <c r="R81" s="44"/>
      <c r="S81" s="46"/>
      <c r="T81" s="46"/>
      <c r="U81" s="44"/>
      <c r="V81" s="45"/>
      <c r="W81" s="46"/>
      <c r="X81" s="46"/>
      <c r="Y81" s="47"/>
      <c r="Z81" s="53"/>
      <c r="AA81" s="53"/>
    </row>
    <row r="82" spans="1:27" s="54" customFormat="1" ht="10.5" customHeight="1">
      <c r="A82" s="46"/>
      <c r="B82" s="46"/>
      <c r="C82" s="46"/>
      <c r="D82" s="46"/>
      <c r="E82" s="46"/>
      <c r="F82" s="46"/>
      <c r="G82" s="46"/>
      <c r="H82" s="46"/>
      <c r="I82" s="46"/>
      <c r="J82" s="46"/>
      <c r="K82" s="46"/>
      <c r="L82" s="46"/>
      <c r="M82" s="46"/>
      <c r="N82" s="46"/>
      <c r="O82" s="46"/>
      <c r="P82" s="44"/>
      <c r="Q82" s="44"/>
      <c r="R82" s="44"/>
      <c r="S82" s="46"/>
      <c r="T82" s="46"/>
      <c r="U82" s="44"/>
      <c r="V82" s="45"/>
      <c r="W82" s="46"/>
      <c r="X82" s="46"/>
      <c r="Y82" s="47"/>
      <c r="Z82" s="53"/>
      <c r="AA82" s="53"/>
    </row>
    <row r="83" spans="1:27" s="54" customFormat="1" ht="10.5" customHeight="1">
      <c r="A83" s="46"/>
      <c r="B83" s="46"/>
      <c r="C83" s="46"/>
      <c r="D83" s="46"/>
      <c r="E83" s="46"/>
      <c r="F83" s="46"/>
      <c r="G83" s="46"/>
      <c r="H83" s="46"/>
      <c r="I83" s="46"/>
      <c r="J83" s="46"/>
      <c r="K83" s="46"/>
      <c r="L83" s="46"/>
      <c r="M83" s="46"/>
      <c r="N83" s="46"/>
      <c r="O83" s="46"/>
      <c r="P83" s="44"/>
      <c r="Q83" s="44"/>
      <c r="R83" s="44"/>
      <c r="S83" s="46"/>
      <c r="T83" s="46"/>
      <c r="U83" s="44"/>
      <c r="V83" s="45"/>
      <c r="W83" s="46"/>
      <c r="X83" s="46"/>
      <c r="Y83" s="47"/>
      <c r="Z83" s="53"/>
      <c r="AA83" s="53"/>
    </row>
    <row r="84" spans="1:27" s="46" customFormat="1" ht="10.5" customHeight="1">
      <c r="P84" s="44"/>
      <c r="Q84" s="44"/>
      <c r="R84" s="44"/>
      <c r="U84" s="44"/>
      <c r="V84" s="45"/>
      <c r="Y84" s="47"/>
      <c r="Z84" s="47"/>
      <c r="AA84" s="47"/>
    </row>
    <row r="85" spans="1:27" s="46" customFormat="1" ht="10.5" customHeight="1">
      <c r="P85" s="44"/>
      <c r="Q85" s="44"/>
      <c r="R85" s="44"/>
      <c r="U85" s="44"/>
      <c r="V85" s="45"/>
      <c r="Y85" s="47"/>
      <c r="Z85" s="47"/>
      <c r="AA85" s="47"/>
    </row>
    <row r="86" spans="1:27" s="46" customFormat="1" ht="10.5" customHeight="1">
      <c r="P86" s="44"/>
      <c r="Q86" s="44"/>
      <c r="R86" s="44"/>
      <c r="U86" s="44"/>
      <c r="V86" s="45"/>
      <c r="Y86" s="47"/>
      <c r="Z86" s="47"/>
      <c r="AA86" s="47"/>
    </row>
    <row r="87" spans="1:27" s="46" customFormat="1" ht="10.5" customHeight="1">
      <c r="P87" s="44"/>
      <c r="Q87" s="44"/>
      <c r="R87" s="44"/>
      <c r="U87" s="44"/>
      <c r="V87" s="45"/>
      <c r="Y87" s="47"/>
      <c r="Z87" s="47"/>
      <c r="AA87" s="47"/>
    </row>
    <row r="88" spans="1:27" s="46" customFormat="1" ht="10.5" customHeight="1">
      <c r="P88" s="44"/>
      <c r="Q88" s="44"/>
      <c r="R88" s="44"/>
      <c r="U88" s="44"/>
      <c r="V88" s="45"/>
      <c r="Y88" s="47"/>
      <c r="Z88" s="47"/>
      <c r="AA88" s="47"/>
    </row>
    <row r="89" spans="1:27" s="46" customFormat="1" ht="10.5" customHeight="1">
      <c r="P89" s="44"/>
      <c r="Q89" s="44"/>
      <c r="R89" s="44"/>
      <c r="U89" s="44"/>
      <c r="V89" s="45"/>
      <c r="Y89" s="47"/>
      <c r="Z89" s="47"/>
      <c r="AA89" s="47"/>
    </row>
    <row r="90" spans="1:27" s="46" customFormat="1" ht="10.5" customHeight="1">
      <c r="P90" s="44"/>
      <c r="Q90" s="44"/>
      <c r="R90" s="44"/>
      <c r="U90" s="44"/>
      <c r="V90" s="45"/>
      <c r="Y90" s="47"/>
      <c r="Z90" s="47"/>
      <c r="AA90" s="47"/>
    </row>
    <row r="91" spans="1:27" s="46" customFormat="1" ht="10.5" customHeight="1">
      <c r="P91" s="44"/>
      <c r="Q91" s="44"/>
      <c r="R91" s="44"/>
      <c r="U91" s="44"/>
      <c r="V91" s="45"/>
      <c r="Y91" s="47"/>
      <c r="Z91" s="47"/>
      <c r="AA91" s="47"/>
    </row>
    <row r="92" spans="1:27" s="46" customFormat="1" ht="10.5" customHeight="1">
      <c r="P92" s="44"/>
      <c r="Q92" s="44"/>
      <c r="R92" s="44"/>
      <c r="U92" s="44"/>
      <c r="V92" s="45"/>
      <c r="Y92" s="47"/>
      <c r="Z92" s="47"/>
      <c r="AA92" s="47"/>
    </row>
    <row r="93" spans="1:27" s="46" customFormat="1" ht="10.5" customHeight="1">
      <c r="P93" s="44"/>
      <c r="Q93" s="44"/>
      <c r="R93" s="44"/>
      <c r="U93" s="44"/>
      <c r="V93" s="45"/>
      <c r="Y93" s="47"/>
      <c r="Z93" s="47"/>
      <c r="AA93" s="47"/>
    </row>
    <row r="94" spans="1:27" s="46" customFormat="1" ht="10.5" customHeight="1">
      <c r="P94" s="44"/>
      <c r="Q94" s="44"/>
      <c r="R94" s="44"/>
      <c r="U94" s="44"/>
      <c r="V94" s="45"/>
      <c r="Y94" s="47"/>
      <c r="Z94" s="47"/>
      <c r="AA94" s="47"/>
    </row>
    <row r="95" spans="1:27" s="46" customFormat="1" ht="10.5" customHeight="1">
      <c r="P95" s="44"/>
      <c r="Q95" s="44"/>
      <c r="R95" s="44"/>
      <c r="U95" s="44"/>
      <c r="V95" s="45"/>
      <c r="Y95" s="47"/>
      <c r="Z95" s="47"/>
      <c r="AA95" s="47"/>
    </row>
    <row r="96" spans="1:27" s="46" customFormat="1" ht="10.5" customHeight="1">
      <c r="P96" s="44"/>
      <c r="Q96" s="44"/>
      <c r="R96" s="44"/>
      <c r="U96" s="44"/>
      <c r="V96" s="45"/>
      <c r="Y96" s="47"/>
      <c r="Z96" s="47"/>
      <c r="AA96" s="47"/>
    </row>
    <row r="97" spans="16:27" s="46" customFormat="1" ht="10.5" customHeight="1">
      <c r="P97" s="44"/>
      <c r="Q97" s="44"/>
      <c r="R97" s="44"/>
      <c r="U97" s="44"/>
      <c r="V97" s="45"/>
      <c r="Y97" s="47"/>
      <c r="Z97" s="47"/>
      <c r="AA97" s="47"/>
    </row>
    <row r="98" spans="16:27" s="46" customFormat="1" ht="10.5" customHeight="1">
      <c r="P98" s="44"/>
      <c r="Q98" s="44"/>
      <c r="R98" s="44"/>
      <c r="U98" s="44"/>
      <c r="V98" s="45"/>
      <c r="Y98" s="47"/>
      <c r="Z98" s="47"/>
      <c r="AA98" s="47"/>
    </row>
    <row r="99" spans="16:27" s="46" customFormat="1" ht="10.5" customHeight="1">
      <c r="P99" s="44"/>
      <c r="Q99" s="44"/>
      <c r="R99" s="44"/>
      <c r="U99" s="44"/>
      <c r="V99" s="45"/>
      <c r="Y99" s="47"/>
      <c r="Z99" s="47"/>
      <c r="AA99" s="47"/>
    </row>
    <row r="100" spans="16:27" s="46" customFormat="1" ht="10.5" customHeight="1">
      <c r="P100" s="44"/>
      <c r="Q100" s="44"/>
      <c r="R100" s="44"/>
      <c r="U100" s="44"/>
      <c r="V100" s="45"/>
      <c r="Y100" s="47"/>
      <c r="Z100" s="47"/>
      <c r="AA100" s="47"/>
    </row>
    <row r="101" spans="16:27" s="46" customFormat="1" ht="10.5" customHeight="1">
      <c r="P101" s="44"/>
      <c r="Q101" s="44"/>
      <c r="R101" s="44"/>
      <c r="U101" s="44"/>
      <c r="V101" s="45"/>
      <c r="Y101" s="47"/>
      <c r="Z101" s="47"/>
      <c r="AA101" s="47"/>
    </row>
    <row r="102" spans="16:27" s="46" customFormat="1" ht="10.5" customHeight="1">
      <c r="P102" s="44"/>
      <c r="Q102" s="44"/>
      <c r="R102" s="44"/>
      <c r="U102" s="44"/>
      <c r="V102" s="45"/>
      <c r="Y102" s="47"/>
      <c r="Z102" s="47"/>
      <c r="AA102" s="47"/>
    </row>
    <row r="103" spans="16:27" s="46" customFormat="1" ht="10.5" customHeight="1">
      <c r="P103" s="44"/>
      <c r="Q103" s="44"/>
      <c r="R103" s="44"/>
      <c r="U103" s="44"/>
      <c r="V103" s="45"/>
      <c r="Y103" s="47"/>
      <c r="Z103" s="47"/>
      <c r="AA103" s="47"/>
    </row>
    <row r="104" spans="16:27" s="46" customFormat="1" ht="10.5" customHeight="1">
      <c r="P104" s="44"/>
      <c r="Q104" s="44"/>
      <c r="R104" s="44"/>
      <c r="U104" s="44"/>
      <c r="V104" s="45"/>
      <c r="Y104" s="47"/>
      <c r="Z104" s="47"/>
      <c r="AA104" s="47"/>
    </row>
    <row r="105" spans="16:27" s="46" customFormat="1" ht="10.5" customHeight="1">
      <c r="P105" s="44"/>
      <c r="Q105" s="44"/>
      <c r="R105" s="44"/>
      <c r="U105" s="44"/>
      <c r="V105" s="45"/>
      <c r="Y105" s="47"/>
      <c r="Z105" s="47"/>
      <c r="AA105" s="47"/>
    </row>
    <row r="106" spans="16:27" s="46" customFormat="1" ht="10.5" customHeight="1">
      <c r="P106" s="44"/>
      <c r="Q106" s="44"/>
      <c r="R106" s="44"/>
      <c r="U106" s="44"/>
      <c r="V106" s="45"/>
      <c r="Y106" s="47"/>
      <c r="Z106" s="47"/>
      <c r="AA106" s="47"/>
    </row>
    <row r="107" spans="16:27" s="46" customFormat="1" ht="10.5" customHeight="1">
      <c r="P107" s="44"/>
      <c r="Q107" s="44"/>
      <c r="R107" s="44"/>
      <c r="U107" s="44"/>
      <c r="V107" s="45"/>
      <c r="Y107" s="47"/>
      <c r="Z107" s="47"/>
      <c r="AA107" s="47"/>
    </row>
    <row r="108" spans="16:27" s="46" customFormat="1" ht="10.5" customHeight="1">
      <c r="P108" s="44"/>
      <c r="Q108" s="44"/>
      <c r="R108" s="44"/>
      <c r="U108" s="44"/>
      <c r="V108" s="45"/>
      <c r="Y108" s="47"/>
      <c r="Z108" s="47"/>
      <c r="AA108" s="47"/>
    </row>
    <row r="109" spans="16:27" s="46" customFormat="1" ht="10.5" customHeight="1">
      <c r="P109" s="44"/>
      <c r="Q109" s="44"/>
      <c r="R109" s="44"/>
      <c r="U109" s="44"/>
      <c r="V109" s="45"/>
      <c r="Y109" s="47"/>
      <c r="Z109" s="47"/>
      <c r="AA109" s="47"/>
    </row>
    <row r="110" spans="16:27" s="46" customFormat="1" ht="10.5" customHeight="1">
      <c r="P110" s="44"/>
      <c r="Q110" s="44"/>
      <c r="R110" s="44"/>
      <c r="U110" s="44"/>
      <c r="V110" s="45"/>
      <c r="Y110" s="47"/>
      <c r="Z110" s="47"/>
      <c r="AA110" s="47"/>
    </row>
    <row r="111" spans="16:27" s="46" customFormat="1" ht="10.5" customHeight="1">
      <c r="P111" s="44"/>
      <c r="Q111" s="44"/>
      <c r="R111" s="44"/>
      <c r="U111" s="44"/>
      <c r="V111" s="45"/>
      <c r="Y111" s="47"/>
      <c r="Z111" s="47"/>
      <c r="AA111" s="47"/>
    </row>
    <row r="112" spans="16:27" s="46" customFormat="1" ht="10.5" customHeight="1">
      <c r="P112" s="44"/>
      <c r="Q112" s="44"/>
      <c r="R112" s="44"/>
      <c r="U112" s="44"/>
      <c r="V112" s="45"/>
      <c r="Y112" s="47"/>
      <c r="Z112" s="47"/>
      <c r="AA112" s="47"/>
    </row>
    <row r="113" spans="15:27" s="46" customFormat="1" ht="10.5" customHeight="1">
      <c r="P113" s="44"/>
      <c r="Q113" s="44"/>
      <c r="R113" s="44"/>
      <c r="U113" s="44"/>
      <c r="V113" s="45"/>
      <c r="Y113" s="47"/>
      <c r="Z113" s="47"/>
      <c r="AA113" s="47"/>
    </row>
    <row r="114" spans="15:27" s="46" customFormat="1" ht="10.5" customHeight="1">
      <c r="P114" s="44"/>
      <c r="Q114" s="44"/>
      <c r="R114" s="44"/>
      <c r="U114" s="44"/>
      <c r="V114" s="45"/>
      <c r="Y114" s="47"/>
      <c r="Z114" s="47"/>
      <c r="AA114" s="47"/>
    </row>
    <row r="115" spans="15:27" s="46" customFormat="1" ht="10.5" customHeight="1">
      <c r="P115" s="44"/>
      <c r="Q115" s="44"/>
      <c r="R115" s="44"/>
      <c r="U115" s="44"/>
      <c r="V115" s="45"/>
      <c r="Y115" s="47"/>
      <c r="Z115" s="47"/>
      <c r="AA115" s="47"/>
    </row>
    <row r="116" spans="15:27" s="46" customFormat="1" ht="10.5" customHeight="1">
      <c r="P116" s="44"/>
      <c r="Q116" s="44"/>
      <c r="R116" s="44"/>
      <c r="U116" s="44"/>
      <c r="V116" s="45"/>
      <c r="Y116" s="47"/>
      <c r="Z116" s="47"/>
      <c r="AA116" s="47"/>
    </row>
    <row r="117" spans="15:27" s="46" customFormat="1" ht="10.5" customHeight="1">
      <c r="P117" s="44"/>
      <c r="Q117" s="44"/>
      <c r="R117" s="44"/>
      <c r="U117" s="44"/>
      <c r="V117" s="45"/>
      <c r="Y117" s="47"/>
      <c r="Z117" s="47"/>
      <c r="AA117" s="47"/>
    </row>
    <row r="118" spans="15:27" s="46" customFormat="1" ht="10.5" customHeight="1">
      <c r="P118" s="44"/>
      <c r="Q118" s="44"/>
      <c r="R118" s="44"/>
      <c r="U118" s="44"/>
      <c r="V118" s="45"/>
      <c r="Y118" s="47"/>
      <c r="Z118" s="47"/>
      <c r="AA118" s="47"/>
    </row>
    <row r="119" spans="15:27" s="46" customFormat="1" ht="10.5" customHeight="1">
      <c r="P119" s="44"/>
      <c r="Q119" s="44"/>
      <c r="R119" s="44"/>
      <c r="U119" s="44"/>
      <c r="V119" s="45"/>
      <c r="Y119" s="47"/>
      <c r="Z119" s="47"/>
      <c r="AA119" s="47"/>
    </row>
    <row r="120" spans="15:27" s="46" customFormat="1" ht="10.5" customHeight="1">
      <c r="P120" s="44"/>
      <c r="Q120" s="44"/>
      <c r="R120" s="44"/>
      <c r="U120" s="44"/>
      <c r="V120" s="45"/>
      <c r="Y120" s="47"/>
      <c r="Z120" s="47"/>
      <c r="AA120" s="47"/>
    </row>
    <row r="121" spans="15:27" s="46" customFormat="1" ht="10.5" customHeight="1">
      <c r="P121" s="44"/>
      <c r="Q121" s="44"/>
      <c r="R121" s="44"/>
      <c r="U121" s="44"/>
      <c r="V121" s="45"/>
      <c r="Y121" s="47"/>
      <c r="Z121" s="47"/>
      <c r="AA121" s="47"/>
    </row>
    <row r="122" spans="15:27" s="46" customFormat="1" ht="12" customHeight="1">
      <c r="P122" s="773" t="s">
        <v>6783</v>
      </c>
      <c r="Q122" s="773"/>
      <c r="R122" s="773"/>
      <c r="S122" s="773"/>
      <c r="T122" s="773"/>
      <c r="U122" s="773"/>
      <c r="V122" s="773"/>
      <c r="W122" s="773"/>
      <c r="Y122" s="47"/>
      <c r="Z122" s="47"/>
      <c r="AA122" s="47"/>
    </row>
    <row r="123" spans="15:27" s="46" customFormat="1" ht="10.5" customHeight="1">
      <c r="P123" s="44"/>
      <c r="Q123" s="44"/>
      <c r="R123" s="44"/>
      <c r="S123" s="52"/>
      <c r="U123" s="44"/>
      <c r="V123" s="45"/>
      <c r="Y123" s="47"/>
      <c r="Z123" s="47"/>
      <c r="AA123" s="47"/>
    </row>
    <row r="124" spans="15:27" s="46" customFormat="1" ht="10.5" customHeight="1">
      <c r="P124" s="44"/>
      <c r="Q124" s="44"/>
      <c r="R124" s="44"/>
      <c r="S124" s="50"/>
      <c r="U124" s="44"/>
      <c r="V124" s="45"/>
      <c r="Y124" s="47"/>
      <c r="Z124" s="47"/>
      <c r="AA124" s="47"/>
    </row>
    <row r="125" spans="15:27" s="46" customFormat="1" ht="12" customHeight="1">
      <c r="O125" s="770" t="e">
        <f>VLOOKUP(oddzial,GA!$L$26:$Q$31,2)</f>
        <v>#REF!</v>
      </c>
      <c r="P125" s="770"/>
      <c r="Q125" s="770"/>
      <c r="R125" s="770"/>
      <c r="S125" s="770"/>
      <c r="T125" s="770"/>
      <c r="U125" s="770"/>
      <c r="V125" s="770"/>
      <c r="W125" s="770"/>
      <c r="Y125" s="47"/>
      <c r="Z125" s="47"/>
      <c r="AA125" s="47"/>
    </row>
    <row r="126" spans="15:27" s="46" customFormat="1" ht="12" customHeight="1">
      <c r="O126" s="770" t="e">
        <f>VLOOKUP(oddzial,GA!$L$26:$Q$31,3)</f>
        <v>#REF!</v>
      </c>
      <c r="P126" s="770"/>
      <c r="Q126" s="770"/>
      <c r="R126" s="770"/>
      <c r="S126" s="770"/>
      <c r="T126" s="770"/>
      <c r="U126" s="770"/>
      <c r="V126" s="770"/>
      <c r="W126" s="770"/>
      <c r="Y126" s="47"/>
      <c r="Z126" s="47"/>
      <c r="AA126" s="47"/>
    </row>
    <row r="127" spans="15:27" s="46" customFormat="1" ht="12" customHeight="1">
      <c r="P127" s="44"/>
      <c r="Q127" s="770" t="e">
        <f>VLOOKUP(oddzial,GA!$L$26:$Q$31,4)</f>
        <v>#REF!</v>
      </c>
      <c r="R127" s="770"/>
      <c r="S127" s="770"/>
      <c r="T127" s="770"/>
      <c r="U127" s="770"/>
      <c r="V127" s="770"/>
      <c r="W127" s="770"/>
      <c r="Y127" s="47"/>
      <c r="Z127" s="47"/>
      <c r="AA127" s="47"/>
    </row>
    <row r="128" spans="15:27" s="46" customFormat="1" ht="12" customHeight="1">
      <c r="P128" s="44"/>
      <c r="Q128" s="770" t="e">
        <f>VLOOKUP(oddzial,GA!$L$26:$Q$31,5)</f>
        <v>#REF!</v>
      </c>
      <c r="R128" s="770"/>
      <c r="S128" s="770"/>
      <c r="T128" s="770"/>
      <c r="U128" s="770"/>
      <c r="V128" s="770"/>
      <c r="W128" s="770"/>
      <c r="Y128" s="47"/>
      <c r="Z128" s="47"/>
      <c r="AA128" s="47"/>
    </row>
    <row r="129" spans="2:27" s="54" customFormat="1" ht="12" customHeight="1">
      <c r="P129" s="60"/>
      <c r="Q129" s="771" t="s">
        <v>6784</v>
      </c>
      <c r="R129" s="771"/>
      <c r="S129" s="771"/>
      <c r="T129" s="771"/>
      <c r="U129" s="771"/>
      <c r="V129" s="771"/>
      <c r="W129" s="771"/>
      <c r="Y129" s="53"/>
      <c r="Z129" s="53"/>
      <c r="AA129" s="53"/>
    </row>
    <row r="130" spans="2:27" s="46" customFormat="1" ht="10.5" customHeight="1">
      <c r="P130" s="44"/>
      <c r="Q130" s="44"/>
      <c r="R130" s="44"/>
      <c r="S130" s="44"/>
      <c r="U130" s="44"/>
      <c r="V130" s="45"/>
      <c r="Y130" s="47"/>
      <c r="Z130" s="47">
        <v>1</v>
      </c>
      <c r="AA130" s="47"/>
    </row>
    <row r="131" spans="2:27" s="46" customFormat="1" ht="10.5" customHeight="1">
      <c r="P131" s="44"/>
      <c r="Q131" s="44"/>
      <c r="R131" s="44"/>
      <c r="S131" s="52"/>
      <c r="U131" s="44"/>
      <c r="V131" s="45"/>
      <c r="Y131" s="47"/>
      <c r="Z131" s="47">
        <v>2</v>
      </c>
      <c r="AA131" s="47"/>
    </row>
    <row r="132" spans="2:27" s="46" customFormat="1" ht="10.5" customHeight="1">
      <c r="P132" s="44"/>
      <c r="Q132" s="44"/>
      <c r="R132" s="44"/>
      <c r="U132" s="44"/>
      <c r="V132" s="45"/>
      <c r="Y132" s="47"/>
      <c r="Z132" s="47">
        <v>3</v>
      </c>
      <c r="AA132" s="47"/>
    </row>
    <row r="133" spans="2:27" s="46" customFormat="1" ht="10.5" customHeight="1">
      <c r="P133" s="44"/>
      <c r="Q133" s="44"/>
      <c r="R133" s="44"/>
      <c r="U133" s="44"/>
      <c r="V133" s="45"/>
      <c r="Y133" s="47"/>
      <c r="Z133" s="47">
        <v>4</v>
      </c>
      <c r="AA133" s="47"/>
    </row>
    <row r="134" spans="2:27" s="46" customFormat="1" ht="10.5" customHeight="1">
      <c r="P134" s="44"/>
      <c r="Q134" s="44"/>
      <c r="R134" s="44"/>
      <c r="U134" s="44"/>
      <c r="V134" s="45"/>
      <c r="Y134" s="47"/>
      <c r="Z134" s="47">
        <v>5</v>
      </c>
      <c r="AA134" s="47"/>
    </row>
    <row r="135" spans="2:27" s="46" customFormat="1" ht="10.5" customHeight="1">
      <c r="P135" s="44"/>
      <c r="Q135" s="44"/>
      <c r="R135" s="44"/>
      <c r="U135" s="44"/>
      <c r="V135" s="45"/>
      <c r="Y135" s="47"/>
      <c r="Z135" s="47">
        <v>6</v>
      </c>
      <c r="AA135" s="47"/>
    </row>
    <row r="136" spans="2:27" s="46" customFormat="1" ht="10.5" customHeight="1">
      <c r="P136" s="44"/>
      <c r="Q136" s="44"/>
      <c r="R136" s="44"/>
      <c r="U136" s="44"/>
      <c r="V136" s="45"/>
      <c r="Y136" s="47"/>
      <c r="Z136" s="47">
        <v>7</v>
      </c>
      <c r="AA136" s="47"/>
    </row>
    <row r="137" spans="2:27" s="46" customFormat="1" ht="3.75" customHeight="1">
      <c r="P137" s="44"/>
      <c r="Q137" s="44"/>
      <c r="R137" s="44"/>
      <c r="U137" s="44"/>
      <c r="V137" s="45"/>
      <c r="Y137" s="47"/>
      <c r="Z137" s="47">
        <v>8</v>
      </c>
      <c r="AA137" s="47"/>
    </row>
    <row r="138" spans="2:27" s="46" customFormat="1" ht="10.5" customHeight="1">
      <c r="P138" s="44"/>
      <c r="Q138" s="44"/>
      <c r="R138" s="44"/>
      <c r="U138" s="44"/>
      <c r="V138" s="45"/>
      <c r="Y138" s="47"/>
      <c r="Z138" s="47">
        <v>9</v>
      </c>
      <c r="AA138" s="47"/>
    </row>
    <row r="139" spans="2:27" s="46" customFormat="1" ht="10.5" customHeight="1">
      <c r="B139" s="772"/>
      <c r="C139" s="772"/>
      <c r="D139" s="772"/>
      <c r="E139" s="772"/>
      <c r="F139" s="772"/>
      <c r="G139" s="772"/>
      <c r="H139" s="772"/>
      <c r="I139" s="772"/>
      <c r="J139" s="772"/>
      <c r="K139" s="772"/>
      <c r="L139" s="772"/>
      <c r="M139" s="772"/>
      <c r="N139" s="772"/>
      <c r="O139" s="772"/>
      <c r="P139" s="772"/>
      <c r="Q139" s="772"/>
      <c r="R139" s="772"/>
      <c r="S139" s="772"/>
      <c r="T139" s="772"/>
      <c r="U139" s="772"/>
      <c r="V139" s="772"/>
      <c r="W139" s="772"/>
      <c r="Z139" s="47"/>
      <c r="AA139" s="47"/>
    </row>
    <row r="140" spans="2:27" s="46" customFormat="1" ht="10.5" customHeight="1">
      <c r="B140" s="772"/>
      <c r="C140" s="772"/>
      <c r="D140" s="772"/>
      <c r="E140" s="772"/>
      <c r="F140" s="772"/>
      <c r="G140" s="772"/>
      <c r="H140" s="772"/>
      <c r="I140" s="772"/>
      <c r="J140" s="772"/>
      <c r="K140" s="772"/>
      <c r="L140" s="772"/>
      <c r="M140" s="772"/>
      <c r="N140" s="772"/>
      <c r="O140" s="772"/>
      <c r="P140" s="772"/>
      <c r="Q140" s="772"/>
      <c r="R140" s="772"/>
      <c r="S140" s="772"/>
      <c r="T140" s="772"/>
      <c r="U140" s="772"/>
      <c r="V140" s="772"/>
      <c r="W140" s="772"/>
      <c r="Z140" s="47"/>
      <c r="AA140" s="47"/>
    </row>
    <row r="141" spans="2:27" s="46" customFormat="1" ht="10.5" customHeight="1">
      <c r="P141" s="44"/>
      <c r="Q141" s="44"/>
      <c r="R141" s="44"/>
      <c r="U141" s="44"/>
      <c r="V141" s="45"/>
      <c r="Y141" s="47"/>
      <c r="Z141" s="47"/>
      <c r="AA141" s="47"/>
    </row>
    <row r="142" spans="2:27" s="46" customFormat="1" ht="10.5" customHeight="1">
      <c r="P142" s="44"/>
      <c r="Q142" s="44"/>
      <c r="R142" s="44"/>
      <c r="U142" s="44"/>
      <c r="V142" s="45"/>
      <c r="Y142" s="47"/>
      <c r="Z142" s="47"/>
      <c r="AA142" s="47"/>
    </row>
    <row r="143" spans="2:27" s="46" customFormat="1" ht="10.5" customHeight="1">
      <c r="P143" s="44"/>
      <c r="Q143" s="44"/>
      <c r="R143" s="44"/>
      <c r="U143" s="44"/>
      <c r="V143" s="45"/>
      <c r="Y143" s="47"/>
      <c r="Z143" s="47"/>
      <c r="AA143" s="47"/>
    </row>
    <row r="144" spans="2:27" s="46" customFormat="1" ht="10.5" customHeight="1">
      <c r="P144" s="44"/>
      <c r="Q144" s="44"/>
      <c r="R144" s="44"/>
      <c r="U144" s="44"/>
      <c r="V144" s="45"/>
      <c r="Y144" s="47"/>
      <c r="Z144" s="47"/>
      <c r="AA144" s="47"/>
    </row>
    <row r="145" spans="16:27" s="46" customFormat="1" ht="10.5" customHeight="1">
      <c r="P145" s="44"/>
      <c r="Q145" s="44"/>
      <c r="R145" s="44"/>
      <c r="U145" s="44"/>
      <c r="V145" s="45"/>
      <c r="Y145" s="47"/>
      <c r="Z145" s="47"/>
      <c r="AA145" s="47"/>
    </row>
    <row r="146" spans="16:27" s="46" customFormat="1" ht="10.5" customHeight="1">
      <c r="P146" s="44"/>
      <c r="Q146" s="44"/>
      <c r="R146" s="44"/>
      <c r="U146" s="44"/>
      <c r="V146" s="45"/>
      <c r="Y146" s="47"/>
      <c r="Z146" s="47"/>
      <c r="AA146" s="47"/>
    </row>
    <row r="147" spans="16:27" s="46" customFormat="1" ht="10.5" customHeight="1">
      <c r="P147" s="44"/>
      <c r="Q147" s="44"/>
      <c r="R147" s="44"/>
      <c r="U147" s="44"/>
      <c r="V147" s="45"/>
      <c r="Y147" s="47"/>
      <c r="Z147" s="47"/>
      <c r="AA147" s="47"/>
    </row>
    <row r="148" spans="16:27" s="46" customFormat="1" ht="10.5" customHeight="1">
      <c r="P148" s="44"/>
      <c r="Q148" s="44"/>
      <c r="R148" s="44"/>
      <c r="U148" s="44"/>
      <c r="V148" s="45"/>
      <c r="Y148" s="47"/>
      <c r="Z148" s="47"/>
      <c r="AA148" s="47"/>
    </row>
    <row r="149" spans="16:27" s="46" customFormat="1" ht="10.5" customHeight="1">
      <c r="P149" s="44"/>
      <c r="Q149" s="44"/>
      <c r="R149" s="44"/>
      <c r="U149" s="44"/>
      <c r="V149" s="45"/>
      <c r="Y149" s="47"/>
      <c r="Z149" s="47"/>
      <c r="AA149" s="47"/>
    </row>
    <row r="150" spans="16:27" s="46" customFormat="1" ht="10.5" customHeight="1">
      <c r="P150" s="44"/>
      <c r="Q150" s="44"/>
      <c r="R150" s="44"/>
      <c r="U150" s="44"/>
      <c r="V150" s="45"/>
      <c r="Y150" s="47"/>
      <c r="Z150" s="47"/>
      <c r="AA150" s="47"/>
    </row>
    <row r="151" spans="16:27" s="46" customFormat="1" ht="10.5" customHeight="1">
      <c r="P151" s="44"/>
      <c r="Q151" s="44"/>
      <c r="R151" s="44"/>
      <c r="U151" s="44"/>
      <c r="V151" s="45"/>
      <c r="Y151" s="47"/>
      <c r="Z151" s="47"/>
      <c r="AA151" s="47"/>
    </row>
    <row r="152" spans="16:27" s="46" customFormat="1" ht="10.5" customHeight="1">
      <c r="P152" s="44"/>
      <c r="Q152" s="44"/>
      <c r="R152" s="44"/>
      <c r="U152" s="44"/>
      <c r="V152" s="45"/>
      <c r="Y152" s="47"/>
      <c r="Z152" s="47"/>
      <c r="AA152" s="47"/>
    </row>
    <row r="153" spans="16:27" s="46" customFormat="1" ht="10.5" customHeight="1">
      <c r="P153" s="44"/>
      <c r="Q153" s="44"/>
      <c r="R153" s="44"/>
      <c r="U153" s="44"/>
      <c r="V153" s="45"/>
      <c r="Y153" s="47"/>
      <c r="Z153" s="47"/>
      <c r="AA153" s="47"/>
    </row>
    <row r="154" spans="16:27" s="46" customFormat="1" ht="10.5" customHeight="1">
      <c r="P154" s="44"/>
      <c r="Q154" s="44"/>
      <c r="R154" s="44"/>
      <c r="U154" s="44"/>
      <c r="V154" s="45"/>
      <c r="Y154" s="47"/>
      <c r="Z154" s="47"/>
      <c r="AA154" s="47"/>
    </row>
    <row r="155" spans="16:27" s="46" customFormat="1" ht="10.5" customHeight="1">
      <c r="P155" s="44"/>
      <c r="Q155" s="44"/>
      <c r="R155" s="44"/>
      <c r="U155" s="44"/>
      <c r="V155" s="45"/>
      <c r="Y155" s="47"/>
      <c r="Z155" s="47"/>
      <c r="AA155" s="47"/>
    </row>
    <row r="156" spans="16:27" s="46" customFormat="1" ht="10.5" customHeight="1">
      <c r="P156" s="44"/>
      <c r="Q156" s="44"/>
      <c r="R156" s="44"/>
      <c r="U156" s="44"/>
      <c r="V156" s="45"/>
      <c r="Y156" s="47"/>
      <c r="Z156" s="47"/>
      <c r="AA156" s="47"/>
    </row>
    <row r="157" spans="16:27" s="46" customFormat="1" ht="10.5" customHeight="1">
      <c r="P157" s="44"/>
      <c r="Q157" s="44"/>
      <c r="R157" s="44"/>
      <c r="U157" s="44"/>
      <c r="V157" s="45"/>
      <c r="Y157" s="47"/>
      <c r="Z157" s="47"/>
      <c r="AA157" s="47"/>
    </row>
    <row r="158" spans="16:27" s="46" customFormat="1" ht="10.5" customHeight="1">
      <c r="P158" s="44"/>
      <c r="Q158" s="44"/>
      <c r="R158" s="44"/>
      <c r="U158" s="44"/>
      <c r="V158" s="45"/>
      <c r="Y158" s="47"/>
      <c r="Z158" s="47"/>
      <c r="AA158" s="47"/>
    </row>
    <row r="159" spans="16:27" s="46" customFormat="1" ht="10.5" customHeight="1">
      <c r="P159" s="44"/>
      <c r="Q159" s="44"/>
      <c r="R159" s="44"/>
      <c r="U159" s="44"/>
      <c r="V159" s="45"/>
      <c r="Y159" s="47"/>
      <c r="Z159" s="47"/>
      <c r="AA159" s="47"/>
    </row>
    <row r="160" spans="16:27" s="46" customFormat="1" ht="10.5" customHeight="1">
      <c r="P160" s="44"/>
      <c r="Q160" s="44"/>
      <c r="R160" s="44"/>
      <c r="U160" s="44"/>
      <c r="V160" s="45"/>
      <c r="Y160" s="47"/>
      <c r="Z160" s="47"/>
      <c r="AA160" s="47"/>
    </row>
    <row r="161" spans="16:27" s="46" customFormat="1" ht="10.5" customHeight="1">
      <c r="P161" s="44"/>
      <c r="Q161" s="44"/>
      <c r="R161" s="44"/>
      <c r="U161" s="44"/>
      <c r="V161" s="45"/>
      <c r="Y161" s="47"/>
      <c r="Z161" s="47"/>
      <c r="AA161" s="47"/>
    </row>
    <row r="162" spans="16:27" s="46" customFormat="1" ht="10.5" customHeight="1">
      <c r="P162" s="44"/>
      <c r="Q162" s="44"/>
      <c r="R162" s="44"/>
      <c r="U162" s="44"/>
      <c r="V162" s="45"/>
      <c r="Y162" s="47"/>
      <c r="Z162" s="47"/>
      <c r="AA162" s="47"/>
    </row>
    <row r="163" spans="16:27" s="46" customFormat="1" ht="10.5" customHeight="1">
      <c r="P163" s="44"/>
      <c r="Q163" s="44"/>
      <c r="R163" s="44"/>
      <c r="U163" s="44"/>
      <c r="V163" s="45"/>
      <c r="Y163" s="47"/>
      <c r="Z163" s="47"/>
      <c r="AA163" s="47"/>
    </row>
    <row r="164" spans="16:27" s="46" customFormat="1" ht="10.5" customHeight="1">
      <c r="P164" s="44"/>
      <c r="Q164" s="44"/>
      <c r="R164" s="44"/>
      <c r="U164" s="44"/>
      <c r="V164" s="45"/>
      <c r="Y164" s="47"/>
      <c r="Z164" s="47"/>
      <c r="AA164" s="47"/>
    </row>
    <row r="165" spans="16:27" s="46" customFormat="1" ht="10.5" customHeight="1">
      <c r="P165" s="44"/>
      <c r="Q165" s="44"/>
      <c r="R165" s="44"/>
      <c r="U165" s="44"/>
      <c r="V165" s="45"/>
      <c r="Y165" s="47"/>
      <c r="Z165" s="47"/>
      <c r="AA165" s="47"/>
    </row>
    <row r="166" spans="16:27" s="46" customFormat="1" ht="10.5" customHeight="1">
      <c r="P166" s="44"/>
      <c r="Q166" s="44"/>
      <c r="R166" s="44"/>
      <c r="U166" s="44"/>
      <c r="V166" s="45"/>
      <c r="Y166" s="47"/>
      <c r="Z166" s="47"/>
      <c r="AA166" s="47"/>
    </row>
    <row r="167" spans="16:27" s="46" customFormat="1" ht="10.5" customHeight="1">
      <c r="P167" s="44"/>
      <c r="Q167" s="44"/>
      <c r="R167" s="44"/>
      <c r="U167" s="44"/>
      <c r="V167" s="45"/>
      <c r="Y167" s="47"/>
      <c r="Z167" s="47"/>
      <c r="AA167" s="47"/>
    </row>
    <row r="168" spans="16:27" s="46" customFormat="1" ht="10.5" customHeight="1">
      <c r="P168" s="44"/>
      <c r="Q168" s="44"/>
      <c r="R168" s="44"/>
      <c r="U168" s="44"/>
      <c r="V168" s="45"/>
      <c r="Y168" s="47"/>
      <c r="Z168" s="47"/>
      <c r="AA168" s="47"/>
    </row>
    <row r="169" spans="16:27" s="46" customFormat="1" ht="10.5" customHeight="1">
      <c r="P169" s="44"/>
      <c r="Q169" s="44"/>
      <c r="R169" s="44"/>
      <c r="U169" s="44"/>
      <c r="V169" s="45"/>
      <c r="Y169" s="47"/>
      <c r="Z169" s="47"/>
      <c r="AA169" s="47"/>
    </row>
    <row r="170" spans="16:27" s="46" customFormat="1" ht="10.5" customHeight="1">
      <c r="P170" s="44"/>
      <c r="Q170" s="44"/>
      <c r="R170" s="44"/>
      <c r="U170" s="44"/>
      <c r="V170" s="45"/>
      <c r="Y170" s="47"/>
      <c r="Z170" s="47"/>
      <c r="AA170" s="47"/>
    </row>
    <row r="171" spans="16:27" s="46" customFormat="1" ht="10.5" customHeight="1">
      <c r="P171" s="44"/>
      <c r="Q171" s="44"/>
      <c r="R171" s="44"/>
      <c r="U171" s="44"/>
      <c r="V171" s="45"/>
      <c r="Y171" s="47"/>
      <c r="Z171" s="47"/>
      <c r="AA171" s="47"/>
    </row>
    <row r="172" spans="16:27" s="46" customFormat="1" ht="10.5" customHeight="1">
      <c r="P172" s="44"/>
      <c r="Q172" s="44"/>
      <c r="R172" s="44"/>
      <c r="U172" s="44"/>
      <c r="V172" s="45"/>
      <c r="Y172" s="47"/>
      <c r="Z172" s="47"/>
      <c r="AA172" s="47"/>
    </row>
    <row r="173" spans="16:27" s="46" customFormat="1" ht="10.5" customHeight="1">
      <c r="P173" s="44"/>
      <c r="Q173" s="44"/>
      <c r="R173" s="44"/>
      <c r="U173" s="44"/>
      <c r="V173" s="45"/>
      <c r="Y173" s="47"/>
      <c r="Z173" s="47"/>
      <c r="AA173" s="47"/>
    </row>
    <row r="174" spans="16:27" s="46" customFormat="1" ht="10.5" customHeight="1">
      <c r="P174" s="44"/>
      <c r="Q174" s="44"/>
      <c r="R174" s="44"/>
      <c r="U174" s="44"/>
      <c r="V174" s="45"/>
      <c r="Y174" s="47"/>
      <c r="Z174" s="47"/>
      <c r="AA174" s="47"/>
    </row>
    <row r="175" spans="16:27" s="46" customFormat="1" ht="10.5" customHeight="1">
      <c r="P175" s="44"/>
      <c r="Q175" s="44"/>
      <c r="R175" s="44"/>
      <c r="U175" s="44"/>
      <c r="V175" s="45"/>
      <c r="Y175" s="47"/>
      <c r="Z175" s="47"/>
      <c r="AA175" s="47"/>
    </row>
    <row r="176" spans="16:27" s="46" customFormat="1" ht="10.5" customHeight="1">
      <c r="P176" s="44"/>
      <c r="Q176" s="44"/>
      <c r="R176" s="44"/>
      <c r="U176" s="44"/>
      <c r="V176" s="45"/>
      <c r="Y176" s="47"/>
      <c r="Z176" s="47"/>
      <c r="AA176" s="47"/>
    </row>
    <row r="177" spans="16:27" s="46" customFormat="1" ht="10.5" customHeight="1">
      <c r="P177" s="44"/>
      <c r="Q177" s="44"/>
      <c r="R177" s="44"/>
      <c r="U177" s="44"/>
      <c r="V177" s="45"/>
      <c r="Y177" s="47"/>
      <c r="Z177" s="47"/>
      <c r="AA177" s="47"/>
    </row>
    <row r="178" spans="16:27" s="46" customFormat="1" ht="10.5" customHeight="1">
      <c r="P178" s="44"/>
      <c r="Q178" s="44"/>
      <c r="R178" s="44"/>
      <c r="U178" s="44"/>
      <c r="V178" s="45"/>
      <c r="Y178" s="47"/>
      <c r="Z178" s="47"/>
      <c r="AA178" s="47"/>
    </row>
    <row r="179" spans="16:27" s="46" customFormat="1" ht="10.5" customHeight="1">
      <c r="P179" s="44"/>
      <c r="Q179" s="44"/>
      <c r="R179" s="44"/>
      <c r="U179" s="44"/>
      <c r="V179" s="45"/>
      <c r="Y179" s="47"/>
      <c r="Z179" s="47"/>
      <c r="AA179" s="47"/>
    </row>
    <row r="180" spans="16:27" s="46" customFormat="1" ht="10.5" customHeight="1">
      <c r="P180" s="44"/>
      <c r="Q180" s="44"/>
      <c r="R180" s="44"/>
      <c r="U180" s="44"/>
      <c r="V180" s="45"/>
      <c r="Y180" s="47"/>
      <c r="Z180" s="47"/>
      <c r="AA180" s="47"/>
    </row>
    <row r="181" spans="16:27" s="46" customFormat="1" ht="10.5" customHeight="1">
      <c r="P181" s="44"/>
      <c r="Q181" s="44"/>
      <c r="R181" s="44"/>
      <c r="U181" s="44"/>
      <c r="V181" s="45"/>
      <c r="Y181" s="47"/>
      <c r="Z181" s="47"/>
      <c r="AA181" s="47"/>
    </row>
    <row r="182" spans="16:27" s="46" customFormat="1" ht="10.5" customHeight="1">
      <c r="P182" s="44"/>
      <c r="Q182" s="44"/>
      <c r="R182" s="44"/>
      <c r="U182" s="44"/>
      <c r="V182" s="45"/>
      <c r="Y182" s="47"/>
      <c r="Z182" s="47"/>
      <c r="AA182" s="47"/>
    </row>
    <row r="183" spans="16:27" s="46" customFormat="1" ht="10.5" customHeight="1">
      <c r="P183" s="44"/>
      <c r="Q183" s="44"/>
      <c r="R183" s="44"/>
      <c r="U183" s="44"/>
      <c r="V183" s="45"/>
      <c r="Y183" s="47"/>
      <c r="Z183" s="47"/>
      <c r="AA183" s="47"/>
    </row>
    <row r="184" spans="16:27" s="46" customFormat="1" ht="10.5" customHeight="1">
      <c r="P184" s="44"/>
      <c r="Q184" s="44"/>
      <c r="R184" s="44"/>
      <c r="U184" s="44"/>
      <c r="V184" s="45"/>
      <c r="Y184" s="47"/>
      <c r="Z184" s="47"/>
      <c r="AA184" s="47"/>
    </row>
    <row r="185" spans="16:27" s="46" customFormat="1" ht="10.5" customHeight="1">
      <c r="P185" s="44"/>
      <c r="Q185" s="44"/>
      <c r="R185" s="44"/>
      <c r="U185" s="44"/>
      <c r="V185" s="45"/>
      <c r="Y185" s="47"/>
      <c r="Z185" s="47"/>
      <c r="AA185" s="47"/>
    </row>
    <row r="186" spans="16:27" s="46" customFormat="1" ht="10.5" customHeight="1">
      <c r="P186" s="44"/>
      <c r="Q186" s="44"/>
      <c r="R186" s="44"/>
      <c r="U186" s="44"/>
      <c r="V186" s="45"/>
      <c r="Y186" s="47"/>
      <c r="Z186" s="47"/>
      <c r="AA186" s="47"/>
    </row>
    <row r="187" spans="16:27" s="46" customFormat="1" ht="10.5" customHeight="1">
      <c r="P187" s="44"/>
      <c r="Q187" s="44"/>
      <c r="R187" s="44"/>
      <c r="U187" s="44"/>
      <c r="V187" s="45"/>
      <c r="Y187" s="47"/>
      <c r="Z187" s="47"/>
      <c r="AA187" s="47"/>
    </row>
    <row r="188" spans="16:27" s="46" customFormat="1" ht="10.5" customHeight="1">
      <c r="P188" s="44"/>
      <c r="Q188" s="44"/>
      <c r="R188" s="44"/>
      <c r="U188" s="44"/>
      <c r="V188" s="45"/>
      <c r="Y188" s="47"/>
      <c r="Z188" s="47"/>
      <c r="AA188" s="47"/>
    </row>
    <row r="189" spans="16:27" s="46" customFormat="1" ht="10.5" customHeight="1">
      <c r="P189" s="44"/>
      <c r="Q189" s="44"/>
      <c r="R189" s="44"/>
      <c r="U189" s="44"/>
      <c r="V189" s="45"/>
      <c r="Y189" s="47"/>
      <c r="Z189" s="47"/>
      <c r="AA189" s="47"/>
    </row>
    <row r="190" spans="16:27" s="46" customFormat="1" ht="10.5" customHeight="1">
      <c r="P190" s="44"/>
      <c r="Q190" s="44"/>
      <c r="R190" s="44"/>
      <c r="U190" s="44"/>
      <c r="V190" s="45"/>
      <c r="Y190" s="47"/>
      <c r="Z190" s="47"/>
      <c r="AA190" s="47"/>
    </row>
    <row r="191" spans="16:27" s="46" customFormat="1" ht="10.5" customHeight="1">
      <c r="P191" s="44"/>
      <c r="Q191" s="44"/>
      <c r="R191" s="44"/>
      <c r="U191" s="44"/>
      <c r="V191" s="45"/>
      <c r="Y191" s="47"/>
      <c r="Z191" s="47"/>
      <c r="AA191" s="47"/>
    </row>
    <row r="192" spans="16:27" s="46" customFormat="1" ht="10.5" customHeight="1">
      <c r="P192" s="44"/>
      <c r="Q192" s="44"/>
      <c r="R192" s="44"/>
      <c r="U192" s="44"/>
      <c r="V192" s="45"/>
      <c r="Y192" s="47"/>
      <c r="Z192" s="47"/>
      <c r="AA192" s="47"/>
    </row>
    <row r="193" spans="16:27" s="46" customFormat="1" ht="10.5" customHeight="1">
      <c r="P193" s="44"/>
      <c r="Q193" s="44"/>
      <c r="R193" s="44"/>
      <c r="U193" s="44"/>
      <c r="V193" s="45"/>
      <c r="Y193" s="47"/>
      <c r="Z193" s="47"/>
      <c r="AA193" s="47"/>
    </row>
    <row r="194" spans="16:27" s="46" customFormat="1" ht="10.5" customHeight="1">
      <c r="P194" s="44"/>
      <c r="Q194" s="44"/>
      <c r="R194" s="44"/>
      <c r="U194" s="44"/>
      <c r="V194" s="45"/>
      <c r="Y194" s="47"/>
      <c r="Z194" s="47"/>
      <c r="AA194" s="47"/>
    </row>
    <row r="195" spans="16:27" s="46" customFormat="1" ht="10.5" customHeight="1">
      <c r="P195" s="44"/>
      <c r="Q195" s="44"/>
      <c r="R195" s="44"/>
      <c r="U195" s="44"/>
      <c r="V195" s="45"/>
      <c r="Y195" s="47"/>
      <c r="Z195" s="47"/>
      <c r="AA195" s="47"/>
    </row>
    <row r="196" spans="16:27" s="46" customFormat="1" ht="10.5" customHeight="1">
      <c r="P196" s="44"/>
      <c r="Q196" s="44"/>
      <c r="R196" s="44"/>
      <c r="U196" s="44"/>
      <c r="V196" s="45"/>
      <c r="Y196" s="47"/>
      <c r="Z196" s="47"/>
      <c r="AA196" s="47"/>
    </row>
    <row r="197" spans="16:27" s="46" customFormat="1" ht="10.5" customHeight="1">
      <c r="P197" s="44"/>
      <c r="Q197" s="44"/>
      <c r="R197" s="44"/>
      <c r="U197" s="44"/>
      <c r="V197" s="45"/>
      <c r="Y197" s="47"/>
      <c r="Z197" s="47"/>
      <c r="AA197" s="47"/>
    </row>
    <row r="198" spans="16:27" s="46" customFormat="1" ht="10.5" customHeight="1">
      <c r="P198" s="44"/>
      <c r="Q198" s="44"/>
      <c r="R198" s="44"/>
      <c r="U198" s="44"/>
      <c r="V198" s="45"/>
      <c r="Y198" s="47"/>
      <c r="Z198" s="47"/>
      <c r="AA198" s="47"/>
    </row>
    <row r="199" spans="16:27" s="46" customFormat="1" ht="10.5" customHeight="1">
      <c r="P199" s="44"/>
      <c r="Q199" s="44"/>
      <c r="R199" s="44"/>
      <c r="U199" s="44"/>
      <c r="V199" s="45"/>
      <c r="Y199" s="47"/>
      <c r="Z199" s="47"/>
      <c r="AA199" s="47"/>
    </row>
    <row r="200" spans="16:27" s="46" customFormat="1" ht="10.5" customHeight="1">
      <c r="P200" s="44"/>
      <c r="Q200" s="44"/>
      <c r="R200" s="44"/>
      <c r="U200" s="44"/>
      <c r="V200" s="45"/>
      <c r="Y200" s="47"/>
      <c r="Z200" s="47"/>
      <c r="AA200" s="47"/>
    </row>
    <row r="201" spans="16:27" s="46" customFormat="1" ht="10.5" customHeight="1">
      <c r="P201" s="44"/>
      <c r="Q201" s="44"/>
      <c r="R201" s="44"/>
      <c r="U201" s="44"/>
      <c r="V201" s="45"/>
      <c r="Y201" s="47"/>
      <c r="Z201" s="47"/>
      <c r="AA201" s="47"/>
    </row>
    <row r="202" spans="16:27" s="46" customFormat="1" ht="10.5" customHeight="1">
      <c r="P202" s="44"/>
      <c r="Q202" s="44"/>
      <c r="R202" s="44"/>
      <c r="U202" s="44"/>
      <c r="V202" s="45"/>
      <c r="Y202" s="47"/>
      <c r="Z202" s="47"/>
      <c r="AA202" s="47"/>
    </row>
    <row r="203" spans="16:27" s="46" customFormat="1" ht="10.5" customHeight="1">
      <c r="P203" s="44"/>
      <c r="Q203" s="44"/>
      <c r="R203" s="44"/>
      <c r="U203" s="44"/>
      <c r="V203" s="45"/>
      <c r="Y203" s="47"/>
      <c r="Z203" s="47"/>
      <c r="AA203" s="47"/>
    </row>
    <row r="204" spans="16:27" s="46" customFormat="1" ht="10.5" customHeight="1">
      <c r="P204" s="44"/>
      <c r="Q204" s="44"/>
      <c r="R204" s="44"/>
      <c r="U204" s="44"/>
      <c r="V204" s="45"/>
      <c r="Y204" s="47"/>
      <c r="Z204" s="47"/>
      <c r="AA204" s="47"/>
    </row>
    <row r="205" spans="16:27" s="46" customFormat="1" ht="10.5" customHeight="1">
      <c r="P205" s="44"/>
      <c r="Q205" s="44"/>
      <c r="R205" s="44"/>
      <c r="U205" s="44"/>
      <c r="V205" s="45"/>
      <c r="Y205" s="47"/>
      <c r="Z205" s="47"/>
      <c r="AA205" s="47"/>
    </row>
    <row r="206" spans="16:27" s="46" customFormat="1" ht="10.5" customHeight="1">
      <c r="P206" s="44"/>
      <c r="Q206" s="44"/>
      <c r="R206" s="44"/>
      <c r="U206" s="44"/>
      <c r="V206" s="45"/>
      <c r="Y206" s="47"/>
      <c r="Z206" s="47"/>
      <c r="AA206" s="47"/>
    </row>
    <row r="207" spans="16:27" s="46" customFormat="1" ht="10.5" customHeight="1">
      <c r="P207" s="44"/>
      <c r="Q207" s="44"/>
      <c r="R207" s="44"/>
      <c r="U207" s="44"/>
      <c r="V207" s="45"/>
      <c r="Y207" s="47"/>
      <c r="Z207" s="47"/>
      <c r="AA207" s="47"/>
    </row>
    <row r="208" spans="16:27" s="46" customFormat="1" ht="10.5" customHeight="1">
      <c r="P208" s="44"/>
      <c r="Q208" s="44"/>
      <c r="R208" s="44"/>
      <c r="U208" s="44"/>
      <c r="V208" s="45"/>
      <c r="Y208" s="47"/>
      <c r="Z208" s="47"/>
      <c r="AA208" s="47"/>
    </row>
    <row r="209" spans="16:27" s="46" customFormat="1" ht="10.5" customHeight="1">
      <c r="P209" s="44"/>
      <c r="Q209" s="44"/>
      <c r="R209" s="44"/>
      <c r="U209" s="44"/>
      <c r="V209" s="45"/>
      <c r="Y209" s="47"/>
      <c r="Z209" s="47"/>
      <c r="AA209" s="47"/>
    </row>
    <row r="210" spans="16:27" s="46" customFormat="1" ht="10.5" customHeight="1">
      <c r="P210" s="44"/>
      <c r="Q210" s="44"/>
      <c r="R210" s="44"/>
      <c r="U210" s="44"/>
      <c r="V210" s="45"/>
      <c r="Y210" s="47"/>
      <c r="Z210" s="47"/>
      <c r="AA210" s="47"/>
    </row>
    <row r="211" spans="16:27" s="46" customFormat="1" ht="10.5" customHeight="1">
      <c r="P211" s="44"/>
      <c r="Q211" s="44"/>
      <c r="R211" s="44"/>
      <c r="U211" s="44"/>
      <c r="V211" s="45"/>
      <c r="Y211" s="47"/>
      <c r="Z211" s="47"/>
      <c r="AA211" s="47"/>
    </row>
    <row r="212" spans="16:27" s="46" customFormat="1" ht="10.5" customHeight="1">
      <c r="P212" s="44"/>
      <c r="Q212" s="44"/>
      <c r="R212" s="44"/>
      <c r="U212" s="44"/>
      <c r="V212" s="45"/>
      <c r="Y212" s="47"/>
      <c r="Z212" s="47"/>
      <c r="AA212" s="47"/>
    </row>
    <row r="213" spans="16:27" s="46" customFormat="1" ht="10.5" customHeight="1">
      <c r="P213" s="44"/>
      <c r="Q213" s="44"/>
      <c r="R213" s="44"/>
      <c r="U213" s="44"/>
      <c r="V213" s="45"/>
      <c r="Y213" s="47"/>
      <c r="Z213" s="47"/>
      <c r="AA213" s="47"/>
    </row>
    <row r="214" spans="16:27" s="46" customFormat="1" ht="10.5" customHeight="1">
      <c r="P214" s="44"/>
      <c r="Q214" s="44"/>
      <c r="R214" s="44"/>
      <c r="U214" s="44"/>
      <c r="V214" s="45"/>
      <c r="Y214" s="47"/>
      <c r="Z214" s="47"/>
      <c r="AA214" s="47"/>
    </row>
    <row r="215" spans="16:27" s="46" customFormat="1" ht="10.5" customHeight="1">
      <c r="P215" s="44"/>
      <c r="Q215" s="44"/>
      <c r="R215" s="44"/>
      <c r="U215" s="44"/>
      <c r="V215" s="45"/>
      <c r="Y215" s="47"/>
      <c r="Z215" s="47"/>
      <c r="AA215" s="47"/>
    </row>
    <row r="216" spans="16:27" s="46" customFormat="1" ht="10.5" customHeight="1">
      <c r="P216" s="44"/>
      <c r="Q216" s="44"/>
      <c r="R216" s="44"/>
      <c r="U216" s="44"/>
      <c r="V216" s="45"/>
      <c r="Y216" s="47"/>
      <c r="Z216" s="47"/>
      <c r="AA216" s="47"/>
    </row>
    <row r="217" spans="16:27" s="46" customFormat="1" ht="10.5" customHeight="1">
      <c r="P217" s="44"/>
      <c r="Q217" s="44"/>
      <c r="R217" s="44"/>
      <c r="U217" s="44"/>
      <c r="V217" s="45"/>
      <c r="Y217" s="47"/>
      <c r="Z217" s="47"/>
      <c r="AA217" s="47"/>
    </row>
    <row r="218" spans="16:27" s="46" customFormat="1" ht="10.5" customHeight="1">
      <c r="P218" s="44"/>
      <c r="Q218" s="44"/>
      <c r="R218" s="44"/>
      <c r="U218" s="44"/>
      <c r="V218" s="45"/>
      <c r="Y218" s="47"/>
      <c r="Z218" s="47"/>
      <c r="AA218" s="47"/>
    </row>
    <row r="219" spans="16:27" s="46" customFormat="1" ht="10.5" customHeight="1">
      <c r="P219" s="44"/>
      <c r="Q219" s="44"/>
      <c r="R219" s="44"/>
      <c r="U219" s="44"/>
      <c r="V219" s="45"/>
      <c r="Y219" s="47"/>
      <c r="Z219" s="47"/>
      <c r="AA219" s="47"/>
    </row>
    <row r="220" spans="16:27" s="46" customFormat="1" ht="10.5" customHeight="1">
      <c r="P220" s="44"/>
      <c r="Q220" s="44"/>
      <c r="R220" s="44"/>
      <c r="U220" s="44"/>
      <c r="V220" s="45"/>
      <c r="Y220" s="47"/>
      <c r="Z220" s="47"/>
      <c r="AA220" s="47"/>
    </row>
    <row r="221" spans="16:27" s="46" customFormat="1" ht="10.5" customHeight="1">
      <c r="P221" s="44"/>
      <c r="Q221" s="44"/>
      <c r="R221" s="44"/>
      <c r="U221" s="44"/>
      <c r="V221" s="45"/>
      <c r="Y221" s="47"/>
      <c r="Z221" s="47"/>
      <c r="AA221" s="47"/>
    </row>
    <row r="222" spans="16:27" s="46" customFormat="1" ht="10.5" customHeight="1">
      <c r="P222" s="44"/>
      <c r="Q222" s="44"/>
      <c r="R222" s="44"/>
      <c r="U222" s="44"/>
      <c r="V222" s="45"/>
      <c r="Y222" s="47"/>
      <c r="Z222" s="47"/>
      <c r="AA222" s="47"/>
    </row>
    <row r="223" spans="16:27" s="46" customFormat="1" ht="10.5" customHeight="1">
      <c r="P223" s="44"/>
      <c r="Q223" s="44"/>
      <c r="R223" s="44"/>
      <c r="U223" s="44"/>
      <c r="V223" s="45"/>
      <c r="Y223" s="47"/>
      <c r="Z223" s="47"/>
      <c r="AA223" s="47"/>
    </row>
    <row r="224" spans="16:27" s="46" customFormat="1" ht="10.5" customHeight="1">
      <c r="P224" s="44"/>
      <c r="Q224" s="44"/>
      <c r="R224" s="44"/>
      <c r="U224" s="44"/>
      <c r="V224" s="45"/>
      <c r="Y224" s="47"/>
      <c r="Z224" s="47"/>
      <c r="AA224" s="47"/>
    </row>
    <row r="225" spans="16:27" s="46" customFormat="1" ht="10.5" customHeight="1">
      <c r="P225" s="44"/>
      <c r="Q225" s="44"/>
      <c r="R225" s="44"/>
      <c r="U225" s="44"/>
      <c r="V225" s="45"/>
      <c r="Y225" s="47"/>
      <c r="Z225" s="47"/>
      <c r="AA225" s="47"/>
    </row>
    <row r="226" spans="16:27" s="46" customFormat="1" ht="10.5" customHeight="1">
      <c r="P226" s="44"/>
      <c r="Q226" s="44"/>
      <c r="R226" s="44"/>
      <c r="U226" s="44"/>
      <c r="V226" s="45"/>
      <c r="Y226" s="47"/>
      <c r="Z226" s="47"/>
      <c r="AA226" s="47"/>
    </row>
    <row r="227" spans="16:27" s="46" customFormat="1" ht="10.5" customHeight="1">
      <c r="P227" s="44"/>
      <c r="Q227" s="44"/>
      <c r="R227" s="44"/>
      <c r="U227" s="44"/>
      <c r="V227" s="45"/>
      <c r="Y227" s="47"/>
      <c r="Z227" s="47"/>
      <c r="AA227" s="47"/>
    </row>
    <row r="228" spans="16:27" s="46" customFormat="1" ht="10.5" customHeight="1">
      <c r="P228" s="44"/>
      <c r="Q228" s="44"/>
      <c r="R228" s="44"/>
      <c r="U228" s="44"/>
      <c r="V228" s="45"/>
      <c r="Y228" s="47"/>
      <c r="Z228" s="47"/>
      <c r="AA228" s="47"/>
    </row>
    <row r="229" spans="16:27" s="46" customFormat="1" ht="10.5" customHeight="1">
      <c r="P229" s="44"/>
      <c r="Q229" s="44"/>
      <c r="R229" s="44"/>
      <c r="U229" s="44"/>
      <c r="V229" s="45"/>
      <c r="Y229" s="47"/>
      <c r="Z229" s="47"/>
      <c r="AA229" s="47"/>
    </row>
    <row r="230" spans="16:27" s="46" customFormat="1" ht="10.5" customHeight="1">
      <c r="P230" s="44"/>
      <c r="Q230" s="44"/>
      <c r="R230" s="44"/>
      <c r="U230" s="44"/>
      <c r="V230" s="45"/>
      <c r="Y230" s="47"/>
      <c r="Z230" s="47"/>
      <c r="AA230" s="47"/>
    </row>
    <row r="231" spans="16:27" s="46" customFormat="1" ht="10.5" customHeight="1">
      <c r="P231" s="44"/>
      <c r="Q231" s="44"/>
      <c r="R231" s="44"/>
      <c r="U231" s="44"/>
      <c r="V231" s="45"/>
      <c r="Y231" s="47"/>
      <c r="Z231" s="47"/>
      <c r="AA231" s="47"/>
    </row>
    <row r="232" spans="16:27" s="46" customFormat="1" ht="10.5" customHeight="1">
      <c r="P232" s="44"/>
      <c r="Q232" s="44"/>
      <c r="R232" s="44"/>
      <c r="U232" s="44"/>
      <c r="V232" s="45"/>
      <c r="Y232" s="47"/>
      <c r="Z232" s="47"/>
      <c r="AA232" s="47"/>
    </row>
    <row r="233" spans="16:27" s="46" customFormat="1" ht="10.5" customHeight="1">
      <c r="P233" s="44"/>
      <c r="Q233" s="44"/>
      <c r="R233" s="44"/>
      <c r="U233" s="44"/>
      <c r="V233" s="45"/>
      <c r="Y233" s="47"/>
      <c r="Z233" s="47"/>
      <c r="AA233" s="47"/>
    </row>
    <row r="234" spans="16:27" s="46" customFormat="1" ht="10.5" customHeight="1">
      <c r="P234" s="44"/>
      <c r="Q234" s="44"/>
      <c r="R234" s="44"/>
      <c r="U234" s="44"/>
      <c r="V234" s="45"/>
      <c r="Y234" s="47"/>
      <c r="Z234" s="47"/>
      <c r="AA234" s="47"/>
    </row>
    <row r="235" spans="16:27" s="46" customFormat="1" ht="10.5" customHeight="1">
      <c r="P235" s="44"/>
      <c r="Q235" s="44"/>
      <c r="R235" s="44"/>
      <c r="U235" s="44"/>
      <c r="V235" s="45"/>
      <c r="Y235" s="47"/>
      <c r="Z235" s="47"/>
      <c r="AA235" s="47"/>
    </row>
    <row r="236" spans="16:27" s="46" customFormat="1" ht="10.5" customHeight="1">
      <c r="P236" s="44"/>
      <c r="Q236" s="44"/>
      <c r="R236" s="44"/>
      <c r="U236" s="44"/>
      <c r="V236" s="45"/>
      <c r="Y236" s="47"/>
      <c r="Z236" s="47"/>
      <c r="AA236" s="47"/>
    </row>
    <row r="237" spans="16:27" s="46" customFormat="1" ht="10.5" customHeight="1">
      <c r="P237" s="44"/>
      <c r="Q237" s="44"/>
      <c r="R237" s="44"/>
      <c r="U237" s="44"/>
      <c r="V237" s="45"/>
      <c r="Y237" s="47"/>
      <c r="Z237" s="47"/>
      <c r="AA237" s="47"/>
    </row>
    <row r="238" spans="16:27" s="46" customFormat="1" ht="10.5" customHeight="1">
      <c r="P238" s="44"/>
      <c r="Q238" s="44"/>
      <c r="R238" s="44"/>
      <c r="U238" s="44"/>
      <c r="V238" s="45"/>
      <c r="Y238" s="47"/>
      <c r="Z238" s="47"/>
      <c r="AA238" s="47"/>
    </row>
    <row r="239" spans="16:27" s="46" customFormat="1" ht="10.5" customHeight="1">
      <c r="P239" s="44"/>
      <c r="Q239" s="44"/>
      <c r="R239" s="44"/>
      <c r="U239" s="44"/>
      <c r="V239" s="45"/>
      <c r="Y239" s="47"/>
      <c r="Z239" s="47"/>
      <c r="AA239" s="47"/>
    </row>
    <row r="240" spans="16:27" s="46" customFormat="1" ht="10.5" customHeight="1">
      <c r="P240" s="44"/>
      <c r="Q240" s="44"/>
      <c r="R240" s="44"/>
      <c r="U240" s="44"/>
      <c r="V240" s="45"/>
      <c r="Y240" s="47"/>
      <c r="Z240" s="47"/>
      <c r="AA240" s="47"/>
    </row>
    <row r="241" spans="16:27" s="46" customFormat="1" ht="10.5" customHeight="1">
      <c r="P241" s="44"/>
      <c r="Q241" s="44"/>
      <c r="R241" s="44"/>
      <c r="U241" s="44"/>
      <c r="V241" s="45"/>
      <c r="Y241" s="47"/>
      <c r="Z241" s="47"/>
      <c r="AA241" s="47"/>
    </row>
    <row r="242" spans="16:27" s="46" customFormat="1" ht="10.5" customHeight="1">
      <c r="P242" s="44"/>
      <c r="Q242" s="44"/>
      <c r="R242" s="44"/>
      <c r="U242" s="44"/>
      <c r="V242" s="45"/>
      <c r="Y242" s="47"/>
      <c r="Z242" s="47"/>
      <c r="AA242" s="47"/>
    </row>
    <row r="243" spans="16:27" s="46" customFormat="1" ht="10.5" customHeight="1">
      <c r="P243" s="44"/>
      <c r="Q243" s="44"/>
      <c r="R243" s="44"/>
      <c r="U243" s="44"/>
      <c r="V243" s="45"/>
      <c r="Y243" s="47"/>
      <c r="Z243" s="47"/>
      <c r="AA243" s="47"/>
    </row>
    <row r="244" spans="16:27" s="46" customFormat="1" ht="10.5" customHeight="1">
      <c r="P244" s="44"/>
      <c r="Q244" s="44"/>
      <c r="R244" s="44"/>
      <c r="U244" s="44"/>
      <c r="V244" s="45"/>
      <c r="Y244" s="47"/>
      <c r="Z244" s="47"/>
      <c r="AA244" s="47"/>
    </row>
    <row r="245" spans="16:27" s="46" customFormat="1" ht="10.5" customHeight="1">
      <c r="P245" s="44"/>
      <c r="Q245" s="44"/>
      <c r="R245" s="44"/>
      <c r="U245" s="44"/>
      <c r="V245" s="45"/>
      <c r="Y245" s="47"/>
      <c r="Z245" s="47"/>
      <c r="AA245" s="47"/>
    </row>
    <row r="246" spans="16:27" s="46" customFormat="1" ht="10.5" customHeight="1">
      <c r="P246" s="44"/>
      <c r="Q246" s="44"/>
      <c r="R246" s="44"/>
      <c r="U246" s="44"/>
      <c r="V246" s="45"/>
      <c r="Y246" s="47"/>
      <c r="Z246" s="47"/>
      <c r="AA246" s="47"/>
    </row>
    <row r="247" spans="16:27" s="46" customFormat="1" ht="10.5" customHeight="1">
      <c r="P247" s="44"/>
      <c r="Q247" s="44"/>
      <c r="R247" s="44"/>
      <c r="U247" s="44"/>
      <c r="V247" s="45"/>
      <c r="Y247" s="47"/>
      <c r="Z247" s="47"/>
      <c r="AA247" s="47"/>
    </row>
    <row r="248" spans="16:27" s="46" customFormat="1" ht="10.5" customHeight="1">
      <c r="P248" s="44"/>
      <c r="Q248" s="44"/>
      <c r="R248" s="44"/>
      <c r="U248" s="44"/>
      <c r="V248" s="45"/>
      <c r="Y248" s="47"/>
      <c r="Z248" s="47"/>
      <c r="AA248" s="47"/>
    </row>
    <row r="249" spans="16:27" s="46" customFormat="1" ht="10.5" customHeight="1">
      <c r="P249" s="44"/>
      <c r="Q249" s="44"/>
      <c r="R249" s="44"/>
      <c r="U249" s="44"/>
      <c r="V249" s="45"/>
      <c r="Y249" s="47"/>
      <c r="Z249" s="47"/>
      <c r="AA249" s="47"/>
    </row>
    <row r="250" spans="16:27" s="46" customFormat="1" ht="10.5" customHeight="1">
      <c r="P250" s="44"/>
      <c r="Q250" s="44"/>
      <c r="R250" s="44"/>
      <c r="U250" s="44"/>
      <c r="V250" s="45"/>
      <c r="Y250" s="47"/>
      <c r="Z250" s="47"/>
      <c r="AA250" s="47"/>
    </row>
    <row r="251" spans="16:27" s="46" customFormat="1" ht="10.5" customHeight="1">
      <c r="P251" s="44"/>
      <c r="Q251" s="44"/>
      <c r="R251" s="44"/>
      <c r="U251" s="44"/>
      <c r="V251" s="45"/>
      <c r="Y251" s="47"/>
      <c r="Z251" s="47"/>
      <c r="AA251" s="47"/>
    </row>
    <row r="252" spans="16:27" s="46" customFormat="1" ht="10.5" customHeight="1">
      <c r="P252" s="44"/>
      <c r="Q252" s="44"/>
      <c r="R252" s="44"/>
      <c r="U252" s="44"/>
      <c r="V252" s="45"/>
      <c r="Y252" s="47"/>
      <c r="Z252" s="47"/>
      <c r="AA252" s="47"/>
    </row>
    <row r="253" spans="16:27" s="46" customFormat="1" ht="10.5" customHeight="1">
      <c r="P253" s="44"/>
      <c r="Q253" s="44"/>
      <c r="R253" s="44"/>
      <c r="U253" s="44"/>
      <c r="V253" s="45"/>
      <c r="Y253" s="47"/>
      <c r="Z253" s="47"/>
      <c r="AA253" s="47"/>
    </row>
    <row r="254" spans="16:27" s="46" customFormat="1" ht="10.5" customHeight="1">
      <c r="P254" s="44"/>
      <c r="Q254" s="44"/>
      <c r="R254" s="44"/>
      <c r="U254" s="44"/>
      <c r="V254" s="45"/>
      <c r="Y254" s="47"/>
      <c r="Z254" s="47"/>
      <c r="AA254" s="47"/>
    </row>
    <row r="255" spans="16:27" s="46" customFormat="1" ht="10.5" customHeight="1">
      <c r="P255" s="44"/>
      <c r="Q255" s="44"/>
      <c r="R255" s="44"/>
      <c r="U255" s="44"/>
      <c r="V255" s="45"/>
      <c r="Y255" s="47"/>
      <c r="Z255" s="47"/>
      <c r="AA255" s="47"/>
    </row>
    <row r="256" spans="16:27" s="46" customFormat="1" ht="10.5" customHeight="1">
      <c r="P256" s="44"/>
      <c r="Q256" s="44"/>
      <c r="R256" s="44"/>
      <c r="U256" s="44"/>
      <c r="V256" s="45"/>
      <c r="Y256" s="47"/>
      <c r="Z256" s="47"/>
      <c r="AA256" s="47"/>
    </row>
    <row r="257" spans="16:27" s="46" customFormat="1" ht="10.5" customHeight="1">
      <c r="P257" s="44"/>
      <c r="Q257" s="44"/>
      <c r="R257" s="44"/>
      <c r="U257" s="44"/>
      <c r="V257" s="45"/>
      <c r="Y257" s="47"/>
      <c r="Z257" s="47"/>
      <c r="AA257" s="47"/>
    </row>
    <row r="258" spans="16:27" s="46" customFormat="1" ht="10.5" customHeight="1">
      <c r="P258" s="44"/>
      <c r="Q258" s="44"/>
      <c r="R258" s="44"/>
      <c r="U258" s="44"/>
      <c r="V258" s="45"/>
      <c r="Y258" s="47"/>
      <c r="Z258" s="47"/>
      <c r="AA258" s="47"/>
    </row>
    <row r="259" spans="16:27" s="46" customFormat="1" ht="10.5" customHeight="1">
      <c r="P259" s="44"/>
      <c r="Q259" s="44"/>
      <c r="R259" s="44"/>
      <c r="U259" s="44"/>
      <c r="V259" s="45"/>
      <c r="Y259" s="47"/>
      <c r="Z259" s="47"/>
      <c r="AA259" s="47"/>
    </row>
    <row r="260" spans="16:27" s="46" customFormat="1" ht="10.5" customHeight="1">
      <c r="P260" s="44"/>
      <c r="Q260" s="44"/>
      <c r="R260" s="44"/>
      <c r="U260" s="44"/>
      <c r="V260" s="45"/>
      <c r="Y260" s="47"/>
      <c r="Z260" s="47"/>
      <c r="AA260" s="47"/>
    </row>
    <row r="261" spans="16:27" s="46" customFormat="1" ht="10.5" customHeight="1">
      <c r="P261" s="44"/>
      <c r="Q261" s="44"/>
      <c r="R261" s="44"/>
      <c r="U261" s="44"/>
      <c r="V261" s="45"/>
      <c r="Y261" s="47"/>
      <c r="Z261" s="47"/>
      <c r="AA261" s="47"/>
    </row>
    <row r="262" spans="16:27" s="46" customFormat="1" ht="10.5" customHeight="1">
      <c r="P262" s="44"/>
      <c r="Q262" s="44"/>
      <c r="R262" s="44"/>
      <c r="U262" s="44"/>
      <c r="V262" s="45"/>
      <c r="Y262" s="47"/>
      <c r="Z262" s="47"/>
      <c r="AA262" s="47"/>
    </row>
    <row r="263" spans="16:27" s="46" customFormat="1" ht="10.5" customHeight="1">
      <c r="P263" s="44"/>
      <c r="Q263" s="44"/>
      <c r="R263" s="44"/>
      <c r="U263" s="44"/>
      <c r="V263" s="45"/>
      <c r="Y263" s="47"/>
      <c r="Z263" s="47"/>
      <c r="AA263" s="47"/>
    </row>
    <row r="264" spans="16:27" s="46" customFormat="1" ht="10.5" customHeight="1">
      <c r="P264" s="44"/>
      <c r="Q264" s="44"/>
      <c r="R264" s="44"/>
      <c r="U264" s="44"/>
      <c r="V264" s="45"/>
      <c r="Y264" s="47"/>
      <c r="Z264" s="47"/>
      <c r="AA264" s="47"/>
    </row>
    <row r="265" spans="16:27" s="46" customFormat="1" ht="10.5" customHeight="1">
      <c r="P265" s="44"/>
      <c r="Q265" s="44"/>
      <c r="R265" s="44"/>
      <c r="U265" s="44"/>
      <c r="V265" s="45"/>
      <c r="Y265" s="47"/>
      <c r="Z265" s="47"/>
      <c r="AA265" s="47"/>
    </row>
    <row r="266" spans="16:27" s="46" customFormat="1" ht="10.5" customHeight="1">
      <c r="P266" s="44"/>
      <c r="Q266" s="44"/>
      <c r="R266" s="44"/>
      <c r="U266" s="44"/>
      <c r="V266" s="45"/>
      <c r="Y266" s="47"/>
      <c r="Z266" s="47"/>
      <c r="AA266" s="47"/>
    </row>
    <row r="267" spans="16:27" s="46" customFormat="1" ht="10.5" customHeight="1">
      <c r="P267" s="44"/>
      <c r="Q267" s="44"/>
      <c r="R267" s="44"/>
      <c r="U267" s="44"/>
      <c r="V267" s="45"/>
      <c r="Y267" s="47"/>
      <c r="Z267" s="47"/>
      <c r="AA267" s="47"/>
    </row>
    <row r="268" spans="16:27" s="46" customFormat="1" ht="10.5" customHeight="1">
      <c r="P268" s="44"/>
      <c r="Q268" s="44"/>
      <c r="R268" s="44"/>
      <c r="U268" s="44"/>
      <c r="V268" s="45"/>
      <c r="Y268" s="47"/>
      <c r="Z268" s="47"/>
      <c r="AA268" s="47"/>
    </row>
    <row r="269" spans="16:27" s="46" customFormat="1" ht="10.5" customHeight="1">
      <c r="P269" s="44"/>
      <c r="Q269" s="44"/>
      <c r="R269" s="44"/>
      <c r="U269" s="44"/>
      <c r="V269" s="45"/>
      <c r="Y269" s="47"/>
      <c r="Z269" s="47"/>
      <c r="AA269" s="47"/>
    </row>
    <row r="270" spans="16:27" s="46" customFormat="1" ht="10.5" customHeight="1">
      <c r="P270" s="44"/>
      <c r="Q270" s="44"/>
      <c r="R270" s="44"/>
      <c r="U270" s="44"/>
      <c r="V270" s="45"/>
      <c r="Y270" s="47"/>
      <c r="Z270" s="47"/>
      <c r="AA270" s="47"/>
    </row>
    <row r="271" spans="16:27" s="46" customFormat="1" ht="10.5" customHeight="1">
      <c r="P271" s="44"/>
      <c r="Q271" s="44"/>
      <c r="R271" s="44"/>
      <c r="U271" s="44"/>
      <c r="V271" s="45"/>
      <c r="Y271" s="47"/>
      <c r="Z271" s="47"/>
      <c r="AA271" s="47"/>
    </row>
    <row r="272" spans="16:27" s="46" customFormat="1" ht="10.5" customHeight="1">
      <c r="P272" s="44"/>
      <c r="Q272" s="44"/>
      <c r="R272" s="44"/>
      <c r="U272" s="44"/>
      <c r="V272" s="45"/>
      <c r="Y272" s="47"/>
      <c r="Z272" s="47"/>
      <c r="AA272" s="47"/>
    </row>
    <row r="273" spans="16:27" s="46" customFormat="1" ht="10.5" customHeight="1">
      <c r="P273" s="44"/>
      <c r="Q273" s="44"/>
      <c r="R273" s="44"/>
      <c r="U273" s="44"/>
      <c r="V273" s="45"/>
      <c r="Y273" s="47"/>
      <c r="Z273" s="47"/>
      <c r="AA273" s="47"/>
    </row>
    <row r="274" spans="16:27" s="46" customFormat="1" ht="10.5" customHeight="1">
      <c r="P274" s="44"/>
      <c r="Q274" s="44"/>
      <c r="R274" s="44"/>
      <c r="U274" s="44"/>
      <c r="V274" s="45"/>
      <c r="Y274" s="47"/>
      <c r="Z274" s="47"/>
      <c r="AA274" s="47"/>
    </row>
    <row r="275" spans="16:27" s="46" customFormat="1" ht="10.5" customHeight="1">
      <c r="P275" s="44"/>
      <c r="Q275" s="44"/>
      <c r="R275" s="44"/>
      <c r="U275" s="44"/>
      <c r="V275" s="45"/>
      <c r="Y275" s="47"/>
      <c r="Z275" s="47"/>
      <c r="AA275" s="47"/>
    </row>
    <row r="276" spans="16:27" s="46" customFormat="1" ht="10.5" customHeight="1">
      <c r="P276" s="44"/>
      <c r="Q276" s="44"/>
      <c r="R276" s="44"/>
      <c r="U276" s="44"/>
      <c r="V276" s="45"/>
      <c r="Y276" s="47"/>
      <c r="Z276" s="47"/>
      <c r="AA276" s="47"/>
    </row>
    <row r="277" spans="16:27" s="46" customFormat="1" ht="10.5" customHeight="1">
      <c r="P277" s="44"/>
      <c r="Q277" s="44"/>
      <c r="R277" s="44"/>
      <c r="U277" s="44"/>
      <c r="V277" s="45"/>
      <c r="Y277" s="47"/>
      <c r="Z277" s="47"/>
      <c r="AA277" s="47"/>
    </row>
    <row r="278" spans="16:27" s="46" customFormat="1" ht="10.5" customHeight="1">
      <c r="P278" s="44"/>
      <c r="Q278" s="44"/>
      <c r="R278" s="44"/>
      <c r="U278" s="44"/>
      <c r="V278" s="45"/>
      <c r="Y278" s="47"/>
      <c r="Z278" s="47"/>
      <c r="AA278" s="47"/>
    </row>
    <row r="279" spans="16:27" s="46" customFormat="1" ht="10.5" customHeight="1">
      <c r="P279" s="44"/>
      <c r="Q279" s="44"/>
      <c r="R279" s="44"/>
      <c r="U279" s="44"/>
      <c r="V279" s="45"/>
      <c r="Y279" s="47"/>
      <c r="Z279" s="47"/>
      <c r="AA279" s="47"/>
    </row>
    <row r="280" spans="16:27" s="46" customFormat="1" ht="10.5" customHeight="1">
      <c r="P280" s="44"/>
      <c r="Q280" s="44"/>
      <c r="R280" s="44"/>
      <c r="U280" s="44"/>
      <c r="V280" s="45"/>
      <c r="Y280" s="47"/>
      <c r="Z280" s="47"/>
      <c r="AA280" s="47"/>
    </row>
    <row r="281" spans="16:27" s="46" customFormat="1" ht="10.5" customHeight="1">
      <c r="P281" s="44"/>
      <c r="Q281" s="44"/>
      <c r="R281" s="44"/>
      <c r="U281" s="44"/>
      <c r="V281" s="45"/>
      <c r="Y281" s="47"/>
      <c r="Z281" s="47"/>
      <c r="AA281" s="47"/>
    </row>
    <row r="282" spans="16:27" s="46" customFormat="1" ht="10.5" customHeight="1">
      <c r="P282" s="44"/>
      <c r="Q282" s="44"/>
      <c r="R282" s="44"/>
      <c r="U282" s="44"/>
      <c r="V282" s="45"/>
      <c r="Y282" s="47"/>
      <c r="Z282" s="47"/>
      <c r="AA282" s="47"/>
    </row>
    <row r="283" spans="16:27" s="46" customFormat="1" ht="10.5" customHeight="1">
      <c r="P283" s="44"/>
      <c r="Q283" s="44"/>
      <c r="R283" s="44"/>
      <c r="U283" s="44"/>
      <c r="V283" s="45"/>
      <c r="Y283" s="47"/>
      <c r="Z283" s="47"/>
      <c r="AA283" s="47"/>
    </row>
    <row r="284" spans="16:27" s="46" customFormat="1" ht="10.5" customHeight="1">
      <c r="P284" s="44"/>
      <c r="Q284" s="44"/>
      <c r="R284" s="44"/>
      <c r="U284" s="44"/>
      <c r="V284" s="45"/>
      <c r="Y284" s="47"/>
      <c r="Z284" s="47"/>
      <c r="AA284" s="47"/>
    </row>
    <row r="285" spans="16:27" s="46" customFormat="1" ht="10.5" customHeight="1">
      <c r="P285" s="44"/>
      <c r="Q285" s="44"/>
      <c r="R285" s="44"/>
      <c r="U285" s="44"/>
      <c r="V285" s="45"/>
      <c r="Y285" s="47"/>
      <c r="Z285" s="47"/>
      <c r="AA285" s="47"/>
    </row>
    <row r="286" spans="16:27" s="46" customFormat="1" ht="10.5" customHeight="1">
      <c r="P286" s="44"/>
      <c r="Q286" s="44"/>
      <c r="R286" s="44"/>
      <c r="U286" s="44"/>
      <c r="V286" s="45"/>
      <c r="Y286" s="47"/>
      <c r="Z286" s="47"/>
      <c r="AA286" s="47"/>
    </row>
    <row r="287" spans="16:27" s="46" customFormat="1" ht="10.5" customHeight="1">
      <c r="P287" s="44"/>
      <c r="Q287" s="44"/>
      <c r="R287" s="44"/>
      <c r="U287" s="44"/>
      <c r="V287" s="45"/>
      <c r="Y287" s="47"/>
      <c r="Z287" s="47"/>
      <c r="AA287" s="47"/>
    </row>
    <row r="288" spans="16:27" s="46" customFormat="1" ht="10.5" customHeight="1">
      <c r="P288" s="44"/>
      <c r="Q288" s="44"/>
      <c r="R288" s="44"/>
      <c r="U288" s="44"/>
      <c r="V288" s="45"/>
      <c r="Y288" s="47"/>
      <c r="Z288" s="47"/>
      <c r="AA288" s="47"/>
    </row>
    <row r="289" spans="16:27" s="46" customFormat="1" ht="10.5" customHeight="1">
      <c r="P289" s="44"/>
      <c r="Q289" s="44"/>
      <c r="R289" s="44"/>
      <c r="U289" s="44"/>
      <c r="V289" s="45"/>
      <c r="Y289" s="47"/>
      <c r="Z289" s="47"/>
      <c r="AA289" s="47"/>
    </row>
    <row r="290" spans="16:27" s="46" customFormat="1" ht="10.5" customHeight="1">
      <c r="P290" s="44"/>
      <c r="Q290" s="44"/>
      <c r="R290" s="44"/>
      <c r="U290" s="44"/>
      <c r="V290" s="45"/>
      <c r="Y290" s="47"/>
      <c r="Z290" s="47"/>
      <c r="AA290" s="47"/>
    </row>
    <row r="291" spans="16:27" s="46" customFormat="1" ht="10.5" customHeight="1">
      <c r="P291" s="44"/>
      <c r="Q291" s="44"/>
      <c r="R291" s="44"/>
      <c r="U291" s="44"/>
      <c r="V291" s="45"/>
      <c r="Y291" s="47"/>
      <c r="Z291" s="47"/>
      <c r="AA291" s="47"/>
    </row>
    <row r="292" spans="16:27" s="46" customFormat="1" ht="10.5" customHeight="1">
      <c r="P292" s="44"/>
      <c r="Q292" s="44"/>
      <c r="R292" s="44"/>
      <c r="U292" s="44"/>
      <c r="V292" s="45"/>
      <c r="Y292" s="47"/>
      <c r="Z292" s="47"/>
      <c r="AA292" s="47"/>
    </row>
    <row r="293" spans="16:27" s="46" customFormat="1" ht="10.5" customHeight="1">
      <c r="P293" s="44"/>
      <c r="Q293" s="44"/>
      <c r="R293" s="44"/>
      <c r="U293" s="44"/>
      <c r="V293" s="45"/>
      <c r="Y293" s="47"/>
      <c r="Z293" s="47"/>
      <c r="AA293" s="47"/>
    </row>
    <row r="294" spans="16:27" s="46" customFormat="1" ht="10.5" customHeight="1">
      <c r="P294" s="44"/>
      <c r="Q294" s="44"/>
      <c r="R294" s="44"/>
      <c r="U294" s="44"/>
      <c r="V294" s="45"/>
      <c r="Y294" s="47"/>
      <c r="Z294" s="47"/>
      <c r="AA294" s="47"/>
    </row>
    <row r="295" spans="16:27" s="46" customFormat="1" ht="10.5" customHeight="1">
      <c r="P295" s="44"/>
      <c r="Q295" s="44"/>
      <c r="R295" s="44"/>
      <c r="U295" s="44"/>
      <c r="V295" s="45"/>
      <c r="Y295" s="47"/>
      <c r="Z295" s="47"/>
      <c r="AA295" s="47"/>
    </row>
    <row r="296" spans="16:27" s="46" customFormat="1" ht="10.5" customHeight="1">
      <c r="P296" s="44"/>
      <c r="Q296" s="44"/>
      <c r="R296" s="44"/>
      <c r="U296" s="44"/>
      <c r="V296" s="45"/>
      <c r="Y296" s="47"/>
      <c r="Z296" s="47"/>
      <c r="AA296" s="47"/>
    </row>
    <row r="297" spans="16:27" s="46" customFormat="1" ht="10.5" customHeight="1">
      <c r="P297" s="44"/>
      <c r="Q297" s="44"/>
      <c r="R297" s="44"/>
      <c r="U297" s="44"/>
      <c r="V297" s="45"/>
      <c r="Y297" s="47"/>
      <c r="Z297" s="47"/>
      <c r="AA297" s="47"/>
    </row>
    <row r="298" spans="16:27" s="46" customFormat="1" ht="10.5" customHeight="1">
      <c r="P298" s="44"/>
      <c r="Q298" s="44"/>
      <c r="R298" s="44"/>
      <c r="U298" s="44"/>
      <c r="V298" s="45"/>
      <c r="Y298" s="47"/>
      <c r="Z298" s="47"/>
      <c r="AA298" s="47"/>
    </row>
    <row r="299" spans="16:27" s="46" customFormat="1" ht="10.5" customHeight="1">
      <c r="P299" s="44"/>
      <c r="Q299" s="44"/>
      <c r="R299" s="44"/>
      <c r="U299" s="44"/>
      <c r="V299" s="45"/>
      <c r="Y299" s="47"/>
      <c r="Z299" s="47"/>
      <c r="AA299" s="47"/>
    </row>
    <row r="300" spans="16:27" s="46" customFormat="1" ht="10.5" customHeight="1">
      <c r="P300" s="44"/>
      <c r="Q300" s="44"/>
      <c r="R300" s="44"/>
      <c r="U300" s="44"/>
      <c r="V300" s="45"/>
      <c r="Y300" s="47"/>
      <c r="Z300" s="47"/>
      <c r="AA300" s="47"/>
    </row>
    <row r="301" spans="16:27" s="46" customFormat="1" ht="10.5" customHeight="1">
      <c r="P301" s="44"/>
      <c r="Q301" s="44"/>
      <c r="R301" s="44"/>
      <c r="U301" s="44"/>
      <c r="V301" s="45"/>
      <c r="Y301" s="47"/>
      <c r="Z301" s="47"/>
      <c r="AA301" s="47"/>
    </row>
    <row r="302" spans="16:27" s="46" customFormat="1" ht="10.5" customHeight="1">
      <c r="P302" s="44"/>
      <c r="Q302" s="44"/>
      <c r="R302" s="44"/>
      <c r="U302" s="44"/>
      <c r="V302" s="45"/>
      <c r="Y302" s="47"/>
      <c r="Z302" s="47"/>
      <c r="AA302" s="47"/>
    </row>
    <row r="303" spans="16:27" s="46" customFormat="1" ht="10.5" customHeight="1">
      <c r="P303" s="44"/>
      <c r="Q303" s="44"/>
      <c r="R303" s="44"/>
      <c r="U303" s="44"/>
      <c r="V303" s="45"/>
      <c r="Y303" s="47"/>
      <c r="Z303" s="47"/>
      <c r="AA303" s="47"/>
    </row>
    <row r="304" spans="16:27" s="46" customFormat="1" ht="10.5" customHeight="1">
      <c r="P304" s="44"/>
      <c r="Q304" s="44"/>
      <c r="R304" s="44"/>
      <c r="U304" s="44"/>
      <c r="V304" s="45"/>
      <c r="Y304" s="47"/>
      <c r="Z304" s="47"/>
      <c r="AA304" s="47"/>
    </row>
    <row r="305" spans="16:27" s="46" customFormat="1" ht="10.5" customHeight="1">
      <c r="P305" s="44"/>
      <c r="Q305" s="44"/>
      <c r="R305" s="44"/>
      <c r="U305" s="44"/>
      <c r="V305" s="45"/>
      <c r="Y305" s="47"/>
      <c r="Z305" s="47"/>
      <c r="AA305" s="47"/>
    </row>
    <row r="306" spans="16:27" s="46" customFormat="1" ht="10.5" customHeight="1">
      <c r="P306" s="44"/>
      <c r="Q306" s="44"/>
      <c r="R306" s="44"/>
      <c r="U306" s="44"/>
      <c r="V306" s="45"/>
      <c r="Y306" s="47"/>
      <c r="Z306" s="47"/>
      <c r="AA306" s="47"/>
    </row>
    <row r="307" spans="16:27" s="46" customFormat="1" ht="10.5" customHeight="1">
      <c r="P307" s="44"/>
      <c r="Q307" s="44"/>
      <c r="R307" s="44"/>
      <c r="U307" s="44"/>
      <c r="V307" s="45"/>
      <c r="Y307" s="47"/>
      <c r="Z307" s="47"/>
      <c r="AA307" s="47"/>
    </row>
    <row r="308" spans="16:27" s="46" customFormat="1" ht="10.5" customHeight="1">
      <c r="P308" s="44"/>
      <c r="Q308" s="44"/>
      <c r="R308" s="44"/>
      <c r="U308" s="44"/>
      <c r="V308" s="45"/>
      <c r="Y308" s="47"/>
      <c r="Z308" s="47"/>
      <c r="AA308" s="47"/>
    </row>
    <row r="309" spans="16:27" s="46" customFormat="1" ht="10.5" customHeight="1">
      <c r="P309" s="44"/>
      <c r="Q309" s="44"/>
      <c r="R309" s="44"/>
      <c r="U309" s="44"/>
      <c r="V309" s="45"/>
      <c r="Y309" s="47"/>
      <c r="Z309" s="47"/>
      <c r="AA309" s="47"/>
    </row>
    <row r="310" spans="16:27" s="46" customFormat="1" ht="10.5" customHeight="1">
      <c r="P310" s="44"/>
      <c r="Q310" s="44"/>
      <c r="R310" s="44"/>
      <c r="U310" s="44"/>
      <c r="V310" s="45"/>
      <c r="Y310" s="47"/>
      <c r="Z310" s="47"/>
      <c r="AA310" s="47"/>
    </row>
    <row r="311" spans="16:27" s="46" customFormat="1" ht="10.5" customHeight="1">
      <c r="P311" s="44"/>
      <c r="Q311" s="44"/>
      <c r="R311" s="44"/>
      <c r="U311" s="44"/>
      <c r="V311" s="45"/>
      <c r="Y311" s="47"/>
      <c r="Z311" s="47"/>
      <c r="AA311" s="47"/>
    </row>
    <row r="312" spans="16:27" s="46" customFormat="1" ht="10.5" customHeight="1">
      <c r="P312" s="44"/>
      <c r="Q312" s="44"/>
      <c r="R312" s="44"/>
      <c r="U312" s="44"/>
      <c r="V312" s="45"/>
      <c r="Y312" s="47"/>
      <c r="Z312" s="47"/>
      <c r="AA312" s="47"/>
    </row>
    <row r="313" spans="16:27" s="46" customFormat="1" ht="10.5" customHeight="1">
      <c r="P313" s="44"/>
      <c r="Q313" s="44"/>
      <c r="R313" s="44"/>
      <c r="U313" s="44"/>
      <c r="V313" s="45"/>
      <c r="Y313" s="47"/>
      <c r="Z313" s="47"/>
      <c r="AA313" s="47"/>
    </row>
    <row r="314" spans="16:27" s="46" customFormat="1" ht="10.5" customHeight="1">
      <c r="P314" s="44"/>
      <c r="Q314" s="44"/>
      <c r="R314" s="44"/>
      <c r="U314" s="44"/>
      <c r="V314" s="45"/>
      <c r="Y314" s="47"/>
      <c r="Z314" s="47"/>
      <c r="AA314" s="47"/>
    </row>
    <row r="315" spans="16:27" s="46" customFormat="1" ht="10.5" customHeight="1">
      <c r="P315" s="44"/>
      <c r="Q315" s="44"/>
      <c r="R315" s="44"/>
      <c r="U315" s="44"/>
      <c r="V315" s="45"/>
      <c r="Y315" s="47"/>
      <c r="Z315" s="47"/>
      <c r="AA315" s="47"/>
    </row>
    <row r="316" spans="16:27" s="46" customFormat="1" ht="10.5" customHeight="1">
      <c r="P316" s="44"/>
      <c r="Q316" s="44"/>
      <c r="R316" s="44"/>
      <c r="U316" s="44"/>
      <c r="V316" s="45"/>
      <c r="Y316" s="47"/>
      <c r="Z316" s="47"/>
      <c r="AA316" s="47"/>
    </row>
    <row r="317" spans="16:27" s="46" customFormat="1" ht="10.5" customHeight="1">
      <c r="P317" s="44"/>
      <c r="Q317" s="44"/>
      <c r="R317" s="44"/>
      <c r="U317" s="44"/>
      <c r="V317" s="45"/>
      <c r="Y317" s="47"/>
      <c r="Z317" s="47"/>
      <c r="AA317" s="47"/>
    </row>
    <row r="318" spans="16:27" s="46" customFormat="1" ht="10.5" customHeight="1">
      <c r="P318" s="44"/>
      <c r="Q318" s="44"/>
      <c r="R318" s="44"/>
      <c r="U318" s="44"/>
      <c r="V318" s="45"/>
      <c r="Y318" s="47"/>
      <c r="Z318" s="47"/>
      <c r="AA318" s="47"/>
    </row>
    <row r="319" spans="16:27" s="46" customFormat="1" ht="10.5" customHeight="1">
      <c r="P319" s="44"/>
      <c r="Q319" s="44"/>
      <c r="R319" s="44"/>
      <c r="U319" s="44"/>
      <c r="V319" s="45"/>
      <c r="Y319" s="47"/>
      <c r="Z319" s="47"/>
      <c r="AA319" s="47"/>
    </row>
    <row r="320" spans="16:27" s="46" customFormat="1" ht="10.5" customHeight="1">
      <c r="P320" s="44"/>
      <c r="Q320" s="44"/>
      <c r="R320" s="44"/>
      <c r="U320" s="44"/>
      <c r="V320" s="45"/>
      <c r="Y320" s="47"/>
      <c r="Z320" s="47"/>
      <c r="AA320" s="47"/>
    </row>
    <row r="321" spans="16:27" s="46" customFormat="1" ht="10.5" customHeight="1">
      <c r="P321" s="44"/>
      <c r="Q321" s="44"/>
      <c r="R321" s="44"/>
      <c r="U321" s="44"/>
      <c r="V321" s="45"/>
      <c r="Y321" s="47"/>
      <c r="Z321" s="47"/>
      <c r="AA321" s="47"/>
    </row>
    <row r="322" spans="16:27" s="46" customFormat="1" ht="10.5" customHeight="1">
      <c r="P322" s="44"/>
      <c r="Q322" s="44"/>
      <c r="R322" s="44"/>
      <c r="U322" s="44"/>
      <c r="V322" s="45"/>
      <c r="Y322" s="47"/>
      <c r="Z322" s="47"/>
      <c r="AA322" s="47"/>
    </row>
    <row r="323" spans="16:27" s="46" customFormat="1" ht="10.5" customHeight="1">
      <c r="P323" s="44"/>
      <c r="Q323" s="44"/>
      <c r="R323" s="44"/>
      <c r="U323" s="44"/>
      <c r="V323" s="45"/>
      <c r="Y323" s="47"/>
      <c r="Z323" s="47"/>
      <c r="AA323" s="47"/>
    </row>
    <row r="324" spans="16:27" s="46" customFormat="1" ht="10.5" customHeight="1">
      <c r="P324" s="44"/>
      <c r="Q324" s="44"/>
      <c r="R324" s="44"/>
      <c r="U324" s="44"/>
      <c r="V324" s="45"/>
      <c r="Y324" s="47"/>
      <c r="Z324" s="47"/>
      <c r="AA324" s="47"/>
    </row>
    <row r="325" spans="16:27" s="46" customFormat="1" ht="10.5" customHeight="1">
      <c r="P325" s="44"/>
      <c r="Q325" s="44"/>
      <c r="R325" s="44"/>
      <c r="U325" s="44"/>
      <c r="V325" s="45"/>
      <c r="Y325" s="47"/>
      <c r="Z325" s="47"/>
      <c r="AA325" s="47"/>
    </row>
    <row r="326" spans="16:27" s="46" customFormat="1" ht="10.5" customHeight="1">
      <c r="P326" s="44"/>
      <c r="Q326" s="44"/>
      <c r="R326" s="44"/>
      <c r="U326" s="44"/>
      <c r="V326" s="45"/>
      <c r="Y326" s="47"/>
      <c r="Z326" s="47"/>
      <c r="AA326" s="47"/>
    </row>
    <row r="327" spans="16:27" s="46" customFormat="1" ht="10.5" customHeight="1">
      <c r="P327" s="44"/>
      <c r="Q327" s="44"/>
      <c r="R327" s="44"/>
      <c r="U327" s="44"/>
      <c r="V327" s="45"/>
      <c r="Y327" s="47"/>
      <c r="Z327" s="47"/>
      <c r="AA327" s="47"/>
    </row>
    <row r="328" spans="16:27" s="46" customFormat="1" ht="10.5" customHeight="1">
      <c r="P328" s="44"/>
      <c r="Q328" s="44"/>
      <c r="R328" s="44"/>
      <c r="U328" s="44"/>
      <c r="V328" s="45"/>
      <c r="Y328" s="47"/>
      <c r="Z328" s="47"/>
      <c r="AA328" s="47"/>
    </row>
    <row r="329" spans="16:27" s="46" customFormat="1" ht="10.5" customHeight="1">
      <c r="P329" s="44"/>
      <c r="Q329" s="44"/>
      <c r="R329" s="44"/>
      <c r="U329" s="44"/>
      <c r="V329" s="45"/>
      <c r="Y329" s="47"/>
      <c r="Z329" s="47"/>
      <c r="AA329" s="47"/>
    </row>
    <row r="330" spans="16:27" s="46" customFormat="1" ht="10.5" customHeight="1">
      <c r="P330" s="44"/>
      <c r="Q330" s="44"/>
      <c r="R330" s="44"/>
      <c r="U330" s="44"/>
      <c r="V330" s="45"/>
      <c r="Y330" s="47"/>
      <c r="Z330" s="47"/>
      <c r="AA330" s="47"/>
    </row>
    <row r="331" spans="16:27" s="46" customFormat="1" ht="10.5" customHeight="1">
      <c r="P331" s="44"/>
      <c r="Q331" s="44"/>
      <c r="R331" s="44"/>
      <c r="U331" s="44"/>
      <c r="V331" s="45"/>
      <c r="Y331" s="47"/>
      <c r="Z331" s="47"/>
      <c r="AA331" s="47"/>
    </row>
    <row r="332" spans="16:27" s="46" customFormat="1" ht="10.5" customHeight="1">
      <c r="P332" s="44"/>
      <c r="Q332" s="44"/>
      <c r="R332" s="44"/>
      <c r="U332" s="44"/>
      <c r="V332" s="45"/>
      <c r="Y332" s="47"/>
      <c r="Z332" s="47"/>
      <c r="AA332" s="47"/>
    </row>
    <row r="333" spans="16:27" s="46" customFormat="1" ht="10.5" customHeight="1">
      <c r="P333" s="44"/>
      <c r="Q333" s="44"/>
      <c r="R333" s="44"/>
      <c r="U333" s="44"/>
      <c r="V333" s="45"/>
      <c r="Y333" s="47"/>
      <c r="Z333" s="47"/>
      <c r="AA333" s="47"/>
    </row>
    <row r="334" spans="16:27" s="46" customFormat="1" ht="10.5" customHeight="1">
      <c r="P334" s="44"/>
      <c r="Q334" s="44"/>
      <c r="R334" s="44"/>
      <c r="U334" s="44"/>
      <c r="V334" s="45"/>
      <c r="Y334" s="47"/>
      <c r="Z334" s="47"/>
      <c r="AA334" s="47"/>
    </row>
    <row r="335" spans="16:27" s="46" customFormat="1" ht="10.5" customHeight="1">
      <c r="P335" s="44"/>
      <c r="Q335" s="44"/>
      <c r="R335" s="44"/>
      <c r="U335" s="44"/>
      <c r="V335" s="45"/>
      <c r="Y335" s="47"/>
      <c r="Z335" s="47"/>
      <c r="AA335" s="47"/>
    </row>
    <row r="336" spans="16:27" s="46" customFormat="1" ht="10.5" customHeight="1">
      <c r="P336" s="44"/>
      <c r="Q336" s="44"/>
      <c r="R336" s="44"/>
      <c r="U336" s="44"/>
      <c r="V336" s="45"/>
      <c r="Y336" s="47"/>
      <c r="Z336" s="47"/>
      <c r="AA336" s="47"/>
    </row>
    <row r="337" spans="16:27" s="46" customFormat="1" ht="10.5" customHeight="1">
      <c r="P337" s="44"/>
      <c r="Q337" s="44"/>
      <c r="R337" s="44"/>
      <c r="U337" s="44"/>
      <c r="V337" s="45"/>
      <c r="Y337" s="47"/>
      <c r="Z337" s="47"/>
      <c r="AA337" s="47"/>
    </row>
    <row r="338" spans="16:27" ht="10.5" customHeight="1"/>
    <row r="339" spans="16:27" ht="10.5" customHeight="1"/>
    <row r="340" spans="16:27" ht="10.5" customHeight="1"/>
    <row r="341" spans="16:27" ht="10.5" customHeight="1"/>
    <row r="342" spans="16:27" ht="10.5" customHeight="1"/>
    <row r="343" spans="16:27" ht="10.5" customHeight="1"/>
    <row r="344" spans="16:27" ht="10.5" customHeight="1"/>
    <row r="345" spans="16:27" ht="10.5" customHeight="1"/>
    <row r="346" spans="16:27" ht="10.5" customHeight="1"/>
    <row r="347" spans="16:27" ht="10.5" customHeight="1"/>
    <row r="348" spans="16:27" ht="10.5" customHeight="1"/>
    <row r="349" spans="16:27" ht="10.5" customHeight="1"/>
    <row r="350" spans="16:27" ht="10.5" customHeight="1"/>
    <row r="351" spans="16:27" ht="10.5" customHeight="1"/>
    <row r="352" spans="16:27"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sheetData>
  <sheetProtection formatCells="0" formatRows="0" insertRows="0" deleteRows="0"/>
  <mergeCells count="12">
    <mergeCell ref="E54:W58"/>
    <mergeCell ref="O126:W126"/>
    <mergeCell ref="E59:P60"/>
    <mergeCell ref="E64:V65"/>
    <mergeCell ref="P122:W122"/>
    <mergeCell ref="O125:W125"/>
    <mergeCell ref="E61:F61"/>
    <mergeCell ref="Q127:W127"/>
    <mergeCell ref="Q128:W128"/>
    <mergeCell ref="Q129:W129"/>
    <mergeCell ref="B139:W139"/>
    <mergeCell ref="B140:W140"/>
  </mergeCells>
  <hyperlinks>
    <hyperlink ref="Q129" r:id="rId1" display="www.roedl.com" xr:uid="{00000000-0004-0000-2300-000000000000}"/>
  </hyperlinks>
  <pageMargins left="1.1417322834645669" right="0.23622047244094491" top="0.35433070866141736" bottom="0.19685039370078741" header="0.27559055118110237" footer="7.874015748031496E-2"/>
  <pageSetup fitToHeight="0" orientation="portrait" blackAndWhite="1" r:id="rId2"/>
  <rowBreaks count="1" manualBreakCount="1">
    <brk id="72" max="24" man="1"/>
  </rowBreaks>
  <colBreaks count="1" manualBreakCount="1">
    <brk id="26" max="71"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13">
    <pageSetUpPr fitToPage="1"/>
  </sheetPr>
  <dimension ref="A1:O251"/>
  <sheetViews>
    <sheetView showGridLines="0" view="pageBreakPreview" zoomScaleNormal="100" zoomScaleSheetLayoutView="100" workbookViewId="0">
      <selection activeCell="E16" sqref="E16"/>
    </sheetView>
  </sheetViews>
  <sheetFormatPr defaultColWidth="9.140625" defaultRowHeight="12.75"/>
  <cols>
    <col min="1" max="1" width="18.28515625" style="162" bestFit="1" customWidth="1"/>
    <col min="2" max="2" width="21.28515625" style="162" customWidth="1"/>
    <col min="3" max="3" width="16" style="162" customWidth="1"/>
    <col min="4" max="4" width="15.140625" style="162" customWidth="1"/>
    <col min="5" max="5" width="16" style="162" customWidth="1"/>
    <col min="6" max="6" width="14.28515625" style="162" customWidth="1"/>
    <col min="7" max="7" width="14.28515625" style="162" bestFit="1" customWidth="1"/>
    <col min="8" max="8" width="17.85546875" style="162" customWidth="1"/>
    <col min="9" max="9" width="14.28515625" style="162" bestFit="1" customWidth="1"/>
    <col min="10" max="10" width="12.7109375" style="162" customWidth="1"/>
    <col min="11" max="11" width="13.7109375" style="162" customWidth="1"/>
    <col min="12" max="12" width="38.140625" style="162" customWidth="1"/>
    <col min="13" max="13" width="18.140625" style="162" customWidth="1"/>
    <col min="14" max="14" width="14.28515625" style="162" bestFit="1" customWidth="1"/>
    <col min="15" max="15" width="13.42578125" style="162" customWidth="1"/>
    <col min="16" max="16384" width="9.140625" style="162"/>
  </cols>
  <sheetData>
    <row r="1" spans="1:15">
      <c r="B1" s="749" t="s">
        <v>3202</v>
      </c>
      <c r="C1" s="749"/>
      <c r="D1" s="749"/>
      <c r="E1" s="749"/>
      <c r="F1" s="749"/>
      <c r="G1" s="749"/>
      <c r="H1" s="749"/>
      <c r="I1" s="749"/>
      <c r="J1" s="749"/>
      <c r="K1" s="749"/>
    </row>
    <row r="2" spans="1:15">
      <c r="B2" s="465" t="str">
        <f>nazwa_spolki</f>
        <v>Rhenus Digital Workforce Sp. z o.o.</v>
      </c>
      <c r="C2" s="390"/>
      <c r="D2" s="390"/>
      <c r="E2" s="390"/>
      <c r="F2" s="390"/>
      <c r="G2" s="390"/>
      <c r="H2" s="390"/>
      <c r="I2" s="390"/>
      <c r="J2" s="466"/>
      <c r="K2" s="466"/>
    </row>
    <row r="3" spans="1:15" ht="40.5" customHeight="1">
      <c r="B3" s="129" t="str">
        <f>tytul</f>
        <v>Sprawozdanie finansowe sporządzone za rok obrotowy 2024</v>
      </c>
      <c r="C3" s="129"/>
      <c r="D3" s="129"/>
      <c r="E3" s="129"/>
      <c r="F3" s="129"/>
      <c r="G3" s="129"/>
      <c r="H3" s="129"/>
      <c r="I3" s="129"/>
      <c r="J3" s="467"/>
      <c r="K3" s="467"/>
      <c r="L3" s="459"/>
    </row>
    <row r="4" spans="1:15" s="157" customFormat="1" ht="20.25">
      <c r="B4" s="789" t="str">
        <f>"1.1.-1.2. "&amp;CHOOSE(jezyk,n!A613,n!B613,n!C613,n!D611)</f>
        <v>1.1.-1.2. DODATKOWE INFORMACJE I OBJAŚNIENIA</v>
      </c>
      <c r="C4" s="789"/>
      <c r="D4" s="789"/>
      <c r="E4" s="789"/>
      <c r="F4" s="789"/>
      <c r="G4" s="789"/>
      <c r="H4" s="158"/>
      <c r="I4" s="158"/>
      <c r="J4" s="158"/>
      <c r="K4" s="158"/>
      <c r="L4" s="162"/>
      <c r="M4" s="66"/>
      <c r="N4" s="158"/>
      <c r="O4" s="158"/>
    </row>
    <row r="5" spans="1:15" s="157" customFormat="1" ht="14.25" customHeight="1">
      <c r="B5" s="361"/>
      <c r="C5" s="361"/>
      <c r="D5" s="361"/>
      <c r="E5" s="361"/>
      <c r="F5" s="361"/>
      <c r="G5" s="361"/>
      <c r="H5" s="361"/>
      <c r="I5" s="361"/>
      <c r="L5" s="162"/>
      <c r="M5" s="66"/>
    </row>
    <row r="6" spans="1:15" s="157" customFormat="1" ht="20.25" customHeight="1">
      <c r="B6" s="787" t="str">
        <f>"1.1a. "&amp;CHOOSE(jezyk,n!A615,n!B615,n!C615,n!D613)</f>
        <v>1.1a. Zestawienie wartości niematerialnych i prawnych</v>
      </c>
      <c r="C6" s="787"/>
      <c r="D6" s="787"/>
      <c r="E6" s="787"/>
      <c r="F6" s="787"/>
      <c r="G6" s="787"/>
      <c r="H6" s="370"/>
      <c r="I6" s="370"/>
      <c r="J6" s="370"/>
      <c r="K6" s="370"/>
      <c r="L6" s="162"/>
      <c r="M6" s="66"/>
      <c r="N6" s="370"/>
      <c r="O6" s="370"/>
    </row>
    <row r="7" spans="1:15" s="157" customFormat="1" ht="12" customHeight="1">
      <c r="B7" s="366"/>
      <c r="C7" s="366"/>
      <c r="D7" s="366"/>
      <c r="E7" s="366"/>
      <c r="F7" s="366"/>
      <c r="G7" s="366"/>
      <c r="H7" s="366"/>
      <c r="I7" s="366"/>
      <c r="J7" s="366"/>
      <c r="K7" s="366"/>
      <c r="N7" s="366"/>
      <c r="O7" s="366"/>
    </row>
    <row r="8" spans="1:15" ht="16.5" hidden="1" customHeight="1">
      <c r="B8" s="731" t="str">
        <f>CHOOSE(jezyk,n!A643,n!B643,n!C643,n!D641)</f>
        <v>Pozycja nie wystąpiła zarówno w roku obrotowym 2024, jak i w roku poprzednim.</v>
      </c>
      <c r="C8" s="731"/>
      <c r="D8" s="731"/>
      <c r="E8" s="731"/>
      <c r="F8" s="731"/>
      <c r="G8" s="731"/>
      <c r="H8" s="130" t="s">
        <v>6785</v>
      </c>
      <c r="I8" s="370"/>
      <c r="J8" s="370"/>
      <c r="K8" s="370"/>
      <c r="M8" s="66"/>
    </row>
    <row r="9" spans="1:15" ht="8.1" hidden="1" customHeight="1">
      <c r="M9" s="66"/>
    </row>
    <row r="10" spans="1:15" s="363" customFormat="1" ht="15" customHeight="1">
      <c r="B10" s="774" t="str">
        <f>CHOOSE(jezyk,n!A616,n!B616,n!C616,n!D614)</f>
        <v>Rok obrotowy 2024</v>
      </c>
      <c r="C10" s="775"/>
    </row>
    <row r="12" spans="1:15" s="167" customFormat="1">
      <c r="A12" s="275"/>
      <c r="B12" s="778" t="str">
        <f>CHOOSE(jezyk,n!A618,n!B618,n!C618,n!D616)</f>
        <v>Opis</v>
      </c>
      <c r="C12" s="785" t="str">
        <f>CHOOSE(jezyk,n!A624,n!B624,n!C624,n!D622)</f>
        <v>Wartość brutto</v>
      </c>
      <c r="D12" s="785"/>
      <c r="E12" s="785"/>
      <c r="F12" s="785"/>
      <c r="G12" s="785"/>
    </row>
    <row r="13" spans="1:15" s="468" customFormat="1" ht="15" customHeight="1">
      <c r="B13" s="788"/>
      <c r="C13" s="786" t="str">
        <f>CHOOSE(jezyk,n!A626,n!B626,n!C626,n!D623)</f>
        <v>Stan na 
01.01.2024</v>
      </c>
      <c r="D13" s="791" t="str">
        <f>CHOOSE(jezyk,n!A628,n!B628,n!C628,n!D624)</f>
        <v>Zwiększenia, z tytułu nabycia</v>
      </c>
      <c r="E13" s="786" t="str">
        <f>CHOOSE(jezyk,n!A632,n!B632,n!C632,n!D630)</f>
        <v>Przemieszczenia 
wewnętrzne (+/-)</v>
      </c>
      <c r="F13" s="791" t="str">
        <f>CHOOSE(jezyk,n!A633,n!B633,n!C633,n!D631)</f>
        <v>Zmniejszenia z tytułu rozchodu</v>
      </c>
      <c r="G13" s="786" t="str">
        <f>CHOOSE(jezyk,n!A639,n!B639,n!C639,n!D635)</f>
        <v>Stan na 
31.12.2024</v>
      </c>
    </row>
    <row r="14" spans="1:15" s="468" customFormat="1" ht="22.5" customHeight="1">
      <c r="B14" s="779"/>
      <c r="C14" s="786"/>
      <c r="D14" s="792"/>
      <c r="E14" s="786"/>
      <c r="F14" s="792"/>
      <c r="G14" s="786"/>
    </row>
    <row r="15" spans="1:15" s="170" customFormat="1" ht="28.5" customHeight="1">
      <c r="A15" s="363"/>
      <c r="B15" s="469" t="str">
        <f>CHOOSE(jezyk,n!A619,n!B619,n!C619,n!D617)</f>
        <v>Koszty zakończonych prac rozwojowych</v>
      </c>
      <c r="C15" s="287">
        <f>G46</f>
        <v>0</v>
      </c>
      <c r="D15" s="288">
        <v>0</v>
      </c>
      <c r="E15" s="288">
        <v>0</v>
      </c>
      <c r="F15" s="288">
        <v>0</v>
      </c>
      <c r="G15" s="287">
        <f>C15+D15++E15-F15</f>
        <v>0</v>
      </c>
    </row>
    <row r="16" spans="1:15" s="170" customFormat="1" ht="26.25" customHeight="1">
      <c r="A16" s="363"/>
      <c r="B16" s="286" t="str">
        <f>CHOOSE(jezyk,n!A620,n!B620,n!C620,n!D618)</f>
        <v>Wartość firmy</v>
      </c>
      <c r="C16" s="287">
        <f>G47</f>
        <v>0</v>
      </c>
      <c r="D16" s="288">
        <v>32694.19</v>
      </c>
      <c r="E16" s="288">
        <v>0</v>
      </c>
      <c r="F16" s="288">
        <v>0</v>
      </c>
      <c r="G16" s="287">
        <f>C16+D16++E16-F16</f>
        <v>32694.19</v>
      </c>
    </row>
    <row r="17" spans="1:15" s="170" customFormat="1" ht="26.25" customHeight="1">
      <c r="A17" s="363"/>
      <c r="B17" s="286" t="str">
        <f>CHOOSE(jezyk,n!A621,n!B621,n!C621,n!D619)</f>
        <v>Inne wartości niematerialne i prawne</v>
      </c>
      <c r="C17" s="287">
        <f>G48</f>
        <v>0</v>
      </c>
      <c r="D17" s="288">
        <v>57369</v>
      </c>
      <c r="E17" s="288">
        <v>0</v>
      </c>
      <c r="F17" s="288">
        <v>0</v>
      </c>
      <c r="G17" s="287">
        <f>C17+D17++E17-F17</f>
        <v>57369</v>
      </c>
    </row>
    <row r="18" spans="1:15" s="170" customFormat="1" ht="29.25" customHeight="1">
      <c r="A18" s="363"/>
      <c r="B18" s="469" t="str">
        <f>CHOOSE(jezyk,n!A622,n!B622,n!C622,n!D620)</f>
        <v>Zaliczki na wartości niematerialne i prawne</v>
      </c>
      <c r="C18" s="287">
        <f>G49</f>
        <v>0</v>
      </c>
      <c r="D18" s="288">
        <v>0</v>
      </c>
      <c r="E18" s="288">
        <v>0</v>
      </c>
      <c r="F18" s="288">
        <v>0</v>
      </c>
      <c r="G18" s="287">
        <f>C18+D18++E18-F18</f>
        <v>0</v>
      </c>
    </row>
    <row r="19" spans="1:15" s="170" customFormat="1" ht="24" customHeight="1">
      <c r="A19" s="363"/>
      <c r="B19" s="286" t="str">
        <f>CHOOSE(jezyk,n!A623,n!B623,n!C623,n!D621)</f>
        <v>Ogółem</v>
      </c>
      <c r="C19" s="287">
        <f>SUM(C15:C18)</f>
        <v>0</v>
      </c>
      <c r="D19" s="287">
        <f>SUM(D15:D18)</f>
        <v>90063.19</v>
      </c>
      <c r="E19" s="287">
        <f>SUM(E15:E18)</f>
        <v>0</v>
      </c>
      <c r="F19" s="287">
        <f>SUM(F15:F18)</f>
        <v>0</v>
      </c>
      <c r="G19" s="287">
        <f>C19+D19++E19-F19</f>
        <v>90063.19</v>
      </c>
    </row>
    <row r="20" spans="1:15">
      <c r="H20" s="790"/>
      <c r="I20" s="790"/>
      <c r="J20" s="790"/>
      <c r="K20" s="790"/>
      <c r="L20" s="790"/>
      <c r="M20" s="790"/>
      <c r="N20" s="790"/>
      <c r="O20" s="790"/>
    </row>
    <row r="21" spans="1:15">
      <c r="B21" s="778" t="str">
        <f>B12</f>
        <v>Opis</v>
      </c>
      <c r="C21" s="795" t="str">
        <f>CHOOSE(jezyk,n!A640,n!B640,n!C640,n!D636)</f>
        <v>Umorzenie</v>
      </c>
      <c r="D21" s="796"/>
      <c r="E21" s="796"/>
      <c r="F21" s="796"/>
      <c r="G21" s="797"/>
    </row>
    <row r="22" spans="1:15">
      <c r="B22" s="788"/>
      <c r="C22" s="786" t="str">
        <f>CHOOSE(jezyk,n!A626,n!B626,n!C626,n!D623)</f>
        <v>Stan na 
01.01.2024</v>
      </c>
      <c r="D22" s="783" t="str">
        <f>CHOOSE(jezyk,n!A634,n!B634,n!C634,n!D632)</f>
        <v>Zwiększenia z tytułu umorzenia</v>
      </c>
      <c r="E22" s="786" t="str">
        <f>CHOOSE(jezyk,n!A632,n!B632,n!C632,n!D630)</f>
        <v>Przemieszczenia 
wewnętrzne (+/-)</v>
      </c>
      <c r="F22" s="783" t="str">
        <f>CHOOSE(jezyk,n!A636,n!B636,n!C636,n!D634)</f>
        <v>Zmniejszenia z tytułu rozchodu</v>
      </c>
      <c r="G22" s="786" t="str">
        <f>CHOOSE(jezyk,n!A639,n!B639,n!C639,n!D635)</f>
        <v>Stan na 
31.12.2024</v>
      </c>
    </row>
    <row r="23" spans="1:15" ht="38.25" customHeight="1">
      <c r="B23" s="779"/>
      <c r="C23" s="786"/>
      <c r="D23" s="784"/>
      <c r="E23" s="786"/>
      <c r="F23" s="784"/>
      <c r="G23" s="786"/>
    </row>
    <row r="24" spans="1:15" ht="32.25" customHeight="1">
      <c r="B24" s="469" t="str">
        <f>B15</f>
        <v>Koszty zakończonych prac rozwojowych</v>
      </c>
      <c r="C24" s="287">
        <f>G55</f>
        <v>0</v>
      </c>
      <c r="D24" s="288">
        <v>0</v>
      </c>
      <c r="E24" s="288">
        <v>0</v>
      </c>
      <c r="F24" s="288">
        <v>0</v>
      </c>
      <c r="G24" s="287">
        <f>C24+D24++E24-F24</f>
        <v>0</v>
      </c>
    </row>
    <row r="25" spans="1:15" ht="26.25" customHeight="1">
      <c r="B25" s="469" t="str">
        <f>B16</f>
        <v>Wartość firmy</v>
      </c>
      <c r="C25" s="287">
        <f>G56</f>
        <v>0</v>
      </c>
      <c r="D25" s="288">
        <v>4360.1899999999996</v>
      </c>
      <c r="E25" s="288">
        <v>0</v>
      </c>
      <c r="F25" s="288">
        <v>0</v>
      </c>
      <c r="G25" s="699">
        <f>C25+D25++E25-F25</f>
        <v>4360.1899999999996</v>
      </c>
    </row>
    <row r="26" spans="1:15" ht="25.5" customHeight="1">
      <c r="A26" s="363"/>
      <c r="B26" s="469" t="str">
        <f>B17</f>
        <v>Inne wartości niematerialne i prawne</v>
      </c>
      <c r="C26" s="287">
        <f>G57</f>
        <v>0</v>
      </c>
      <c r="D26" s="288">
        <v>6164</v>
      </c>
      <c r="E26" s="288">
        <v>0</v>
      </c>
      <c r="F26" s="288">
        <v>0</v>
      </c>
      <c r="G26" s="287">
        <f>C26+D26++E26-F26</f>
        <v>6164</v>
      </c>
    </row>
    <row r="27" spans="1:15" ht="30.75" customHeight="1">
      <c r="A27" s="363"/>
      <c r="B27" s="469" t="str">
        <f>B18</f>
        <v>Zaliczki na wartości niematerialne i prawne</v>
      </c>
      <c r="C27" s="287">
        <f>G58</f>
        <v>0</v>
      </c>
      <c r="D27" s="288">
        <v>0</v>
      </c>
      <c r="E27" s="288">
        <v>0</v>
      </c>
      <c r="F27" s="288">
        <v>0</v>
      </c>
      <c r="G27" s="287">
        <f>C27+D27++E27-F27</f>
        <v>0</v>
      </c>
    </row>
    <row r="28" spans="1:15" ht="24" customHeight="1">
      <c r="B28" s="286" t="str">
        <f>B19</f>
        <v>Ogółem</v>
      </c>
      <c r="C28" s="287">
        <f>SUM(C24:C27)</f>
        <v>0</v>
      </c>
      <c r="D28" s="287">
        <f>SUM(D24:D27)</f>
        <v>10524.189999999999</v>
      </c>
      <c r="E28" s="287">
        <f>SUM(E24:E27)</f>
        <v>0</v>
      </c>
      <c r="F28" s="287">
        <f>SUM(F24:F27)</f>
        <v>0</v>
      </c>
      <c r="G28" s="287">
        <f>C28+D28++E28-F28</f>
        <v>10524.189999999999</v>
      </c>
    </row>
    <row r="30" spans="1:15">
      <c r="B30" s="782" t="str">
        <f>B21</f>
        <v>Opis</v>
      </c>
      <c r="C30" s="785" t="str">
        <f>CHOOSE(jezyk,n!A642,n!B642,n!C642,n!D640)</f>
        <v>Wartość netto</v>
      </c>
      <c r="D30" s="785"/>
      <c r="E30" s="785"/>
      <c r="F30" s="785"/>
    </row>
    <row r="31" spans="1:15" ht="12.75" customHeight="1">
      <c r="B31" s="782"/>
      <c r="C31" s="786" t="str">
        <f>CHOOSE(jezyk,n!A626,n!B626,n!C626,n!D623)</f>
        <v>Stan na 
01.01.2024</v>
      </c>
      <c r="D31" s="786"/>
      <c r="E31" s="782" t="str">
        <f>CHOOSE(jezyk,n!A639,n!B639,n!C639,n!D635)</f>
        <v>Stan na 
31.12.2024</v>
      </c>
      <c r="F31" s="782"/>
      <c r="I31" s="468"/>
    </row>
    <row r="32" spans="1:15" ht="17.25" customHeight="1">
      <c r="B32" s="782"/>
      <c r="C32" s="786"/>
      <c r="D32" s="786"/>
      <c r="E32" s="782"/>
      <c r="F32" s="782"/>
      <c r="H32" s="470" t="str">
        <f>dzb</f>
        <v>31.12.2024</v>
      </c>
      <c r="I32" s="335" t="str">
        <f>pdz</f>
        <v>31.12.2023</v>
      </c>
    </row>
    <row r="33" spans="1:9" ht="30" customHeight="1">
      <c r="B33" s="286" t="str">
        <f>B24</f>
        <v>Koszty zakończonych prac rozwojowych</v>
      </c>
      <c r="C33" s="793">
        <f>C15-C24</f>
        <v>0</v>
      </c>
      <c r="D33" s="793"/>
      <c r="E33" s="793">
        <f>G15-G24</f>
        <v>0</v>
      </c>
      <c r="F33" s="793"/>
      <c r="H33" s="471">
        <f>ROUND(E33-Bilans!J13,2)</f>
        <v>0</v>
      </c>
      <c r="I33" s="471">
        <f>ROUND(C33-Bilans!K13,2)</f>
        <v>0</v>
      </c>
    </row>
    <row r="34" spans="1:9" ht="21" customHeight="1">
      <c r="B34" s="286" t="str">
        <f>B25</f>
        <v>Wartość firmy</v>
      </c>
      <c r="C34" s="793">
        <f>C16-C25</f>
        <v>0</v>
      </c>
      <c r="D34" s="793"/>
      <c r="E34" s="793">
        <f>G16-G25</f>
        <v>28334</v>
      </c>
      <c r="F34" s="793"/>
      <c r="H34" s="471">
        <f>ROUND(E34-Bilans!J14,2)</f>
        <v>0</v>
      </c>
      <c r="I34" s="471">
        <f>ROUND(C34-Bilans!K14,2)</f>
        <v>0</v>
      </c>
    </row>
    <row r="35" spans="1:9" ht="24.75" customHeight="1">
      <c r="A35" s="363"/>
      <c r="B35" s="286" t="str">
        <f>B26</f>
        <v>Inne wartości niematerialne i prawne</v>
      </c>
      <c r="C35" s="793">
        <f>C17-C26</f>
        <v>0</v>
      </c>
      <c r="D35" s="793"/>
      <c r="E35" s="793">
        <f>G17-G26</f>
        <v>51205</v>
      </c>
      <c r="F35" s="793"/>
      <c r="H35" s="471">
        <f>ROUND(E35-Bilans!J15,2)</f>
        <v>0</v>
      </c>
      <c r="I35" s="471">
        <f>ROUND(C35-Bilans!K15,2)</f>
        <v>0</v>
      </c>
    </row>
    <row r="36" spans="1:9" ht="26.25" customHeight="1">
      <c r="A36" s="363"/>
      <c r="B36" s="286" t="str">
        <f>B27</f>
        <v>Zaliczki na wartości niematerialne i prawne</v>
      </c>
      <c r="C36" s="793">
        <f>C18-C27</f>
        <v>0</v>
      </c>
      <c r="D36" s="793"/>
      <c r="E36" s="793">
        <f>G18-G27</f>
        <v>0</v>
      </c>
      <c r="F36" s="793"/>
      <c r="H36" s="471">
        <f>ROUND(E36-Bilans!J16,2)</f>
        <v>0</v>
      </c>
      <c r="I36" s="471">
        <f>ROUND(C36-Bilans!K16,2)</f>
        <v>0</v>
      </c>
    </row>
    <row r="37" spans="1:9" ht="22.5" customHeight="1">
      <c r="B37" s="286" t="str">
        <f>B28</f>
        <v>Ogółem</v>
      </c>
      <c r="C37" s="793">
        <f>SUM(C33:C36)</f>
        <v>0</v>
      </c>
      <c r="D37" s="793"/>
      <c r="E37" s="793">
        <f>SUM(E33:E36)</f>
        <v>79539</v>
      </c>
      <c r="F37" s="793"/>
      <c r="H37" s="471">
        <f>ROUND(E37-Bilans!J11,2)</f>
        <v>0</v>
      </c>
      <c r="I37" s="471">
        <f>ROUND(C37-Bilans!K11,2)</f>
        <v>0</v>
      </c>
    </row>
    <row r="38" spans="1:9" ht="21.75" customHeight="1">
      <c r="B38" s="170"/>
      <c r="C38" s="135"/>
      <c r="D38" s="135"/>
      <c r="H38" s="472">
        <f>SUM(H33:H37)</f>
        <v>0</v>
      </c>
      <c r="I38" s="472">
        <f>SUM(I33:I37)</f>
        <v>0</v>
      </c>
    </row>
    <row r="39" spans="1:9" ht="16.5">
      <c r="B39" s="787" t="str">
        <f>B6</f>
        <v>1.1a. Zestawienie wartości niematerialnych i prawnych</v>
      </c>
      <c r="C39" s="787"/>
      <c r="D39" s="787"/>
      <c r="E39" s="787"/>
      <c r="F39" s="787"/>
      <c r="G39" s="787"/>
    </row>
    <row r="40" spans="1:9" ht="14.25" customHeight="1">
      <c r="B40" s="366"/>
      <c r="C40" s="366"/>
      <c r="D40" s="366"/>
      <c r="E40" s="366"/>
      <c r="F40" s="366"/>
      <c r="G40" s="366"/>
    </row>
    <row r="41" spans="1:9" s="363" customFormat="1" ht="15" customHeight="1">
      <c r="B41" s="774" t="str">
        <f>CHOOSE(jezyk,n!A617,n!B617,n!C617,n!D615)</f>
        <v>Rok obrotowy 2023</v>
      </c>
      <c r="C41" s="775"/>
    </row>
    <row r="43" spans="1:9">
      <c r="B43" s="778" t="str">
        <f>B12</f>
        <v>Opis</v>
      </c>
      <c r="C43" s="785" t="str">
        <f>C12</f>
        <v>Wartość brutto</v>
      </c>
      <c r="D43" s="785"/>
      <c r="E43" s="785"/>
      <c r="F43" s="785"/>
      <c r="G43" s="785"/>
    </row>
    <row r="44" spans="1:9" ht="12.75" customHeight="1">
      <c r="B44" s="788"/>
      <c r="C44" s="786" t="str">
        <f>CHOOSE(jezyk,n!A627,n!B627,n!C627,n!D627)</f>
        <v>Stan na 
01.01.2023</v>
      </c>
      <c r="D44" s="786" t="str">
        <f>D13</f>
        <v>Zwiększenia, z tytułu nabycia</v>
      </c>
      <c r="E44" s="786" t="str">
        <f>E13</f>
        <v>Przemieszczenia 
wewnętrzne (+/-)</v>
      </c>
      <c r="F44" s="786" t="str">
        <f>F13</f>
        <v>Zmniejszenia z tytułu rozchodu</v>
      </c>
      <c r="G44" s="786" t="str">
        <f>CHOOSE(jezyk,n!A638,n!B638,n!C638,n!D638)</f>
        <v>Stan na 
31.12.2023</v>
      </c>
    </row>
    <row r="45" spans="1:9" ht="24" customHeight="1">
      <c r="B45" s="779"/>
      <c r="C45" s="786"/>
      <c r="D45" s="786"/>
      <c r="E45" s="786"/>
      <c r="F45" s="786"/>
      <c r="G45" s="786"/>
    </row>
    <row r="46" spans="1:9" ht="31.5" customHeight="1">
      <c r="B46" s="469" t="str">
        <f>B15</f>
        <v>Koszty zakończonych prac rozwojowych</v>
      </c>
      <c r="C46" s="288">
        <v>0</v>
      </c>
      <c r="D46" s="288">
        <v>0</v>
      </c>
      <c r="E46" s="288">
        <v>0</v>
      </c>
      <c r="F46" s="288">
        <v>0</v>
      </c>
      <c r="G46" s="287">
        <f>C46+D46++E46-F46</f>
        <v>0</v>
      </c>
    </row>
    <row r="47" spans="1:9" ht="30" customHeight="1">
      <c r="B47" s="469" t="str">
        <f>B16</f>
        <v>Wartość firmy</v>
      </c>
      <c r="C47" s="288">
        <v>0</v>
      </c>
      <c r="D47" s="288">
        <v>0</v>
      </c>
      <c r="E47" s="288">
        <v>0</v>
      </c>
      <c r="F47" s="288">
        <v>0</v>
      </c>
      <c r="G47" s="287">
        <f>C47+D47++E47-F47</f>
        <v>0</v>
      </c>
    </row>
    <row r="48" spans="1:9" ht="30" customHeight="1">
      <c r="A48" s="363"/>
      <c r="B48" s="469" t="str">
        <f>B17</f>
        <v>Inne wartości niematerialne i prawne</v>
      </c>
      <c r="C48" s="288">
        <v>0</v>
      </c>
      <c r="D48" s="288">
        <v>0</v>
      </c>
      <c r="E48" s="288">
        <v>0</v>
      </c>
      <c r="F48" s="288">
        <v>0</v>
      </c>
      <c r="G48" s="287">
        <f>C48+D48++E48-F48</f>
        <v>0</v>
      </c>
    </row>
    <row r="49" spans="1:8" ht="30.75" customHeight="1">
      <c r="A49" s="363"/>
      <c r="B49" s="469" t="str">
        <f>B18</f>
        <v>Zaliczki na wartości niematerialne i prawne</v>
      </c>
      <c r="C49" s="288">
        <v>0</v>
      </c>
      <c r="D49" s="288">
        <v>0</v>
      </c>
      <c r="E49" s="288">
        <v>0</v>
      </c>
      <c r="F49" s="288">
        <v>0</v>
      </c>
      <c r="G49" s="287">
        <f>C49+D49++E49-F49</f>
        <v>0</v>
      </c>
    </row>
    <row r="50" spans="1:8" ht="30" customHeight="1">
      <c r="B50" s="286" t="str">
        <f>B19</f>
        <v>Ogółem</v>
      </c>
      <c r="C50" s="287">
        <f>SUM(C46:C49)</f>
        <v>0</v>
      </c>
      <c r="D50" s="287">
        <f>SUM(D46:D49)</f>
        <v>0</v>
      </c>
      <c r="E50" s="287">
        <f>SUM(E46:E49)</f>
        <v>0</v>
      </c>
      <c r="F50" s="287">
        <f>SUM(F46:F49)</f>
        <v>0</v>
      </c>
      <c r="G50" s="287">
        <f>C50+D50++E50-F50</f>
        <v>0</v>
      </c>
    </row>
    <row r="52" spans="1:8">
      <c r="B52" s="782" t="str">
        <f>B21</f>
        <v>Opis</v>
      </c>
      <c r="C52" s="795" t="str">
        <f>C21</f>
        <v>Umorzenie</v>
      </c>
      <c r="D52" s="796"/>
      <c r="E52" s="796"/>
      <c r="F52" s="796"/>
      <c r="G52" s="797"/>
    </row>
    <row r="53" spans="1:8" ht="12.75" customHeight="1">
      <c r="B53" s="782"/>
      <c r="C53" s="786" t="str">
        <f>C44</f>
        <v>Stan na 
01.01.2023</v>
      </c>
      <c r="D53" s="786" t="str">
        <f>D22</f>
        <v>Zwiększenia z tytułu umorzenia</v>
      </c>
      <c r="E53" s="786" t="str">
        <f>E22</f>
        <v>Przemieszczenia 
wewnętrzne (+/-)</v>
      </c>
      <c r="F53" s="786" t="str">
        <f>F22</f>
        <v>Zmniejszenia z tytułu rozchodu</v>
      </c>
      <c r="G53" s="786" t="str">
        <f>G44</f>
        <v>Stan na 
31.12.2023</v>
      </c>
    </row>
    <row r="54" spans="1:8" ht="36" customHeight="1">
      <c r="B54" s="782"/>
      <c r="C54" s="786"/>
      <c r="D54" s="786"/>
      <c r="E54" s="786"/>
      <c r="F54" s="786"/>
      <c r="G54" s="786"/>
    </row>
    <row r="55" spans="1:8" ht="30.75" customHeight="1">
      <c r="B55" s="469" t="str">
        <f>B24</f>
        <v>Koszty zakończonych prac rozwojowych</v>
      </c>
      <c r="C55" s="288">
        <v>0</v>
      </c>
      <c r="D55" s="288">
        <v>0</v>
      </c>
      <c r="E55" s="288">
        <v>0</v>
      </c>
      <c r="F55" s="288">
        <v>0</v>
      </c>
      <c r="G55" s="287">
        <f>C55+D55++E55-F55</f>
        <v>0</v>
      </c>
    </row>
    <row r="56" spans="1:8" ht="30" customHeight="1">
      <c r="B56" s="469" t="str">
        <f>B25</f>
        <v>Wartość firmy</v>
      </c>
      <c r="C56" s="288">
        <v>0</v>
      </c>
      <c r="D56" s="288">
        <v>0</v>
      </c>
      <c r="E56" s="288">
        <v>0</v>
      </c>
      <c r="F56" s="288">
        <v>0</v>
      </c>
      <c r="G56" s="287">
        <f>C56+D56++E56-F56</f>
        <v>0</v>
      </c>
    </row>
    <row r="57" spans="1:8" ht="30" customHeight="1">
      <c r="A57" s="363"/>
      <c r="B57" s="469" t="str">
        <f>B26</f>
        <v>Inne wartości niematerialne i prawne</v>
      </c>
      <c r="C57" s="288">
        <v>0</v>
      </c>
      <c r="D57" s="288">
        <v>0</v>
      </c>
      <c r="E57" s="288">
        <v>0</v>
      </c>
      <c r="F57" s="288">
        <v>0</v>
      </c>
      <c r="G57" s="287">
        <f>C57+D57++E57-F57</f>
        <v>0</v>
      </c>
    </row>
    <row r="58" spans="1:8" ht="32.25" customHeight="1">
      <c r="A58" s="363"/>
      <c r="B58" s="469" t="str">
        <f>B27</f>
        <v>Zaliczki na wartości niematerialne i prawne</v>
      </c>
      <c r="C58" s="288">
        <v>0</v>
      </c>
      <c r="D58" s="288">
        <v>0</v>
      </c>
      <c r="E58" s="288">
        <v>0</v>
      </c>
      <c r="F58" s="288">
        <v>0</v>
      </c>
      <c r="G58" s="287">
        <f>C58+D58++E58-F58</f>
        <v>0</v>
      </c>
    </row>
    <row r="59" spans="1:8" ht="30" customHeight="1">
      <c r="B59" s="286" t="str">
        <f>B28</f>
        <v>Ogółem</v>
      </c>
      <c r="C59" s="287">
        <f>SUM(C55:C58)</f>
        <v>0</v>
      </c>
      <c r="D59" s="287">
        <f>SUM(D55:D58)</f>
        <v>0</v>
      </c>
      <c r="E59" s="287">
        <f>SUM(E55:E58)</f>
        <v>0</v>
      </c>
      <c r="F59" s="287">
        <f>SUM(F55:F58)</f>
        <v>0</v>
      </c>
      <c r="G59" s="287">
        <f>C59+D59++E59-F59</f>
        <v>0</v>
      </c>
    </row>
    <row r="60" spans="1:8">
      <c r="B60" s="473"/>
      <c r="C60" s="473"/>
      <c r="D60" s="473"/>
    </row>
    <row r="61" spans="1:8">
      <c r="B61" s="782" t="str">
        <f>B52</f>
        <v>Opis</v>
      </c>
      <c r="C61" s="785" t="str">
        <f>C30</f>
        <v>Wartość netto</v>
      </c>
      <c r="D61" s="785"/>
      <c r="E61" s="785"/>
      <c r="F61" s="785"/>
    </row>
    <row r="62" spans="1:8" ht="12.75" customHeight="1">
      <c r="B62" s="782"/>
      <c r="C62" s="786" t="str">
        <f>C44</f>
        <v>Stan na 
01.01.2023</v>
      </c>
      <c r="D62" s="786"/>
      <c r="E62" s="786" t="str">
        <f>G44</f>
        <v>Stan na 
31.12.2023</v>
      </c>
      <c r="F62" s="786"/>
    </row>
    <row r="63" spans="1:8" ht="16.5" customHeight="1">
      <c r="B63" s="782"/>
      <c r="C63" s="786"/>
      <c r="D63" s="786"/>
      <c r="E63" s="786"/>
      <c r="F63" s="786"/>
      <c r="H63" s="335" t="str">
        <f>pdz</f>
        <v>31.12.2023</v>
      </c>
    </row>
    <row r="64" spans="1:8" ht="30" customHeight="1">
      <c r="B64" s="286" t="str">
        <f>B55</f>
        <v>Koszty zakończonych prac rozwojowych</v>
      </c>
      <c r="C64" s="793">
        <f>C46-C55</f>
        <v>0</v>
      </c>
      <c r="D64" s="793"/>
      <c r="E64" s="793">
        <f>G46-G55</f>
        <v>0</v>
      </c>
      <c r="F64" s="793"/>
      <c r="H64" s="474">
        <f>E64-C33</f>
        <v>0</v>
      </c>
    </row>
    <row r="65" spans="1:8" ht="22.5" customHeight="1">
      <c r="B65" s="286" t="str">
        <f>B56</f>
        <v>Wartość firmy</v>
      </c>
      <c r="C65" s="793">
        <f>C47-C56</f>
        <v>0</v>
      </c>
      <c r="D65" s="793"/>
      <c r="E65" s="793">
        <f>G47-G56</f>
        <v>0</v>
      </c>
      <c r="F65" s="793"/>
      <c r="H65" s="474">
        <f>E65-C34</f>
        <v>0</v>
      </c>
    </row>
    <row r="66" spans="1:8" ht="24" customHeight="1">
      <c r="A66" s="363"/>
      <c r="B66" s="286" t="str">
        <f>B57</f>
        <v>Inne wartości niematerialne i prawne</v>
      </c>
      <c r="C66" s="793">
        <f>C48-C57</f>
        <v>0</v>
      </c>
      <c r="D66" s="793"/>
      <c r="E66" s="793">
        <f>G48-G57</f>
        <v>0</v>
      </c>
      <c r="F66" s="793"/>
      <c r="H66" s="474">
        <f>E66-C35</f>
        <v>0</v>
      </c>
    </row>
    <row r="67" spans="1:8" ht="27.75" customHeight="1">
      <c r="A67" s="363"/>
      <c r="B67" s="469" t="str">
        <f>B58</f>
        <v>Zaliczki na wartości niematerialne i prawne</v>
      </c>
      <c r="C67" s="793">
        <f>C49-C58</f>
        <v>0</v>
      </c>
      <c r="D67" s="793"/>
      <c r="E67" s="793">
        <f>G49-G58</f>
        <v>0</v>
      </c>
      <c r="F67" s="793"/>
      <c r="H67" s="474">
        <f>E67-C36</f>
        <v>0</v>
      </c>
    </row>
    <row r="68" spans="1:8" ht="25.5" customHeight="1">
      <c r="B68" s="286" t="str">
        <f>B59</f>
        <v>Ogółem</v>
      </c>
      <c r="C68" s="793">
        <f>SUM(C64:C67)</f>
        <v>0</v>
      </c>
      <c r="D68" s="793"/>
      <c r="E68" s="793">
        <f>SUM(E64:E67)</f>
        <v>0</v>
      </c>
      <c r="F68" s="793"/>
      <c r="H68" s="474">
        <f>E68-C37</f>
        <v>0</v>
      </c>
    </row>
    <row r="70" spans="1:8" ht="16.5">
      <c r="B70" s="787" t="str">
        <f>"1.1b. "&amp;CHOOSE(jezyk,n!A646,n!B646,n!C646,n!D643)</f>
        <v>1.1b. Zestawienie rzeczowych aktywów trwałych</v>
      </c>
      <c r="C70" s="787"/>
      <c r="D70" s="787"/>
      <c r="E70" s="787"/>
      <c r="F70" s="787"/>
      <c r="G70" s="787"/>
    </row>
    <row r="71" spans="1:8" ht="13.5" customHeight="1">
      <c r="B71" s="366"/>
      <c r="C71" s="366"/>
      <c r="D71" s="366"/>
      <c r="E71" s="366"/>
      <c r="F71" s="366"/>
      <c r="G71" s="366"/>
    </row>
    <row r="72" spans="1:8" ht="13.5" hidden="1" customHeight="1">
      <c r="B72" s="731" t="str">
        <f>IF(GA!F75&lt;&gt;"nie",CHOOSE(jezyk,n!A643,n!B643,n!C643,n!D641),CHOOSE(jezyk,n!A644,n!B644,n!C644,n!D644))</f>
        <v>Pozycja nie wystąpiła zarówno w roku obrotowym 2024, jak i w roku poprzednim.</v>
      </c>
      <c r="C72" s="731"/>
      <c r="D72" s="731"/>
      <c r="E72" s="731"/>
      <c r="F72" s="731"/>
      <c r="G72" s="731"/>
      <c r="H72" s="130" t="s">
        <v>6785</v>
      </c>
    </row>
    <row r="73" spans="1:8" ht="13.5" hidden="1" customHeight="1">
      <c r="B73" s="366"/>
      <c r="C73" s="366"/>
      <c r="D73" s="366"/>
      <c r="E73" s="366"/>
      <c r="F73" s="366"/>
      <c r="G73" s="366"/>
    </row>
    <row r="74" spans="1:8" s="363" customFormat="1" ht="15" customHeight="1">
      <c r="B74" s="774" t="str">
        <f>CHOOSE(jezyk,n!A616,n!B616,n!C616,n!D614)</f>
        <v>Rok obrotowy 2024</v>
      </c>
      <c r="C74" s="775"/>
      <c r="D74" s="366"/>
      <c r="E74" s="366"/>
      <c r="F74" s="366"/>
      <c r="G74" s="366"/>
    </row>
    <row r="76" spans="1:8">
      <c r="B76" s="778" t="str">
        <f>CHOOSE(jezyk,n!A618,n!B618,n!C618,n!D616)</f>
        <v>Opis</v>
      </c>
      <c r="C76" s="785" t="str">
        <f>CHOOSE(jezyk,n!A624,n!B624,n!C624,n!D622)</f>
        <v>Wartość brutto</v>
      </c>
      <c r="D76" s="785"/>
      <c r="E76" s="785"/>
      <c r="F76" s="785"/>
      <c r="G76" s="785"/>
    </row>
    <row r="77" spans="1:8">
      <c r="B77" s="788"/>
      <c r="C77" s="786" t="str">
        <f>CHOOSE(jezyk,n!A626,n!B626,n!C626,n!D623)</f>
        <v>Stan na 
01.01.2024</v>
      </c>
      <c r="D77" s="783" t="str">
        <f>CHOOSE(jezyk,n!A628,n!B628,n!C628,n!D624)</f>
        <v>Zwiększenia, z tytułu nabycia</v>
      </c>
      <c r="E77" s="786" t="str">
        <f>CHOOSE(jezyk,n!A632,n!B632,n!C632,n!D630)</f>
        <v>Przemieszczenia 
wewnętrzne (+/-)</v>
      </c>
      <c r="F77" s="783" t="str">
        <f>CHOOSE(jezyk,n!A636,n!B636,n!C636,n!D634)</f>
        <v>Zmniejszenia z tytułu rozchodu</v>
      </c>
      <c r="G77" s="786" t="str">
        <f>CHOOSE(jezyk,n!A639,n!B639,n!C639,n!D635)</f>
        <v>Stan na 
31.12.2024</v>
      </c>
    </row>
    <row r="78" spans="1:8" ht="26.25" customHeight="1">
      <c r="B78" s="779"/>
      <c r="C78" s="786"/>
      <c r="D78" s="784"/>
      <c r="E78" s="786"/>
      <c r="F78" s="784"/>
      <c r="G78" s="786"/>
    </row>
    <row r="79" spans="1:8" ht="37.15" customHeight="1">
      <c r="B79" s="286" t="str">
        <f>CHOOSE(jezyk,n!A647,n!B647,n!C647,n!D645)</f>
        <v>Grunty (w tym prawo użytkowania wieczystego gruntu)</v>
      </c>
      <c r="C79" s="287">
        <f>G123</f>
        <v>0</v>
      </c>
      <c r="D79" s="288">
        <v>0</v>
      </c>
      <c r="E79" s="288">
        <v>0</v>
      </c>
      <c r="F79" s="288">
        <v>0</v>
      </c>
      <c r="G79" s="287">
        <f>C79+D79+E79-F79</f>
        <v>0</v>
      </c>
    </row>
    <row r="80" spans="1:8" ht="39" customHeight="1">
      <c r="A80" s="363"/>
      <c r="B80" s="286" t="str">
        <f>CHOOSE(jezyk,n!A648,n!B648,n!C648,n!D646)</f>
        <v>Budynki, lokale, prawa do lokali i obiekty inżynierii lądowej i wodnej</v>
      </c>
      <c r="C80" s="287">
        <f t="shared" ref="C80:C85" si="0">G124</f>
        <v>0</v>
      </c>
      <c r="D80" s="288">
        <v>0</v>
      </c>
      <c r="E80" s="288">
        <v>0</v>
      </c>
      <c r="F80" s="288">
        <v>0</v>
      </c>
      <c r="G80" s="287">
        <f t="shared" ref="G80:G85" si="1">C80+D80+E80-F80</f>
        <v>0</v>
      </c>
    </row>
    <row r="81" spans="2:7" ht="25.5">
      <c r="B81" s="286" t="str">
        <f>CHOOSE(jezyk,n!A649,n!B649,n!C649,n!D647)</f>
        <v>Urządzenia techniczne i maszyny</v>
      </c>
      <c r="C81" s="287">
        <f t="shared" si="0"/>
        <v>0</v>
      </c>
      <c r="D81" s="288">
        <v>323680</v>
      </c>
      <c r="E81" s="288">
        <v>0</v>
      </c>
      <c r="F81" s="288">
        <v>0</v>
      </c>
      <c r="G81" s="287">
        <f t="shared" si="1"/>
        <v>323680</v>
      </c>
    </row>
    <row r="82" spans="2:7" ht="27.95" customHeight="1">
      <c r="B82" s="286" t="str">
        <f>CHOOSE(jezyk,n!A650,n!B650,n!C650,n!D648)</f>
        <v>Środki transportu</v>
      </c>
      <c r="C82" s="287">
        <f t="shared" si="0"/>
        <v>0</v>
      </c>
      <c r="D82" s="288">
        <v>0</v>
      </c>
      <c r="E82" s="288">
        <v>0</v>
      </c>
      <c r="F82" s="288">
        <v>0</v>
      </c>
      <c r="G82" s="287">
        <f t="shared" si="1"/>
        <v>0</v>
      </c>
    </row>
    <row r="83" spans="2:7" ht="27.95" customHeight="1">
      <c r="B83" s="286" t="str">
        <f>CHOOSE(jezyk,n!A651,n!B651,n!C651,n!D649)</f>
        <v>Inne środki trwałe</v>
      </c>
      <c r="C83" s="287">
        <f t="shared" si="0"/>
        <v>0</v>
      </c>
      <c r="D83" s="288">
        <v>0</v>
      </c>
      <c r="E83" s="288">
        <v>0</v>
      </c>
      <c r="F83" s="288">
        <v>0</v>
      </c>
      <c r="G83" s="287">
        <f t="shared" si="1"/>
        <v>0</v>
      </c>
    </row>
    <row r="84" spans="2:7" ht="27.95" customHeight="1">
      <c r="B84" s="286" t="str">
        <f>CHOOSE(jezyk,n!A652,n!B652,n!C652,n!D650)</f>
        <v>Środki trwałe w budowie</v>
      </c>
      <c r="C84" s="287">
        <f t="shared" si="0"/>
        <v>0</v>
      </c>
      <c r="D84" s="288">
        <v>0</v>
      </c>
      <c r="E84" s="288">
        <v>0</v>
      </c>
      <c r="F84" s="288">
        <v>0</v>
      </c>
      <c r="G84" s="287">
        <f t="shared" si="1"/>
        <v>0</v>
      </c>
    </row>
    <row r="85" spans="2:7" ht="28.5" customHeight="1">
      <c r="B85" s="469" t="str">
        <f>CHOOSE(jezyk,n!A653,n!B653,n!C653,n!D651)</f>
        <v>Zaliczki na środki trwałe w budowie</v>
      </c>
      <c r="C85" s="287">
        <f t="shared" si="0"/>
        <v>0</v>
      </c>
      <c r="D85" s="288">
        <v>0</v>
      </c>
      <c r="E85" s="288">
        <v>0</v>
      </c>
      <c r="F85" s="288">
        <v>0</v>
      </c>
      <c r="G85" s="287">
        <f t="shared" si="1"/>
        <v>0</v>
      </c>
    </row>
    <row r="86" spans="2:7" ht="27.95" hidden="1" customHeight="1">
      <c r="B86" s="286" t="str">
        <f>CHOOSE(jezyk,n!A623,n!B623,n!C623,n!D621)</f>
        <v>Ogółem</v>
      </c>
      <c r="C86" s="287">
        <f>SUM(C79:C85)</f>
        <v>0</v>
      </c>
      <c r="D86" s="287">
        <f>SUM(D79:D85)</f>
        <v>323680</v>
      </c>
      <c r="E86" s="287">
        <f>SUM(E79:E85)</f>
        <v>0</v>
      </c>
      <c r="F86" s="287">
        <f>SUM(F79:F85)</f>
        <v>0</v>
      </c>
      <c r="G86" s="287">
        <f>C86+D86+E86-F86</f>
        <v>323680</v>
      </c>
    </row>
    <row r="88" spans="2:7">
      <c r="B88" s="782" t="str">
        <f>CHOOSE(jezyk,n!A618,n!B618,n!C618,n!D616)</f>
        <v>Opis</v>
      </c>
      <c r="C88" s="795" t="str">
        <f>CHOOSE(jezyk,n!A640,n!B640,n!C640,n!D636)</f>
        <v>Umorzenie</v>
      </c>
      <c r="D88" s="796"/>
      <c r="E88" s="796"/>
      <c r="F88" s="796"/>
      <c r="G88" s="797"/>
    </row>
    <row r="89" spans="2:7">
      <c r="B89" s="782"/>
      <c r="C89" s="786" t="str">
        <f>CHOOSE(jezyk,n!A626,n!B626,n!C626,n!D623)</f>
        <v>Stan na 
01.01.2024</v>
      </c>
      <c r="D89" s="783" t="str">
        <f>CHOOSE(jezyk,n!A634,n!B634,n!C634,n!D632)</f>
        <v>Zwiększenia z tytułu umorzenia</v>
      </c>
      <c r="E89" s="786" t="str">
        <f>CHOOSE(jezyk,n!A632,n!B632,n!C632,n!D630)</f>
        <v>Przemieszczenia 
wewnętrzne (+/-)</v>
      </c>
      <c r="F89" s="783" t="str">
        <f>'nota 1.1.-1.2'!F77</f>
        <v>Zmniejszenia z tytułu rozchodu</v>
      </c>
      <c r="G89" s="786" t="str">
        <f>CHOOSE(jezyk,n!A639,n!B639,n!C639,n!D635)</f>
        <v>Stan na 
31.12.2024</v>
      </c>
    </row>
    <row r="90" spans="2:7" ht="38.25" customHeight="1">
      <c r="B90" s="782"/>
      <c r="C90" s="786"/>
      <c r="D90" s="784"/>
      <c r="E90" s="786"/>
      <c r="F90" s="784"/>
      <c r="G90" s="786"/>
    </row>
    <row r="91" spans="2:7" ht="36.6" customHeight="1">
      <c r="B91" s="475" t="str">
        <f>'nota 1.1.-1.2'!B79</f>
        <v>Grunty (w tym prawo użytkowania wieczystego gruntu)</v>
      </c>
      <c r="C91" s="287">
        <f>G139</f>
        <v>0</v>
      </c>
      <c r="D91" s="288">
        <v>0</v>
      </c>
      <c r="E91" s="288">
        <v>0</v>
      </c>
      <c r="F91" s="288">
        <v>0</v>
      </c>
      <c r="G91" s="287">
        <f t="shared" ref="G91:G96" si="2">C91+D91+E91-F91</f>
        <v>0</v>
      </c>
    </row>
    <row r="92" spans="2:7" ht="39" customHeight="1">
      <c r="B92" s="475" t="str">
        <f>'nota 1.1.-1.2'!B80</f>
        <v>Budynki, lokale, prawa do lokali i obiekty inżynierii lądowej i wodnej</v>
      </c>
      <c r="C92" s="287">
        <f>G140</f>
        <v>0</v>
      </c>
      <c r="D92" s="288">
        <v>0</v>
      </c>
      <c r="E92" s="288">
        <v>0</v>
      </c>
      <c r="F92" s="288">
        <v>0</v>
      </c>
      <c r="G92" s="287">
        <f t="shared" si="2"/>
        <v>0</v>
      </c>
    </row>
    <row r="93" spans="2:7" ht="30" customHeight="1">
      <c r="B93" s="475" t="str">
        <f>'nota 1.1.-1.2'!B81</f>
        <v>Urządzenia techniczne i maszyny</v>
      </c>
      <c r="C93" s="287">
        <f>G141</f>
        <v>0</v>
      </c>
      <c r="D93" s="288">
        <v>96908</v>
      </c>
      <c r="E93" s="288">
        <v>0</v>
      </c>
      <c r="F93" s="288">
        <v>0</v>
      </c>
      <c r="G93" s="287">
        <f t="shared" si="2"/>
        <v>96908</v>
      </c>
    </row>
    <row r="94" spans="2:7" ht="27.95" customHeight="1">
      <c r="B94" s="475" t="str">
        <f>'nota 1.1.-1.2'!B82</f>
        <v>Środki transportu</v>
      </c>
      <c r="C94" s="287">
        <f>G142</f>
        <v>0</v>
      </c>
      <c r="D94" s="288">
        <v>0</v>
      </c>
      <c r="E94" s="288">
        <v>0</v>
      </c>
      <c r="F94" s="288">
        <v>0</v>
      </c>
      <c r="G94" s="287">
        <f t="shared" si="2"/>
        <v>0</v>
      </c>
    </row>
    <row r="95" spans="2:7" ht="27.95" customHeight="1">
      <c r="B95" s="475" t="str">
        <f>'nota 1.1.-1.2'!B83</f>
        <v>Inne środki trwałe</v>
      </c>
      <c r="C95" s="287">
        <f>G143</f>
        <v>0</v>
      </c>
      <c r="D95" s="288">
        <v>0</v>
      </c>
      <c r="E95" s="288">
        <v>0</v>
      </c>
      <c r="F95" s="288">
        <v>0</v>
      </c>
      <c r="G95" s="287">
        <f t="shared" si="2"/>
        <v>0</v>
      </c>
    </row>
    <row r="96" spans="2:7" ht="27.95" customHeight="1">
      <c r="B96" s="475" t="str">
        <f>'nota 1.1.-1.2'!B86</f>
        <v>Ogółem</v>
      </c>
      <c r="C96" s="287">
        <f>SUM(C91:C95)</f>
        <v>0</v>
      </c>
      <c r="D96" s="287">
        <f>SUM(D91:D95)</f>
        <v>96908</v>
      </c>
      <c r="E96" s="287">
        <f>SUM(E91:E95)</f>
        <v>0</v>
      </c>
      <c r="F96" s="287">
        <f>SUM(F91:F95)</f>
        <v>0</v>
      </c>
      <c r="G96" s="287">
        <f t="shared" si="2"/>
        <v>96908</v>
      </c>
    </row>
    <row r="99" spans="2:9" ht="16.5">
      <c r="B99" s="787" t="str">
        <f>B70</f>
        <v>1.1b. Zestawienie rzeczowych aktywów trwałych</v>
      </c>
      <c r="C99" s="787"/>
      <c r="D99" s="787"/>
      <c r="E99" s="787"/>
      <c r="F99" s="787"/>
      <c r="G99" s="787"/>
    </row>
    <row r="100" spans="2:9" ht="10.5" customHeight="1">
      <c r="B100" s="366"/>
      <c r="C100" s="366"/>
      <c r="D100" s="366"/>
      <c r="E100" s="366"/>
      <c r="F100" s="366"/>
      <c r="G100" s="366"/>
    </row>
    <row r="101" spans="2:9" s="363" customFormat="1" ht="15" customHeight="1">
      <c r="B101" s="774" t="str">
        <f>CHOOSE(jezyk,n!A616,n!B616,n!C616,n!D614)</f>
        <v>Rok obrotowy 2024</v>
      </c>
      <c r="C101" s="775"/>
      <c r="D101" s="366"/>
      <c r="E101" s="366"/>
      <c r="F101" s="366"/>
      <c r="G101" s="366"/>
    </row>
    <row r="103" spans="2:9">
      <c r="B103" s="782" t="str">
        <f>B88</f>
        <v>Opis</v>
      </c>
      <c r="C103" s="782"/>
      <c r="D103" s="782"/>
      <c r="E103" s="782" t="str">
        <f>CHOOSE(jezyk,n!A642,n!B642,n!C642,n!D640)</f>
        <v>Wartość netto</v>
      </c>
      <c r="F103" s="782"/>
    </row>
    <row r="104" spans="2:9">
      <c r="B104" s="782"/>
      <c r="C104" s="782"/>
      <c r="D104" s="782"/>
      <c r="E104" s="786" t="str">
        <f>CHOOSE(jezyk,n!A626,n!B626,n!C626,n!D623)</f>
        <v>Stan na 
01.01.2024</v>
      </c>
      <c r="F104" s="786" t="str">
        <f>CHOOSE(jezyk,n!A639,n!B639,n!C639,n!D635)</f>
        <v>Stan na 
31.12.2024</v>
      </c>
      <c r="H104" s="468"/>
      <c r="I104" s="468"/>
    </row>
    <row r="105" spans="2:9" ht="29.25" customHeight="1">
      <c r="B105" s="782"/>
      <c r="C105" s="782"/>
      <c r="D105" s="782"/>
      <c r="E105" s="786"/>
      <c r="F105" s="786"/>
      <c r="H105" s="470" t="str">
        <f>dzb</f>
        <v>31.12.2024</v>
      </c>
      <c r="I105" s="335" t="str">
        <f>pdz</f>
        <v>31.12.2023</v>
      </c>
    </row>
    <row r="106" spans="2:9" ht="24.95" customHeight="1">
      <c r="B106" s="781" t="str">
        <f>B91</f>
        <v>Grunty (w tym prawo użytkowania wieczystego gruntu)</v>
      </c>
      <c r="C106" s="781"/>
      <c r="D106" s="781"/>
      <c r="E106" s="287">
        <f>'nota 1.1.-1.2'!C79-'nota 1.1.-1.2'!C91</f>
        <v>0</v>
      </c>
      <c r="F106" s="287">
        <f>'nota 1.1.-1.2'!G79-'nota 1.1.-1.2'!G91</f>
        <v>0</v>
      </c>
      <c r="H106" s="471">
        <f>ROUND(F106-Bilans!J21,2)</f>
        <v>0</v>
      </c>
      <c r="I106" s="471">
        <f>ROUND(E106-Bilans!K21,2)</f>
        <v>0</v>
      </c>
    </row>
    <row r="107" spans="2:9" ht="24.95" customHeight="1">
      <c r="B107" s="781" t="str">
        <f>B92</f>
        <v>Budynki, lokale, prawa do lokali i obiekty inżynierii lądowej i wodnej</v>
      </c>
      <c r="C107" s="781"/>
      <c r="D107" s="781"/>
      <c r="E107" s="287">
        <f>'nota 1.1.-1.2'!C80-'nota 1.1.-1.2'!C92</f>
        <v>0</v>
      </c>
      <c r="F107" s="287">
        <f>'nota 1.1.-1.2'!G80-'nota 1.1.-1.2'!G92</f>
        <v>0</v>
      </c>
      <c r="H107" s="471">
        <f>ROUND(F107-Bilans!J22,2)</f>
        <v>0</v>
      </c>
      <c r="I107" s="471">
        <f>ROUND(E107-Bilans!K22,2)</f>
        <v>0</v>
      </c>
    </row>
    <row r="108" spans="2:9" ht="24.95" customHeight="1">
      <c r="B108" s="781" t="str">
        <f>B93</f>
        <v>Urządzenia techniczne i maszyny</v>
      </c>
      <c r="C108" s="781"/>
      <c r="D108" s="781"/>
      <c r="E108" s="287">
        <f>'nota 1.1.-1.2'!C81-'nota 1.1.-1.2'!C93</f>
        <v>0</v>
      </c>
      <c r="F108" s="287">
        <f>'nota 1.1.-1.2'!G81-'nota 1.1.-1.2'!G93</f>
        <v>226772</v>
      </c>
      <c r="H108" s="471">
        <f>ROUND(F108-Bilans!J23,2)</f>
        <v>0</v>
      </c>
      <c r="I108" s="471">
        <f>ROUND(E108-Bilans!K23,2)</f>
        <v>0</v>
      </c>
    </row>
    <row r="109" spans="2:9" ht="24.95" customHeight="1">
      <c r="B109" s="781" t="str">
        <f>B94</f>
        <v>Środki transportu</v>
      </c>
      <c r="C109" s="781"/>
      <c r="D109" s="781"/>
      <c r="E109" s="287">
        <f>'nota 1.1.-1.2'!C82-'nota 1.1.-1.2'!C94</f>
        <v>0</v>
      </c>
      <c r="F109" s="287">
        <f>'nota 1.1.-1.2'!G82-'nota 1.1.-1.2'!G94</f>
        <v>0</v>
      </c>
      <c r="H109" s="471">
        <f>ROUND(F109-Bilans!J24,2)</f>
        <v>0</v>
      </c>
      <c r="I109" s="471">
        <f>ROUND(E109-Bilans!K24,2)</f>
        <v>0</v>
      </c>
    </row>
    <row r="110" spans="2:9" ht="24.95" customHeight="1">
      <c r="B110" s="781" t="str">
        <f>B95</f>
        <v>Inne środki trwałe</v>
      </c>
      <c r="C110" s="781"/>
      <c r="D110" s="781"/>
      <c r="E110" s="287">
        <f>'nota 1.1.-1.2'!C83-'nota 1.1.-1.2'!C95</f>
        <v>0</v>
      </c>
      <c r="F110" s="287">
        <f>'nota 1.1.-1.2'!G83-'nota 1.1.-1.2'!G95</f>
        <v>0</v>
      </c>
      <c r="H110" s="471">
        <f>ROUND(F110-Bilans!J25,2)</f>
        <v>0</v>
      </c>
      <c r="I110" s="471">
        <f>ROUND(E110-Bilans!K25,2)</f>
        <v>0</v>
      </c>
    </row>
    <row r="111" spans="2:9" ht="24.95" customHeight="1">
      <c r="B111" s="781" t="str">
        <f>B84</f>
        <v>Środki trwałe w budowie</v>
      </c>
      <c r="C111" s="781"/>
      <c r="D111" s="781"/>
      <c r="E111" s="287">
        <f>C84</f>
        <v>0</v>
      </c>
      <c r="F111" s="287">
        <f>G84</f>
        <v>0</v>
      </c>
      <c r="H111" s="471">
        <f>ROUND(F111-Bilans!J28,2)</f>
        <v>0</v>
      </c>
      <c r="I111" s="471">
        <f>ROUND(E111-Bilans!K28,2)</f>
        <v>0</v>
      </c>
    </row>
    <row r="112" spans="2:9" ht="24.95" customHeight="1">
      <c r="B112" s="781" t="str">
        <f>B85</f>
        <v>Zaliczki na środki trwałe w budowie</v>
      </c>
      <c r="C112" s="781"/>
      <c r="D112" s="781"/>
      <c r="E112" s="287">
        <f>C85</f>
        <v>0</v>
      </c>
      <c r="F112" s="287">
        <f>G85</f>
        <v>0</v>
      </c>
      <c r="H112" s="471">
        <f>ROUND(F112-Bilans!J29,2)</f>
        <v>0</v>
      </c>
      <c r="I112" s="471">
        <f>ROUND(E112-Bilans!K29,2)</f>
        <v>0</v>
      </c>
    </row>
    <row r="113" spans="2:9" ht="24.95" customHeight="1">
      <c r="B113" s="781" t="str">
        <f>B86</f>
        <v>Ogółem</v>
      </c>
      <c r="C113" s="781"/>
      <c r="D113" s="781"/>
      <c r="E113" s="287">
        <f>SUM(E106:E112)</f>
        <v>0</v>
      </c>
      <c r="F113" s="287">
        <f>SUM(F106:F112)</f>
        <v>226772</v>
      </c>
      <c r="H113" s="471">
        <f>ROUND(F113-Bilans!J18,2)</f>
        <v>0</v>
      </c>
      <c r="I113" s="471">
        <f>ROUND(E113-Bilans!K18,2)</f>
        <v>0</v>
      </c>
    </row>
    <row r="114" spans="2:9" ht="9.75" customHeight="1">
      <c r="H114" s="476">
        <f>SUM(H106:H113)</f>
        <v>0</v>
      </c>
      <c r="I114" s="476">
        <f>SUM(I106:I113)</f>
        <v>0</v>
      </c>
    </row>
    <row r="115" spans="2:9" ht="3.75" customHeight="1"/>
    <row r="116" spans="2:9" ht="16.5">
      <c r="B116" s="787" t="str">
        <f>B99</f>
        <v>1.1b. Zestawienie rzeczowych aktywów trwałych</v>
      </c>
      <c r="C116" s="787"/>
      <c r="D116" s="787"/>
      <c r="E116" s="787"/>
      <c r="F116" s="787"/>
      <c r="G116" s="787"/>
    </row>
    <row r="117" spans="2:9" ht="11.25" customHeight="1"/>
    <row r="118" spans="2:9" s="363" customFormat="1" ht="15" customHeight="1">
      <c r="B118" s="774" t="str">
        <f>CHOOSE(jezyk,n!A617,n!B617,n!C617,n!D615)</f>
        <v>Rok obrotowy 2023</v>
      </c>
      <c r="C118" s="775"/>
    </row>
    <row r="120" spans="2:9">
      <c r="B120" s="778" t="str">
        <f>B76</f>
        <v>Opis</v>
      </c>
      <c r="C120" s="785" t="str">
        <f>C76</f>
        <v>Wartość brutto</v>
      </c>
      <c r="D120" s="785"/>
      <c r="E120" s="785"/>
      <c r="F120" s="785"/>
      <c r="G120" s="785"/>
    </row>
    <row r="121" spans="2:9" ht="12.75" customHeight="1">
      <c r="B121" s="788"/>
      <c r="C121" s="786" t="str">
        <f>CHOOSE(jezyk,n!A627,n!B627,n!C627,n!D627)</f>
        <v>Stan na 
01.01.2023</v>
      </c>
      <c r="D121" s="786" t="str">
        <f>D77</f>
        <v>Zwiększenia, z tytułu nabycia</v>
      </c>
      <c r="E121" s="786" t="str">
        <f>E77</f>
        <v>Przemieszczenia 
wewnętrzne (+/-)</v>
      </c>
      <c r="F121" s="786" t="str">
        <f>F77</f>
        <v>Zmniejszenia z tytułu rozchodu</v>
      </c>
      <c r="G121" s="786" t="str">
        <f>CHOOSE(jezyk,n!A638,n!B638,n!C638,n!D638)</f>
        <v>Stan na 
31.12.2023</v>
      </c>
    </row>
    <row r="122" spans="2:9" ht="31.5" customHeight="1">
      <c r="B122" s="779"/>
      <c r="C122" s="786"/>
      <c r="D122" s="786"/>
      <c r="E122" s="786"/>
      <c r="F122" s="786"/>
      <c r="G122" s="786"/>
    </row>
    <row r="123" spans="2:9" ht="37.15" customHeight="1">
      <c r="B123" s="286" t="str">
        <f>B79</f>
        <v>Grunty (w tym prawo użytkowania wieczystego gruntu)</v>
      </c>
      <c r="C123" s="288">
        <v>0</v>
      </c>
      <c r="D123" s="288">
        <v>0</v>
      </c>
      <c r="E123" s="288">
        <v>0</v>
      </c>
      <c r="F123" s="288">
        <v>0</v>
      </c>
      <c r="G123" s="287">
        <f>C123+D123+E123-F123</f>
        <v>0</v>
      </c>
    </row>
    <row r="124" spans="2:9" ht="42.75" customHeight="1">
      <c r="B124" s="286" t="str">
        <f t="shared" ref="B124:B130" si="3">B80</f>
        <v>Budynki, lokale, prawa do lokali i obiekty inżynierii lądowej i wodnej</v>
      </c>
      <c r="C124" s="288">
        <v>0</v>
      </c>
      <c r="D124" s="288">
        <v>0</v>
      </c>
      <c r="E124" s="288">
        <v>0</v>
      </c>
      <c r="F124" s="288">
        <v>0</v>
      </c>
      <c r="G124" s="287">
        <f t="shared" ref="G124:G129" si="4">C124+D124+E124-F124</f>
        <v>0</v>
      </c>
    </row>
    <row r="125" spans="2:9" ht="30" customHeight="1">
      <c r="B125" s="286" t="str">
        <f t="shared" si="3"/>
        <v>Urządzenia techniczne i maszyny</v>
      </c>
      <c r="C125" s="288">
        <v>0</v>
      </c>
      <c r="D125" s="288">
        <v>0</v>
      </c>
      <c r="E125" s="288">
        <v>0</v>
      </c>
      <c r="F125" s="288">
        <v>0</v>
      </c>
      <c r="G125" s="287">
        <f>C125+D125+E125-F125</f>
        <v>0</v>
      </c>
    </row>
    <row r="126" spans="2:9" ht="24.95" customHeight="1">
      <c r="B126" s="286" t="str">
        <f t="shared" si="3"/>
        <v>Środki transportu</v>
      </c>
      <c r="C126" s="288">
        <v>0</v>
      </c>
      <c r="D126" s="288">
        <v>0</v>
      </c>
      <c r="E126" s="288">
        <v>0</v>
      </c>
      <c r="F126" s="288">
        <v>0</v>
      </c>
      <c r="G126" s="287">
        <f t="shared" si="4"/>
        <v>0</v>
      </c>
    </row>
    <row r="127" spans="2:9" ht="24.95" customHeight="1">
      <c r="B127" s="286" t="str">
        <f t="shared" si="3"/>
        <v>Inne środki trwałe</v>
      </c>
      <c r="C127" s="288">
        <v>0</v>
      </c>
      <c r="D127" s="288">
        <v>0</v>
      </c>
      <c r="E127" s="288">
        <v>0</v>
      </c>
      <c r="F127" s="288">
        <v>0</v>
      </c>
      <c r="G127" s="287">
        <f t="shared" si="4"/>
        <v>0</v>
      </c>
    </row>
    <row r="128" spans="2:9" ht="24.95" customHeight="1">
      <c r="B128" s="286" t="str">
        <f t="shared" si="3"/>
        <v>Środki trwałe w budowie</v>
      </c>
      <c r="C128" s="288">
        <v>0</v>
      </c>
      <c r="D128" s="288">
        <v>0</v>
      </c>
      <c r="E128" s="288">
        <v>0</v>
      </c>
      <c r="F128" s="288">
        <v>0</v>
      </c>
      <c r="G128" s="287">
        <f t="shared" si="4"/>
        <v>0</v>
      </c>
    </row>
    <row r="129" spans="2:7" ht="33" customHeight="1">
      <c r="B129" s="469" t="str">
        <f t="shared" si="3"/>
        <v>Zaliczki na środki trwałe w budowie</v>
      </c>
      <c r="C129" s="288">
        <v>0</v>
      </c>
      <c r="D129" s="288">
        <v>0</v>
      </c>
      <c r="E129" s="288">
        <v>0</v>
      </c>
      <c r="F129" s="288">
        <v>0</v>
      </c>
      <c r="G129" s="287">
        <f t="shared" si="4"/>
        <v>0</v>
      </c>
    </row>
    <row r="130" spans="2:7" ht="24.95" customHeight="1">
      <c r="B130" s="286" t="str">
        <f t="shared" si="3"/>
        <v>Ogółem</v>
      </c>
      <c r="C130" s="287">
        <f>SUM(C123:C129)</f>
        <v>0</v>
      </c>
      <c r="D130" s="287">
        <f>SUM(D123:D129)</f>
        <v>0</v>
      </c>
      <c r="E130" s="287">
        <f>SUM(E123:E129)</f>
        <v>0</v>
      </c>
      <c r="F130" s="287">
        <f>SUM(F123:F129)</f>
        <v>0</v>
      </c>
      <c r="G130" s="287">
        <f>C130+D130+E130-F130</f>
        <v>0</v>
      </c>
    </row>
    <row r="131" spans="2:7" ht="20.25" customHeight="1"/>
    <row r="132" spans="2:7" ht="16.5">
      <c r="B132" s="787" t="str">
        <f>B116</f>
        <v>1.1b. Zestawienie rzeczowych aktywów trwałych</v>
      </c>
      <c r="C132" s="787"/>
      <c r="D132" s="787"/>
      <c r="E132" s="787"/>
      <c r="F132" s="787"/>
      <c r="G132" s="787"/>
    </row>
    <row r="134" spans="2:7" s="363" customFormat="1" ht="15" customHeight="1">
      <c r="B134" s="774" t="str">
        <f>CHOOSE(jezyk,n!A617,n!B617,n!C617,n!D615)</f>
        <v>Rok obrotowy 2023</v>
      </c>
      <c r="C134" s="775"/>
    </row>
    <row r="135" spans="2:7">
      <c r="B135" s="701"/>
    </row>
    <row r="136" spans="2:7">
      <c r="B136" s="782" t="str">
        <f>B88</f>
        <v>Opis</v>
      </c>
      <c r="C136" s="785" t="str">
        <f>C88</f>
        <v>Umorzenie</v>
      </c>
      <c r="D136" s="785"/>
      <c r="E136" s="785"/>
      <c r="F136" s="785"/>
      <c r="G136" s="785"/>
    </row>
    <row r="137" spans="2:7" ht="12.75" customHeight="1">
      <c r="B137" s="782"/>
      <c r="C137" s="783" t="str">
        <f>CHOOSE(jezyk,n!A627,n!B627,n!C627,n!D627)</f>
        <v>Stan na 
01.01.2023</v>
      </c>
      <c r="D137" s="783" t="str">
        <f>D89</f>
        <v>Zwiększenia z tytułu umorzenia</v>
      </c>
      <c r="E137" s="783" t="str">
        <f>E89</f>
        <v>Przemieszczenia 
wewnętrzne (+/-)</v>
      </c>
      <c r="F137" s="783" t="str">
        <f>F89</f>
        <v>Zmniejszenia z tytułu rozchodu</v>
      </c>
      <c r="G137" s="783" t="str">
        <f>CHOOSE(jezyk,n!A638,n!B638,n!C638,n!D638)</f>
        <v>Stan na 
31.12.2023</v>
      </c>
    </row>
    <row r="138" spans="2:7" ht="38.25" customHeight="1">
      <c r="B138" s="782"/>
      <c r="C138" s="784"/>
      <c r="D138" s="784"/>
      <c r="E138" s="784"/>
      <c r="F138" s="784"/>
      <c r="G138" s="784"/>
    </row>
    <row r="139" spans="2:7" ht="39" customHeight="1">
      <c r="B139" s="475" t="str">
        <f t="shared" ref="B139:B144" si="5">B91</f>
        <v>Grunty (w tym prawo użytkowania wieczystego gruntu)</v>
      </c>
      <c r="C139" s="288">
        <v>0</v>
      </c>
      <c r="D139" s="288">
        <v>0</v>
      </c>
      <c r="E139" s="288">
        <v>0</v>
      </c>
      <c r="F139" s="288">
        <v>0</v>
      </c>
      <c r="G139" s="287">
        <f t="shared" ref="G139:G144" si="6">C139+D139+E139-F139</f>
        <v>0</v>
      </c>
    </row>
    <row r="140" spans="2:7" ht="39" customHeight="1">
      <c r="B140" s="475" t="str">
        <f t="shared" si="5"/>
        <v>Budynki, lokale, prawa do lokali i obiekty inżynierii lądowej i wodnej</v>
      </c>
      <c r="C140" s="288">
        <v>0</v>
      </c>
      <c r="D140" s="288">
        <v>0</v>
      </c>
      <c r="E140" s="288">
        <v>0</v>
      </c>
      <c r="F140" s="288">
        <v>0</v>
      </c>
      <c r="G140" s="287">
        <f t="shared" si="6"/>
        <v>0</v>
      </c>
    </row>
    <row r="141" spans="2:7" ht="30" customHeight="1">
      <c r="B141" s="475" t="str">
        <f t="shared" si="5"/>
        <v>Urządzenia techniczne i maszyny</v>
      </c>
      <c r="C141" s="288">
        <v>0</v>
      </c>
      <c r="D141" s="288">
        <v>0</v>
      </c>
      <c r="E141" s="288">
        <v>0</v>
      </c>
      <c r="F141" s="288">
        <v>0</v>
      </c>
      <c r="G141" s="287">
        <f t="shared" si="6"/>
        <v>0</v>
      </c>
    </row>
    <row r="142" spans="2:7" ht="30" customHeight="1">
      <c r="B142" s="475" t="str">
        <f t="shared" si="5"/>
        <v>Środki transportu</v>
      </c>
      <c r="C142" s="288">
        <v>0</v>
      </c>
      <c r="D142" s="288">
        <v>0</v>
      </c>
      <c r="E142" s="288">
        <v>0</v>
      </c>
      <c r="F142" s="288">
        <v>0</v>
      </c>
      <c r="G142" s="287">
        <f t="shared" si="6"/>
        <v>0</v>
      </c>
    </row>
    <row r="143" spans="2:7" ht="30" customHeight="1">
      <c r="B143" s="475" t="str">
        <f t="shared" si="5"/>
        <v>Inne środki trwałe</v>
      </c>
      <c r="C143" s="288">
        <v>0</v>
      </c>
      <c r="D143" s="288">
        <v>0</v>
      </c>
      <c r="E143" s="288">
        <v>0</v>
      </c>
      <c r="F143" s="288">
        <v>0</v>
      </c>
      <c r="G143" s="287">
        <f t="shared" si="6"/>
        <v>0</v>
      </c>
    </row>
    <row r="144" spans="2:7" ht="30" customHeight="1">
      <c r="B144" s="475" t="str">
        <f t="shared" si="5"/>
        <v>Ogółem</v>
      </c>
      <c r="C144" s="287">
        <f>SUM(C139:C143)</f>
        <v>0</v>
      </c>
      <c r="D144" s="287">
        <f>SUM(D139:D143)</f>
        <v>0</v>
      </c>
      <c r="E144" s="287">
        <f>SUM(E139:E143)</f>
        <v>0</v>
      </c>
      <c r="F144" s="287">
        <f>SUM(F139:F143)</f>
        <v>0</v>
      </c>
      <c r="G144" s="287">
        <f t="shared" si="6"/>
        <v>0</v>
      </c>
    </row>
    <row r="146" spans="2:9">
      <c r="B146" s="782" t="str">
        <f>B136</f>
        <v>Opis</v>
      </c>
      <c r="C146" s="782"/>
      <c r="D146" s="782"/>
      <c r="E146" s="782" t="str">
        <f>E103</f>
        <v>Wartość netto</v>
      </c>
      <c r="F146" s="782"/>
    </row>
    <row r="147" spans="2:9" ht="12.75" customHeight="1">
      <c r="B147" s="782"/>
      <c r="C147" s="782"/>
      <c r="D147" s="782"/>
      <c r="E147" s="786" t="str">
        <f>CHOOSE(jezyk,n!A627,n!B627,n!C627,n!D627)</f>
        <v>Stan na 
01.01.2023</v>
      </c>
      <c r="F147" s="786" t="str">
        <f>CHOOSE(jezyk,n!A638,n!B638,n!C638,n!D638)</f>
        <v>Stan na 
31.12.2023</v>
      </c>
      <c r="H147" s="468"/>
      <c r="I147" s="468"/>
    </row>
    <row r="148" spans="2:9" ht="27.75" customHeight="1">
      <c r="B148" s="782"/>
      <c r="C148" s="782"/>
      <c r="D148" s="782"/>
      <c r="E148" s="786"/>
      <c r="F148" s="786"/>
      <c r="H148" s="335" t="str">
        <f>pdz</f>
        <v>31.12.2023</v>
      </c>
    </row>
    <row r="149" spans="2:9" ht="24.95" customHeight="1">
      <c r="B149" s="781" t="str">
        <f>B139</f>
        <v>Grunty (w tym prawo użytkowania wieczystego gruntu)</v>
      </c>
      <c r="C149" s="781"/>
      <c r="D149" s="781"/>
      <c r="E149" s="287">
        <f>'nota 1.1.-1.2'!C123-'nota 1.1.-1.2'!C139</f>
        <v>0</v>
      </c>
      <c r="F149" s="287">
        <f>'nota 1.1.-1.2'!G123-'nota 1.1.-1.2'!G139</f>
        <v>0</v>
      </c>
      <c r="H149" s="471">
        <f t="shared" ref="H149:H156" si="7">F149-E106</f>
        <v>0</v>
      </c>
    </row>
    <row r="150" spans="2:9" ht="24.95" customHeight="1">
      <c r="B150" s="781" t="str">
        <f>B140</f>
        <v>Budynki, lokale, prawa do lokali i obiekty inżynierii lądowej i wodnej</v>
      </c>
      <c r="C150" s="781"/>
      <c r="D150" s="781"/>
      <c r="E150" s="287">
        <f>'nota 1.1.-1.2'!C124-'nota 1.1.-1.2'!C140</f>
        <v>0</v>
      </c>
      <c r="F150" s="287">
        <f>'nota 1.1.-1.2'!G124-'nota 1.1.-1.2'!G140</f>
        <v>0</v>
      </c>
      <c r="H150" s="471">
        <f t="shared" si="7"/>
        <v>0</v>
      </c>
    </row>
    <row r="151" spans="2:9" ht="24.95" customHeight="1">
      <c r="B151" s="781" t="str">
        <f>B141</f>
        <v>Urządzenia techniczne i maszyny</v>
      </c>
      <c r="C151" s="781"/>
      <c r="D151" s="781"/>
      <c r="E151" s="287">
        <f>'nota 1.1.-1.2'!C125-'nota 1.1.-1.2'!C141</f>
        <v>0</v>
      </c>
      <c r="F151" s="287">
        <f>'nota 1.1.-1.2'!G125-'nota 1.1.-1.2'!G141</f>
        <v>0</v>
      </c>
      <c r="H151" s="471">
        <f t="shared" si="7"/>
        <v>0</v>
      </c>
    </row>
    <row r="152" spans="2:9" ht="24.95" customHeight="1">
      <c r="B152" s="781" t="str">
        <f>B142</f>
        <v>Środki transportu</v>
      </c>
      <c r="C152" s="781"/>
      <c r="D152" s="781"/>
      <c r="E152" s="287">
        <f>'nota 1.1.-1.2'!C126-'nota 1.1.-1.2'!C142</f>
        <v>0</v>
      </c>
      <c r="F152" s="287">
        <f>'nota 1.1.-1.2'!G126-'nota 1.1.-1.2'!G142</f>
        <v>0</v>
      </c>
      <c r="H152" s="471">
        <f t="shared" si="7"/>
        <v>0</v>
      </c>
    </row>
    <row r="153" spans="2:9" ht="24.95" customHeight="1">
      <c r="B153" s="781" t="str">
        <f>B143</f>
        <v>Inne środki trwałe</v>
      </c>
      <c r="C153" s="781"/>
      <c r="D153" s="781"/>
      <c r="E153" s="287">
        <f>'nota 1.1.-1.2'!C127-'nota 1.1.-1.2'!C143</f>
        <v>0</v>
      </c>
      <c r="F153" s="287">
        <f>'nota 1.1.-1.2'!G127-'nota 1.1.-1.2'!G143</f>
        <v>0</v>
      </c>
      <c r="H153" s="471">
        <f t="shared" si="7"/>
        <v>0</v>
      </c>
    </row>
    <row r="154" spans="2:9" ht="24.95" customHeight="1">
      <c r="B154" s="781" t="str">
        <f>B128</f>
        <v>Środki trwałe w budowie</v>
      </c>
      <c r="C154" s="781"/>
      <c r="D154" s="781"/>
      <c r="E154" s="287">
        <f>C128</f>
        <v>0</v>
      </c>
      <c r="F154" s="287">
        <f>G128</f>
        <v>0</v>
      </c>
      <c r="H154" s="471">
        <f t="shared" si="7"/>
        <v>0</v>
      </c>
    </row>
    <row r="155" spans="2:9" ht="24.95" customHeight="1">
      <c r="B155" s="781" t="str">
        <f>B129</f>
        <v>Zaliczki na środki trwałe w budowie</v>
      </c>
      <c r="C155" s="781"/>
      <c r="D155" s="781"/>
      <c r="E155" s="287">
        <f>C129</f>
        <v>0</v>
      </c>
      <c r="F155" s="287">
        <f>G129</f>
        <v>0</v>
      </c>
      <c r="H155" s="471">
        <f t="shared" si="7"/>
        <v>0</v>
      </c>
    </row>
    <row r="156" spans="2:9" ht="24.95" customHeight="1">
      <c r="B156" s="781" t="str">
        <f>B130</f>
        <v>Ogółem</v>
      </c>
      <c r="C156" s="781"/>
      <c r="D156" s="781"/>
      <c r="E156" s="287">
        <f>SUM(E149:E155)</f>
        <v>0</v>
      </c>
      <c r="F156" s="287">
        <f>SUM(F149:F155)</f>
        <v>0</v>
      </c>
      <c r="H156" s="471">
        <f t="shared" si="7"/>
        <v>0</v>
      </c>
    </row>
    <row r="160" spans="2:9" ht="19.5" customHeight="1"/>
    <row r="161" spans="2:8" ht="16.5">
      <c r="B161" s="787" t="str">
        <f>"1.1c. "&amp;CHOOSE(jezyk,n!A655,n!B655,n!C655,n!D653)</f>
        <v>1.1c. Zestawienie inwestycji długoterminowych</v>
      </c>
      <c r="C161" s="787"/>
      <c r="D161" s="787"/>
      <c r="E161" s="787"/>
      <c r="F161" s="787"/>
      <c r="G161" s="787"/>
    </row>
    <row r="162" spans="2:8" ht="16.5">
      <c r="B162" s="366"/>
      <c r="C162" s="366"/>
      <c r="D162" s="366"/>
      <c r="E162" s="366"/>
      <c r="F162" s="366"/>
      <c r="G162" s="366"/>
    </row>
    <row r="163" spans="2:8" ht="16.5" customHeight="1">
      <c r="B163" s="731" t="str">
        <f>IF(GA!F75&lt;&gt;"nie",CHOOSE(jezyk,n!A643,n!B643,n!C643,n!D641),CHOOSE(jezyk,n!A644,n!B644,n!C644,n!D644))</f>
        <v>Pozycja nie wystąpiła zarówno w roku obrotowym 2024, jak i w roku poprzednim.</v>
      </c>
      <c r="C163" s="731"/>
      <c r="D163" s="731"/>
      <c r="E163" s="731"/>
      <c r="F163" s="731"/>
      <c r="G163" s="731"/>
      <c r="H163" s="130" t="s">
        <v>6785</v>
      </c>
    </row>
    <row r="164" spans="2:8" hidden="1"/>
    <row r="165" spans="2:8" ht="15" hidden="1" customHeight="1">
      <c r="B165" s="774" t="str">
        <f>CHOOSE(jezyk,n!A616,n!B616,n!C616,n!D614)</f>
        <v>Rok obrotowy 2024</v>
      </c>
      <c r="C165" s="775"/>
    </row>
    <row r="166" spans="2:8" hidden="1"/>
    <row r="167" spans="2:8" hidden="1">
      <c r="B167" s="778" t="str">
        <f>CHOOSE(jezyk,n!A618,n!B618,n!C618,n!D616)</f>
        <v>Opis</v>
      </c>
      <c r="C167" s="785" t="str">
        <f>CHOOSE(jezyk,n!A624,n!B624,n!C624,n!D622)</f>
        <v>Wartość brutto</v>
      </c>
      <c r="D167" s="785"/>
      <c r="E167" s="785"/>
      <c r="F167" s="785"/>
      <c r="G167" s="785"/>
    </row>
    <row r="168" spans="2:8" hidden="1">
      <c r="B168" s="788"/>
      <c r="C168" s="786" t="str">
        <f>CHOOSE(jezyk,n!A626,n!B626,n!C626,n!D623)</f>
        <v>Stan na 
01.01.2024</v>
      </c>
      <c r="D168" s="783" t="str">
        <f>'nota 1.1.-1.2'!D77</f>
        <v>Zwiększenia, z tytułu nabycia</v>
      </c>
      <c r="E168" s="786" t="str">
        <f>CHOOSE(jezyk,n!A632,n!B632,n!C632,n!D630)</f>
        <v>Przemieszczenia 
wewnętrzne (+/-)</v>
      </c>
      <c r="F168" s="783" t="str">
        <f>'nota 1.1.-1.2'!F77</f>
        <v>Zmniejszenia z tytułu rozchodu</v>
      </c>
      <c r="G168" s="786" t="str">
        <f>CHOOSE(jezyk,n!A639,n!B639,n!C639,n!D635)</f>
        <v>Stan na 
31.12.2024</v>
      </c>
    </row>
    <row r="169" spans="2:8" ht="30" hidden="1" customHeight="1">
      <c r="B169" s="779"/>
      <c r="C169" s="786"/>
      <c r="D169" s="784"/>
      <c r="E169" s="786"/>
      <c r="F169" s="784"/>
      <c r="G169" s="786"/>
    </row>
    <row r="170" spans="2:8" ht="24" hidden="1" customHeight="1">
      <c r="B170" s="286" t="str">
        <f>CHOOSE(jezyk,n!A656,n!B656,n!C656,n!D654)</f>
        <v>Nieruchomości</v>
      </c>
      <c r="C170" s="287">
        <f>G204</f>
        <v>0</v>
      </c>
      <c r="D170" s="288">
        <v>0</v>
      </c>
      <c r="E170" s="288">
        <v>0</v>
      </c>
      <c r="F170" s="288">
        <v>0</v>
      </c>
      <c r="G170" s="287">
        <f>C170+D170+E170-F170</f>
        <v>0</v>
      </c>
    </row>
    <row r="171" spans="2:8" ht="24" hidden="1" customHeight="1">
      <c r="B171" s="286" t="str">
        <f>CHOOSE(jezyk,n!A657,n!B657,n!C657,n!D655)</f>
        <v>Wartości niematerialne i prawne</v>
      </c>
      <c r="C171" s="287">
        <f>G205</f>
        <v>0</v>
      </c>
      <c r="D171" s="288">
        <v>0</v>
      </c>
      <c r="E171" s="288">
        <v>0</v>
      </c>
      <c r="F171" s="288">
        <v>0</v>
      </c>
      <c r="G171" s="287">
        <f>C171+D171+E171-F171</f>
        <v>0</v>
      </c>
    </row>
    <row r="172" spans="2:8" ht="24" hidden="1" customHeight="1">
      <c r="B172" s="286" t="str">
        <f>CHOOSE(jezyk,n!A658,n!B658,n!C658,n!D656)</f>
        <v>Długoterminowe aktywa finansowe</v>
      </c>
      <c r="C172" s="287">
        <f>G206</f>
        <v>0</v>
      </c>
      <c r="D172" s="288">
        <v>0</v>
      </c>
      <c r="E172" s="288">
        <v>0</v>
      </c>
      <c r="F172" s="288">
        <v>0</v>
      </c>
      <c r="G172" s="287">
        <f>C172+D172+E172-F172</f>
        <v>0</v>
      </c>
    </row>
    <row r="173" spans="2:8" ht="24" hidden="1" customHeight="1">
      <c r="B173" s="286" t="str">
        <f>CHOOSE(jezyk,n!A659,n!B659,n!C659,n!D657)</f>
        <v>Inne inwestycje długoterminowe</v>
      </c>
      <c r="C173" s="287">
        <f>G207</f>
        <v>0</v>
      </c>
      <c r="D173" s="288">
        <v>0</v>
      </c>
      <c r="E173" s="288">
        <v>0</v>
      </c>
      <c r="F173" s="288">
        <v>0</v>
      </c>
      <c r="G173" s="287">
        <f>C173+D173+E173-F173</f>
        <v>0</v>
      </c>
    </row>
    <row r="174" spans="2:8" ht="24" hidden="1" customHeight="1">
      <c r="B174" s="286" t="str">
        <f>CHOOSE(jezyk,n!A623,n!B623,n!C623,n!D621)</f>
        <v>Ogółem</v>
      </c>
      <c r="C174" s="287">
        <f>SUM(C170:C173)</f>
        <v>0</v>
      </c>
      <c r="D174" s="287">
        <f>SUM(D170:D173)</f>
        <v>0</v>
      </c>
      <c r="E174" s="287">
        <f>SUM(E170:E173)</f>
        <v>0</v>
      </c>
      <c r="F174" s="287">
        <f>SUM(F170:F173)</f>
        <v>0</v>
      </c>
      <c r="G174" s="287">
        <f>C174+D174+E174-F174</f>
        <v>0</v>
      </c>
    </row>
    <row r="175" spans="2:8" hidden="1"/>
    <row r="176" spans="2:8" hidden="1">
      <c r="B176" s="782" t="str">
        <f>B167</f>
        <v>Opis</v>
      </c>
      <c r="C176" s="795" t="str">
        <f>CHOOSE(jezyk,n!A640,n!B640,n!C640,n!D636)</f>
        <v>Umorzenie</v>
      </c>
      <c r="D176" s="796"/>
      <c r="E176" s="796"/>
      <c r="F176" s="796"/>
      <c r="G176" s="797"/>
    </row>
    <row r="177" spans="1:9" hidden="1">
      <c r="B177" s="782"/>
      <c r="C177" s="786" t="str">
        <f>CHOOSE(jezyk,n!A626,n!B626,n!C626,n!D623)</f>
        <v>Stan na 
01.01.2024</v>
      </c>
      <c r="D177" s="783" t="str">
        <f>CHOOSE(jezyk,n!A634,n!B634,n!C634,n!D632)</f>
        <v>Zwiększenia z tytułu umorzenia</v>
      </c>
      <c r="E177" s="786" t="str">
        <f>CHOOSE(jezyk,n!A632,n!B632,n!C632,n!D630)</f>
        <v>Przemieszczenia 
wewnętrzne (+/-)</v>
      </c>
      <c r="F177" s="778" t="str">
        <f>'nota 1.1.-1.2'!F168</f>
        <v>Zmniejszenia z tytułu rozchodu</v>
      </c>
      <c r="G177" s="782" t="str">
        <f>CHOOSE(jezyk,n!A639,n!B639,n!C639,n!D635)</f>
        <v>Stan na 
31.12.2024</v>
      </c>
    </row>
    <row r="178" spans="1:9" ht="41.25" hidden="1" customHeight="1">
      <c r="B178" s="782"/>
      <c r="C178" s="786"/>
      <c r="D178" s="784"/>
      <c r="E178" s="786"/>
      <c r="F178" s="779"/>
      <c r="G178" s="782"/>
    </row>
    <row r="179" spans="1:9" s="477" customFormat="1" ht="24" hidden="1" customHeight="1">
      <c r="A179" s="162"/>
      <c r="B179" s="475" t="str">
        <f>'nota 1.1.-1.2'!B170</f>
        <v>Nieruchomości</v>
      </c>
      <c r="C179" s="287">
        <f>G213</f>
        <v>0</v>
      </c>
      <c r="D179" s="288">
        <v>0</v>
      </c>
      <c r="E179" s="288">
        <v>0</v>
      </c>
      <c r="F179" s="288">
        <v>0</v>
      </c>
      <c r="G179" s="287">
        <f>C179+D179+E179-F179</f>
        <v>0</v>
      </c>
    </row>
    <row r="180" spans="1:9" s="477" customFormat="1" ht="24" hidden="1" customHeight="1">
      <c r="A180" s="162"/>
      <c r="B180" s="475" t="str">
        <f>'nota 1.1.-1.2'!B171</f>
        <v>Wartości niematerialne i prawne</v>
      </c>
      <c r="C180" s="287">
        <f>G214</f>
        <v>0</v>
      </c>
      <c r="D180" s="288">
        <v>0</v>
      </c>
      <c r="E180" s="288">
        <v>0</v>
      </c>
      <c r="F180" s="288">
        <v>0</v>
      </c>
      <c r="G180" s="287">
        <f>C180+D180+E180-F180</f>
        <v>0</v>
      </c>
    </row>
    <row r="181" spans="1:9" s="477" customFormat="1" ht="24" hidden="1" customHeight="1">
      <c r="A181" s="162"/>
      <c r="B181" s="475" t="str">
        <f>'nota 1.1.-1.2'!B174</f>
        <v>Ogółem</v>
      </c>
      <c r="C181" s="287">
        <f>SUM(C179:C180)</f>
        <v>0</v>
      </c>
      <c r="D181" s="287">
        <f>SUM(D179:D180)</f>
        <v>0</v>
      </c>
      <c r="E181" s="287">
        <f>SUM(E179:E180)</f>
        <v>0</v>
      </c>
      <c r="F181" s="287">
        <f>SUM(F179:F180)</f>
        <v>0</v>
      </c>
      <c r="G181" s="287">
        <f>C181+D181+E181-F181</f>
        <v>0</v>
      </c>
    </row>
    <row r="182" spans="1:9" hidden="1"/>
    <row r="183" spans="1:9" hidden="1">
      <c r="B183" s="782" t="str">
        <f>B176</f>
        <v>Opis</v>
      </c>
      <c r="C183" s="782"/>
      <c r="D183" s="785" t="str">
        <f>CHOOSE(jezyk,n!A642,n!B642,n!C642,n!D640)</f>
        <v>Wartość netto</v>
      </c>
      <c r="E183" s="785"/>
      <c r="F183" s="167"/>
      <c r="G183" s="167"/>
    </row>
    <row r="184" spans="1:9" hidden="1">
      <c r="B184" s="782"/>
      <c r="C184" s="782"/>
      <c r="D184" s="786" t="str">
        <f>CHOOSE(jezyk,n!A626,n!B626,n!C626,n!D623)</f>
        <v>Stan na 
01.01.2024</v>
      </c>
      <c r="E184" s="782" t="str">
        <f>CHOOSE(jezyk,n!A639,n!B639,n!C639,n!D635)</f>
        <v>Stan na 
31.12.2024</v>
      </c>
      <c r="F184" s="468"/>
      <c r="G184" s="468"/>
    </row>
    <row r="185" spans="1:9" ht="30" hidden="1" customHeight="1">
      <c r="B185" s="782"/>
      <c r="C185" s="782"/>
      <c r="D185" s="786"/>
      <c r="E185" s="782"/>
      <c r="H185" s="470" t="str">
        <f>dzb</f>
        <v>31.12.2024</v>
      </c>
      <c r="I185" s="335" t="str">
        <f>pdz</f>
        <v>31.12.2023</v>
      </c>
    </row>
    <row r="186" spans="1:9" ht="18" hidden="1" customHeight="1">
      <c r="B186" s="781" t="str">
        <f>'nota 1.1.-1.2'!B179</f>
        <v>Nieruchomości</v>
      </c>
      <c r="C186" s="781"/>
      <c r="D186" s="287">
        <f>'nota 1.1.-1.2'!C170-'nota 1.1.-1.2'!C179</f>
        <v>0</v>
      </c>
      <c r="E186" s="287">
        <f>'nota 1.1.-1.2'!G170-'nota 1.1.-1.2'!G179</f>
        <v>0</v>
      </c>
      <c r="H186" s="471">
        <f>ROUND(E186-Bilans!J40,2)</f>
        <v>0</v>
      </c>
      <c r="I186" s="471">
        <f>ROUND(D186-Bilans!K40,2)</f>
        <v>0</v>
      </c>
    </row>
    <row r="187" spans="1:9" ht="18" hidden="1" customHeight="1">
      <c r="B187" s="781" t="str">
        <f>'nota 1.1.-1.2'!B180</f>
        <v>Wartości niematerialne i prawne</v>
      </c>
      <c r="C187" s="781"/>
      <c r="D187" s="287">
        <f>'nota 1.1.-1.2'!C171-'nota 1.1.-1.2'!C180</f>
        <v>0</v>
      </c>
      <c r="E187" s="287">
        <f>'nota 1.1.-1.2'!G171-'nota 1.1.-1.2'!G180</f>
        <v>0</v>
      </c>
      <c r="H187" s="471">
        <f>ROUND(E187-Bilans!J41,2)</f>
        <v>0</v>
      </c>
      <c r="I187" s="471">
        <f>ROUND(D187-Bilans!K41,2)</f>
        <v>0</v>
      </c>
    </row>
    <row r="188" spans="1:9" ht="18" hidden="1" customHeight="1">
      <c r="B188" s="781" t="str">
        <f>CHOOSE(jezyk,n!A658,n!B658,n!C658,n!D656)</f>
        <v>Długoterminowe aktywa finansowe</v>
      </c>
      <c r="C188" s="781"/>
      <c r="D188" s="287">
        <f>'nota 1.1.-1.2'!C172</f>
        <v>0</v>
      </c>
      <c r="E188" s="287">
        <f>'nota 1.1.-1.2'!G172</f>
        <v>0</v>
      </c>
      <c r="H188" s="471">
        <f>ROUND(E188-Bilans!J42,2)</f>
        <v>0</v>
      </c>
      <c r="I188" s="471">
        <f>ROUND(D188-Bilans!K42,2)</f>
        <v>0</v>
      </c>
    </row>
    <row r="189" spans="1:9" ht="18" hidden="1" customHeight="1">
      <c r="B189" s="781" t="str">
        <f>CHOOSE(jezyk,n!A659,n!B659,n!C659,n!D657)</f>
        <v>Inne inwestycje długoterminowe</v>
      </c>
      <c r="C189" s="781"/>
      <c r="D189" s="287">
        <f>'nota 1.1.-1.2'!C173</f>
        <v>0</v>
      </c>
      <c r="E189" s="287">
        <f>'nota 1.1.-1.2'!G173</f>
        <v>0</v>
      </c>
      <c r="H189" s="471">
        <f>ROUND(E189-Bilans!J62,2)</f>
        <v>0</v>
      </c>
      <c r="I189" s="471">
        <f>ROUND(D189-Bilans!K62,2)</f>
        <v>0</v>
      </c>
    </row>
    <row r="190" spans="1:9" ht="18" hidden="1" customHeight="1">
      <c r="B190" s="781" t="str">
        <f>'nota 1.1.-1.2'!B181</f>
        <v>Ogółem</v>
      </c>
      <c r="C190" s="781"/>
      <c r="D190" s="287">
        <f>SUM(D186:D189)</f>
        <v>0</v>
      </c>
      <c r="E190" s="287">
        <f>SUM(E186:E189)</f>
        <v>0</v>
      </c>
      <c r="H190" s="471">
        <f>ROUND(E190-Bilans!J38,2)</f>
        <v>0</v>
      </c>
      <c r="I190" s="471">
        <f>ROUND(D190-Bilans!K38,2)</f>
        <v>0</v>
      </c>
    </row>
    <row r="191" spans="1:9" hidden="1">
      <c r="H191" s="476">
        <f>SUM(H186:H190)</f>
        <v>0</v>
      </c>
      <c r="I191" s="476">
        <f>SUM(I186:I190)</f>
        <v>0</v>
      </c>
    </row>
    <row r="192" spans="1:9" hidden="1">
      <c r="B192" s="478" t="str">
        <f>CHOOSE(jezyk,n!A660,n!B660,n!C660,n!D658)</f>
        <v>Informacje uzupełniające do zestawienia inwestycji długoterminowych:</v>
      </c>
    </row>
    <row r="193" spans="2:9" hidden="1">
      <c r="B193" s="478"/>
    </row>
    <row r="194" spans="2:9" hidden="1">
      <c r="B194" s="794" t="str">
        <f>CHOOSE(jezyk,n!A1131,n!B1131,n!C1131,n!D1129)</f>
        <v>Nie dotyczy</v>
      </c>
      <c r="C194" s="794"/>
      <c r="D194" s="794"/>
      <c r="E194" s="794"/>
      <c r="F194" s="794"/>
      <c r="G194" s="794"/>
      <c r="H194" s="479"/>
      <c r="I194" s="479"/>
    </row>
    <row r="195" spans="2:9" hidden="1"/>
    <row r="196" spans="2:9" ht="19.5" hidden="1" customHeight="1"/>
    <row r="197" spans="2:9" ht="16.5" hidden="1">
      <c r="B197" s="787" t="str">
        <f>B161</f>
        <v>1.1c. Zestawienie inwestycji długoterminowych</v>
      </c>
      <c r="C197" s="787"/>
      <c r="D197" s="787"/>
      <c r="E197" s="787"/>
      <c r="F197" s="787"/>
      <c r="G197" s="787"/>
    </row>
    <row r="198" spans="2:9" ht="16.5" hidden="1">
      <c r="B198" s="366"/>
      <c r="C198" s="366"/>
      <c r="D198" s="366"/>
      <c r="E198" s="366"/>
      <c r="F198" s="366"/>
      <c r="G198" s="366"/>
    </row>
    <row r="199" spans="2:9" ht="15" hidden="1" customHeight="1">
      <c r="B199" s="774" t="str">
        <f>CHOOSE(jezyk,n!A617,n!B617,n!C617,n!D615)</f>
        <v>Rok obrotowy 2023</v>
      </c>
      <c r="C199" s="775"/>
    </row>
    <row r="200" spans="2:9" hidden="1"/>
    <row r="201" spans="2:9" hidden="1">
      <c r="B201" s="778" t="str">
        <f>B167</f>
        <v>Opis</v>
      </c>
      <c r="C201" s="785" t="str">
        <f>C167</f>
        <v>Wartość brutto</v>
      </c>
      <c r="D201" s="785"/>
      <c r="E201" s="785"/>
      <c r="F201" s="785"/>
      <c r="G201" s="785"/>
    </row>
    <row r="202" spans="2:9" ht="12.75" hidden="1" customHeight="1">
      <c r="B202" s="788"/>
      <c r="C202" s="786" t="str">
        <f>CHOOSE(jezyk,n!A627,n!B627,n!C627,n!D627)</f>
        <v>Stan na 
01.01.2023</v>
      </c>
      <c r="D202" s="786" t="str">
        <f>D168</f>
        <v>Zwiększenia, z tytułu nabycia</v>
      </c>
      <c r="E202" s="786" t="str">
        <f>E168</f>
        <v>Przemieszczenia 
wewnętrzne (+/-)</v>
      </c>
      <c r="F202" s="786" t="str">
        <f>F168</f>
        <v>Zmniejszenia z tytułu rozchodu</v>
      </c>
      <c r="G202" s="786" t="str">
        <f>CHOOSE(jezyk,n!A638,n!B638,n!C638,n!D638)</f>
        <v>Stan na 
31.12.2023</v>
      </c>
    </row>
    <row r="203" spans="2:9" ht="30" hidden="1" customHeight="1">
      <c r="B203" s="779"/>
      <c r="C203" s="786"/>
      <c r="D203" s="786"/>
      <c r="E203" s="786"/>
      <c r="F203" s="786"/>
      <c r="G203" s="786"/>
    </row>
    <row r="204" spans="2:9" ht="24" hidden="1" customHeight="1">
      <c r="B204" s="286" t="str">
        <f>B170</f>
        <v>Nieruchomości</v>
      </c>
      <c r="C204" s="288">
        <v>0</v>
      </c>
      <c r="D204" s="288">
        <v>0</v>
      </c>
      <c r="E204" s="288">
        <v>0</v>
      </c>
      <c r="F204" s="288">
        <v>0</v>
      </c>
      <c r="G204" s="287">
        <f>C204+D204+E204-F204</f>
        <v>0</v>
      </c>
    </row>
    <row r="205" spans="2:9" ht="24" hidden="1" customHeight="1">
      <c r="B205" s="286" t="str">
        <f>B171</f>
        <v>Wartości niematerialne i prawne</v>
      </c>
      <c r="C205" s="288">
        <v>0</v>
      </c>
      <c r="D205" s="288">
        <v>0</v>
      </c>
      <c r="E205" s="288">
        <v>0</v>
      </c>
      <c r="F205" s="288">
        <v>0</v>
      </c>
      <c r="G205" s="287">
        <f>C205+D205+E205-F205</f>
        <v>0</v>
      </c>
    </row>
    <row r="206" spans="2:9" ht="24" hidden="1" customHeight="1">
      <c r="B206" s="286" t="str">
        <f>B172</f>
        <v>Długoterminowe aktywa finansowe</v>
      </c>
      <c r="C206" s="288">
        <v>0</v>
      </c>
      <c r="D206" s="288">
        <v>0</v>
      </c>
      <c r="E206" s="288">
        <v>0</v>
      </c>
      <c r="F206" s="288">
        <v>0</v>
      </c>
      <c r="G206" s="287">
        <f>C206+D206+E206-F206</f>
        <v>0</v>
      </c>
    </row>
    <row r="207" spans="2:9" ht="24" hidden="1" customHeight="1">
      <c r="B207" s="286" t="str">
        <f>B173</f>
        <v>Inne inwestycje długoterminowe</v>
      </c>
      <c r="C207" s="288">
        <v>0</v>
      </c>
      <c r="D207" s="288">
        <v>0</v>
      </c>
      <c r="E207" s="288">
        <v>0</v>
      </c>
      <c r="F207" s="288">
        <v>0</v>
      </c>
      <c r="G207" s="287">
        <f>C207+D207+E207-F207</f>
        <v>0</v>
      </c>
    </row>
    <row r="208" spans="2:9" ht="24" hidden="1" customHeight="1">
      <c r="B208" s="286" t="str">
        <f>B174</f>
        <v>Ogółem</v>
      </c>
      <c r="C208" s="287">
        <f>SUM(C204:C207)</f>
        <v>0</v>
      </c>
      <c r="D208" s="287">
        <f>SUM(D204:D207)</f>
        <v>0</v>
      </c>
      <c r="E208" s="287">
        <f>SUM(E204:E207)</f>
        <v>0</v>
      </c>
      <c r="F208" s="287">
        <f>SUM(F204:F207)</f>
        <v>0</v>
      </c>
      <c r="G208" s="287">
        <f>C208+D208+E208-F208</f>
        <v>0</v>
      </c>
    </row>
    <row r="209" spans="2:8" hidden="1"/>
    <row r="210" spans="2:8" hidden="1">
      <c r="B210" s="782" t="str">
        <f>B201</f>
        <v>Opis</v>
      </c>
      <c r="C210" s="795" t="str">
        <f>C176</f>
        <v>Umorzenie</v>
      </c>
      <c r="D210" s="796"/>
      <c r="E210" s="796"/>
      <c r="F210" s="796"/>
      <c r="G210" s="797"/>
    </row>
    <row r="211" spans="2:8" ht="12.75" hidden="1" customHeight="1">
      <c r="B211" s="782"/>
      <c r="C211" s="786" t="str">
        <f>CHOOSE(jezyk,n!A627,n!B627,n!C627,n!D627)</f>
        <v>Stan na 
01.01.2023</v>
      </c>
      <c r="D211" s="786" t="str">
        <f>D177</f>
        <v>Zwiększenia z tytułu umorzenia</v>
      </c>
      <c r="E211" s="786" t="str">
        <f>E177</f>
        <v>Przemieszczenia 
wewnętrzne (+/-)</v>
      </c>
      <c r="F211" s="786" t="str">
        <f>F177</f>
        <v>Zmniejszenia z tytułu rozchodu</v>
      </c>
      <c r="G211" s="786" t="str">
        <f>CHOOSE(jezyk,n!A638,n!B638,n!C638,n!D638)</f>
        <v>Stan na 
31.12.2023</v>
      </c>
    </row>
    <row r="212" spans="2:8" ht="39" hidden="1" customHeight="1">
      <c r="B212" s="782"/>
      <c r="C212" s="786"/>
      <c r="D212" s="786"/>
      <c r="E212" s="786"/>
      <c r="F212" s="786"/>
      <c r="G212" s="786"/>
    </row>
    <row r="213" spans="2:8" ht="24" hidden="1" customHeight="1">
      <c r="B213" s="475" t="str">
        <f>'nota 1.1.-1.2'!B204</f>
        <v>Nieruchomości</v>
      </c>
      <c r="C213" s="288">
        <v>0</v>
      </c>
      <c r="D213" s="288">
        <v>0</v>
      </c>
      <c r="E213" s="288">
        <v>0</v>
      </c>
      <c r="F213" s="288">
        <v>0</v>
      </c>
      <c r="G213" s="287">
        <f>C213+D213+E213-F213</f>
        <v>0</v>
      </c>
      <c r="H213" s="477"/>
    </row>
    <row r="214" spans="2:8" ht="24" hidden="1" customHeight="1">
      <c r="B214" s="475" t="str">
        <f>'nota 1.1.-1.2'!B205</f>
        <v>Wartości niematerialne i prawne</v>
      </c>
      <c r="C214" s="288">
        <v>0</v>
      </c>
      <c r="D214" s="288">
        <v>0</v>
      </c>
      <c r="E214" s="288">
        <v>0</v>
      </c>
      <c r="F214" s="288">
        <v>0</v>
      </c>
      <c r="G214" s="287">
        <f>C214+D214+E214-F214</f>
        <v>0</v>
      </c>
      <c r="H214" s="477"/>
    </row>
    <row r="215" spans="2:8" ht="24" hidden="1" customHeight="1">
      <c r="B215" s="475" t="str">
        <f>'nota 1.1.-1.2'!B208</f>
        <v>Ogółem</v>
      </c>
      <c r="C215" s="287">
        <f>SUM(C213:C214)</f>
        <v>0</v>
      </c>
      <c r="D215" s="287">
        <f>SUM(D213:D214)</f>
        <v>0</v>
      </c>
      <c r="E215" s="287">
        <f>SUM(E213:E214)</f>
        <v>0</v>
      </c>
      <c r="F215" s="287">
        <f>SUM(F213:F214)</f>
        <v>0</v>
      </c>
      <c r="G215" s="287">
        <f>C215+D215+E215-F215</f>
        <v>0</v>
      </c>
      <c r="H215" s="477"/>
    </row>
    <row r="216" spans="2:8" hidden="1"/>
    <row r="217" spans="2:8" hidden="1">
      <c r="B217" s="782" t="str">
        <f>B210</f>
        <v>Opis</v>
      </c>
      <c r="C217" s="782"/>
      <c r="D217" s="785" t="str">
        <f>D183</f>
        <v>Wartość netto</v>
      </c>
      <c r="E217" s="785"/>
      <c r="F217" s="167"/>
      <c r="G217" s="167"/>
    </row>
    <row r="218" spans="2:8" ht="12.75" hidden="1" customHeight="1">
      <c r="B218" s="782"/>
      <c r="C218" s="782"/>
      <c r="D218" s="786" t="str">
        <f>CHOOSE(jezyk,n!A627,n!B627,n!C627,n!D627)</f>
        <v>Stan na 
01.01.2023</v>
      </c>
      <c r="E218" s="782" t="str">
        <f>CHOOSE(jezyk,n!A638,n!B638,n!C638,n!D638)</f>
        <v>Stan na 
31.12.2023</v>
      </c>
      <c r="F218" s="468"/>
      <c r="G218" s="468"/>
    </row>
    <row r="219" spans="2:8" ht="29.25" hidden="1" customHeight="1">
      <c r="B219" s="782"/>
      <c r="C219" s="782"/>
      <c r="D219" s="786"/>
      <c r="E219" s="782"/>
      <c r="H219" s="470" t="str">
        <f>I185</f>
        <v>31.12.2023</v>
      </c>
    </row>
    <row r="220" spans="2:8" ht="18" hidden="1" customHeight="1">
      <c r="B220" s="781" t="str">
        <f>'nota 1.1.-1.2'!B213</f>
        <v>Nieruchomości</v>
      </c>
      <c r="C220" s="781"/>
      <c r="D220" s="287">
        <f>'nota 1.1.-1.2'!C204-'nota 1.1.-1.2'!C213</f>
        <v>0</v>
      </c>
      <c r="E220" s="287">
        <f>'nota 1.1.-1.2'!G204-'nota 1.1.-1.2'!G213</f>
        <v>0</v>
      </c>
      <c r="H220" s="471">
        <f>E220-D186</f>
        <v>0</v>
      </c>
    </row>
    <row r="221" spans="2:8" ht="18" hidden="1" customHeight="1">
      <c r="B221" s="781" t="str">
        <f>'nota 1.1.-1.2'!B214</f>
        <v>Wartości niematerialne i prawne</v>
      </c>
      <c r="C221" s="781"/>
      <c r="D221" s="287">
        <f>'nota 1.1.-1.2'!C205-'nota 1.1.-1.2'!C214</f>
        <v>0</v>
      </c>
      <c r="E221" s="287">
        <f>'nota 1.1.-1.2'!G205-'nota 1.1.-1.2'!G214</f>
        <v>0</v>
      </c>
      <c r="H221" s="471">
        <f>E221-D187</f>
        <v>0</v>
      </c>
    </row>
    <row r="222" spans="2:8" ht="18" hidden="1" customHeight="1">
      <c r="B222" s="781" t="str">
        <f>CHOOSE(jezyk,n!A658,n!B658,n!C658,n!D656)</f>
        <v>Długoterminowe aktywa finansowe</v>
      </c>
      <c r="C222" s="781"/>
      <c r="D222" s="287">
        <f>'nota 1.1.-1.2'!C206</f>
        <v>0</v>
      </c>
      <c r="E222" s="287">
        <f>'nota 1.1.-1.2'!G206</f>
        <v>0</v>
      </c>
      <c r="H222" s="471">
        <f>E222-D188</f>
        <v>0</v>
      </c>
    </row>
    <row r="223" spans="2:8" ht="18" hidden="1" customHeight="1">
      <c r="B223" s="781" t="str">
        <f>CHOOSE(jezyk,n!A659,n!B659,n!C659,n!D657)</f>
        <v>Inne inwestycje długoterminowe</v>
      </c>
      <c r="C223" s="781"/>
      <c r="D223" s="287">
        <f>'nota 1.1.-1.2'!C207</f>
        <v>0</v>
      </c>
      <c r="E223" s="287">
        <f>'nota 1.1.-1.2'!G207</f>
        <v>0</v>
      </c>
      <c r="H223" s="471">
        <f>E223-D189</f>
        <v>0</v>
      </c>
    </row>
    <row r="224" spans="2:8" ht="18" hidden="1" customHeight="1">
      <c r="B224" s="781" t="str">
        <f>'nota 1.1.-1.2'!B215</f>
        <v>Ogółem</v>
      </c>
      <c r="C224" s="781"/>
      <c r="D224" s="287">
        <f>SUM(D220:D223)</f>
        <v>0</v>
      </c>
      <c r="E224" s="287">
        <f>SUM(E220:E223)</f>
        <v>0</v>
      </c>
      <c r="H224" s="471">
        <f>E224-D190</f>
        <v>0</v>
      </c>
    </row>
    <row r="225" spans="2:8" hidden="1"/>
    <row r="226" spans="2:8" hidden="1"/>
    <row r="227" spans="2:8" ht="19.5" hidden="1" customHeight="1"/>
    <row r="228" spans="2:8" ht="16.5" customHeight="1">
      <c r="B228" s="780" t="str">
        <f>"1.2. " &amp;CHOOSE(jezyk,n!A756,n!B756,n!C756,n!D754)</f>
        <v>1.2. Dane o odpisach aktualizujących długoterminowe aktywa finansowe i niefinansowe</v>
      </c>
      <c r="C228" s="780"/>
      <c r="D228" s="780"/>
      <c r="E228" s="780"/>
      <c r="F228" s="780"/>
      <c r="G228" s="780"/>
      <c r="H228" s="370"/>
    </row>
    <row r="229" spans="2:8" ht="16.5" customHeight="1">
      <c r="B229" s="780"/>
      <c r="C229" s="780"/>
      <c r="D229" s="780"/>
      <c r="E229" s="780"/>
      <c r="F229" s="780"/>
      <c r="G229" s="780"/>
      <c r="H229" s="370"/>
    </row>
    <row r="230" spans="2:8" ht="12.75" customHeight="1">
      <c r="B230" s="368"/>
      <c r="C230" s="369"/>
      <c r="D230" s="369"/>
      <c r="E230" s="369"/>
      <c r="F230" s="368"/>
      <c r="G230" s="367"/>
      <c r="H230" s="367"/>
    </row>
    <row r="231" spans="2:8">
      <c r="B231" s="777" t="str">
        <f>IF(GA!F75&lt;&gt;"nie",CHOOSE(jezyk,n!A643,n!B643,n!C643,n!D641),CHOOSE(jezyk,n!A644,n!B644,n!C644,n!D644))</f>
        <v>Pozycja nie wystąpiła zarówno w roku obrotowym 2024, jak i w roku poprzednim.</v>
      </c>
      <c r="C231" s="777"/>
      <c r="D231" s="777"/>
      <c r="E231" s="777"/>
      <c r="F231" s="777"/>
      <c r="G231" s="777"/>
      <c r="H231" s="130" t="s">
        <v>6785</v>
      </c>
    </row>
    <row r="232" spans="2:8" ht="12.2" hidden="1" customHeight="1">
      <c r="B232" s="368"/>
      <c r="C232" s="369"/>
      <c r="D232" s="369"/>
      <c r="E232" s="369"/>
      <c r="F232" s="368"/>
      <c r="G232" s="367"/>
      <c r="H232" s="367"/>
    </row>
    <row r="233" spans="2:8" ht="15" hidden="1" customHeight="1">
      <c r="B233" s="774" t="str">
        <f>CHOOSE(jezyk,n!A616,n!B616,n!C616,n!D614)</f>
        <v>Rok obrotowy 2024</v>
      </c>
      <c r="C233" s="775"/>
      <c r="D233" s="369"/>
      <c r="E233" s="369"/>
      <c r="F233" s="368"/>
      <c r="G233" s="367"/>
      <c r="H233" s="367"/>
    </row>
    <row r="234" spans="2:8" ht="12.2" hidden="1" customHeight="1">
      <c r="B234" s="368"/>
      <c r="C234" s="369"/>
      <c r="D234" s="369"/>
      <c r="E234" s="369"/>
      <c r="F234" s="368"/>
      <c r="G234" s="367"/>
      <c r="H234" s="367"/>
    </row>
    <row r="235" spans="2:8" hidden="1">
      <c r="B235" s="782" t="str">
        <f>CHOOSE(jezyk,n!A762,n!B762,n!C762,n!D760)</f>
        <v>Tytuł odpisu</v>
      </c>
      <c r="C235" s="783" t="str">
        <f>CHOOSE(jezyk,n!A626,n!B626,n!C626,n!D623)</f>
        <v>Stan na 
01.01.2024</v>
      </c>
      <c r="D235" s="778" t="str">
        <f>CHOOSE(jezyk,n!A764,n!B764,n!C764,n!D762)</f>
        <v>Zwiększenia</v>
      </c>
      <c r="E235" s="778" t="str">
        <f>CHOOSE(jezyk,n!A765,n!B765,n!C765,n!D763)</f>
        <v>Wykorzystanie</v>
      </c>
      <c r="F235" s="778" t="str">
        <f>CHOOSE(jezyk,n!A766,n!B766,n!C766,n!D764)</f>
        <v>Rozwiązanie</v>
      </c>
      <c r="G235" s="778" t="str">
        <f>CHOOSE(jezyk,n!A639,n!B639,n!C639,n!D635)</f>
        <v>Stan na 
31.12.2024</v>
      </c>
      <c r="H235" s="275"/>
    </row>
    <row r="236" spans="2:8" ht="30.75" hidden="1" customHeight="1">
      <c r="B236" s="782"/>
      <c r="C236" s="784"/>
      <c r="D236" s="779"/>
      <c r="E236" s="779"/>
      <c r="F236" s="779"/>
      <c r="G236" s="779"/>
      <c r="H236" s="275"/>
    </row>
    <row r="237" spans="2:8" ht="39" hidden="1" customHeight="1">
      <c r="B237" s="480" t="str">
        <f>CHOOSE(jezyk,n!A757,n!B757,n!C757,n!D755)</f>
        <v>Odpis aktualizujący długoterminowe aktywa finansowe</v>
      </c>
      <c r="C237" s="288">
        <v>0</v>
      </c>
      <c r="D237" s="288">
        <v>0</v>
      </c>
      <c r="E237" s="288">
        <v>0</v>
      </c>
      <c r="F237" s="288">
        <v>0</v>
      </c>
      <c r="G237" s="287" t="str">
        <f>IF((C237+D237-E237-F237)&lt;&gt;0,C237+D237-E237-F237," ")</f>
        <v xml:space="preserve"> </v>
      </c>
    </row>
    <row r="238" spans="2:8" ht="37.5" hidden="1" customHeight="1">
      <c r="B238" s="480" t="str">
        <f>CHOOSE(jezyk,n!A758,n!B758,n!C758,n!D756)</f>
        <v>Odpis aktualizujący długoterminowe aktywa niefinansowe</v>
      </c>
      <c r="C238" s="288">
        <v>0</v>
      </c>
      <c r="D238" s="288">
        <v>0</v>
      </c>
      <c r="E238" s="288">
        <v>0</v>
      </c>
      <c r="F238" s="288">
        <v>0</v>
      </c>
      <c r="G238" s="287" t="str">
        <f>IF((C238+D238-E238-F238)&lt;&gt;0,C238+D238-E238-F238," ")</f>
        <v xml:space="preserve"> </v>
      </c>
    </row>
    <row r="239" spans="2:8" ht="18" hidden="1" customHeight="1">
      <c r="B239" s="480"/>
      <c r="C239" s="288"/>
      <c r="D239" s="288"/>
      <c r="E239" s="288"/>
      <c r="F239" s="288"/>
      <c r="G239" s="287" t="str">
        <f>IF((C239+D239-E239-F239)&lt;&gt;0,C239+D239-E239-F239," ")</f>
        <v xml:space="preserve"> </v>
      </c>
    </row>
    <row r="240" spans="2:8" ht="18" hidden="1" customHeight="1">
      <c r="B240" s="286" t="str">
        <f>CHOOSE(jezyk,n!A768,n!B768,n!C768,n!D766)</f>
        <v>Ogółem</v>
      </c>
      <c r="C240" s="287">
        <f>SUM(C237:C239)</f>
        <v>0</v>
      </c>
      <c r="D240" s="287">
        <f>SUM(D237:D239)</f>
        <v>0</v>
      </c>
      <c r="E240" s="287">
        <f>SUM(E237:E239)</f>
        <v>0</v>
      </c>
      <c r="F240" s="287">
        <f>SUM(F237:F239)</f>
        <v>0</v>
      </c>
      <c r="G240" s="287">
        <f>SUM(G237:G239)</f>
        <v>0</v>
      </c>
    </row>
    <row r="241" spans="2:8" hidden="1"/>
    <row r="242" spans="2:8" hidden="1">
      <c r="B242" s="776" t="s">
        <v>6786</v>
      </c>
      <c r="C242" s="776"/>
      <c r="D242" s="776"/>
      <c r="E242" s="776"/>
      <c r="F242" s="776"/>
      <c r="G242" s="776"/>
      <c r="H242" s="130" t="s">
        <v>6785</v>
      </c>
    </row>
    <row r="243" spans="2:8" hidden="1"/>
    <row r="244" spans="2:8" ht="15" hidden="1" customHeight="1">
      <c r="B244" s="774" t="str">
        <f>CHOOSE(jezyk,n!A617,n!B617,n!C617,n!D615)</f>
        <v>Rok obrotowy 2023</v>
      </c>
      <c r="C244" s="775"/>
    </row>
    <row r="245" spans="2:8" hidden="1"/>
    <row r="246" spans="2:8" hidden="1">
      <c r="B246" s="782" t="str">
        <f t="shared" ref="B246:F246" si="8">B235</f>
        <v>Tytuł odpisu</v>
      </c>
      <c r="C246" s="783" t="str">
        <f>CHOOSE(jezyk,n!A627,n!B627,n!C627,n!D627)</f>
        <v>Stan na 
01.01.2023</v>
      </c>
      <c r="D246" s="778" t="str">
        <f t="shared" si="8"/>
        <v>Zwiększenia</v>
      </c>
      <c r="E246" s="778" t="str">
        <f t="shared" si="8"/>
        <v>Wykorzystanie</v>
      </c>
      <c r="F246" s="778" t="str">
        <f t="shared" si="8"/>
        <v>Rozwiązanie</v>
      </c>
      <c r="G246" s="778" t="str">
        <f>CHOOSE(jezyk,n!A638,n!B638,n!C638,n!D638)</f>
        <v>Stan na 
31.12.2023</v>
      </c>
    </row>
    <row r="247" spans="2:8" ht="30.75" hidden="1" customHeight="1">
      <c r="B247" s="782"/>
      <c r="C247" s="784"/>
      <c r="D247" s="779"/>
      <c r="E247" s="779"/>
      <c r="F247" s="779"/>
      <c r="G247" s="779"/>
    </row>
    <row r="248" spans="2:8" ht="39" hidden="1" customHeight="1">
      <c r="B248" s="480" t="str">
        <f>B237</f>
        <v>Odpis aktualizujący długoterminowe aktywa finansowe</v>
      </c>
      <c r="C248" s="288">
        <v>0</v>
      </c>
      <c r="D248" s="288">
        <v>0</v>
      </c>
      <c r="E248" s="288">
        <v>0</v>
      </c>
      <c r="F248" s="288">
        <v>0</v>
      </c>
      <c r="G248" s="287" t="str">
        <f>IF((C248+D248-E248-F248)&lt;&gt;0,C248+D248-E248-F248," ")</f>
        <v xml:space="preserve"> </v>
      </c>
    </row>
    <row r="249" spans="2:8" ht="37.5" hidden="1" customHeight="1">
      <c r="B249" s="480" t="str">
        <f>B238</f>
        <v>Odpis aktualizujący długoterminowe aktywa niefinansowe</v>
      </c>
      <c r="C249" s="288">
        <v>0</v>
      </c>
      <c r="D249" s="288">
        <v>0</v>
      </c>
      <c r="E249" s="288">
        <v>0</v>
      </c>
      <c r="F249" s="288">
        <v>0</v>
      </c>
      <c r="G249" s="287" t="str">
        <f>IF((C249+D249-E249-F249)&lt;&gt;0,C249+D249-E249-F249," ")</f>
        <v xml:space="preserve"> </v>
      </c>
    </row>
    <row r="250" spans="2:8" ht="18" hidden="1" customHeight="1">
      <c r="B250" s="480"/>
      <c r="C250" s="288"/>
      <c r="D250" s="288"/>
      <c r="E250" s="288"/>
      <c r="F250" s="288"/>
      <c r="G250" s="287" t="str">
        <f>IF((C250+D250-E250-F250)&lt;&gt;0,C250+D250-E250-F250," ")</f>
        <v xml:space="preserve"> </v>
      </c>
    </row>
    <row r="251" spans="2:8" ht="18" hidden="1" customHeight="1">
      <c r="B251" s="286" t="str">
        <f>B240</f>
        <v>Ogółem</v>
      </c>
      <c r="C251" s="287">
        <f>SUM(C248:C250)</f>
        <v>0</v>
      </c>
      <c r="D251" s="287">
        <f>SUM(D248:D250)</f>
        <v>0</v>
      </c>
      <c r="E251" s="287">
        <f>SUM(E248:E250)</f>
        <v>0</v>
      </c>
      <c r="F251" s="287">
        <f>SUM(F248:F250)</f>
        <v>0</v>
      </c>
      <c r="G251" s="287">
        <f>SUM(G248:G250)</f>
        <v>0</v>
      </c>
    </row>
  </sheetData>
  <mergeCells count="194">
    <mergeCell ref="B246:B247"/>
    <mergeCell ref="C246:C247"/>
    <mergeCell ref="D246:D247"/>
    <mergeCell ref="E246:E247"/>
    <mergeCell ref="F246:F247"/>
    <mergeCell ref="G246:G247"/>
    <mergeCell ref="B21:B23"/>
    <mergeCell ref="C21:G21"/>
    <mergeCell ref="B61:B63"/>
    <mergeCell ref="B30:B32"/>
    <mergeCell ref="B52:B54"/>
    <mergeCell ref="C52:G52"/>
    <mergeCell ref="B88:B90"/>
    <mergeCell ref="C88:G88"/>
    <mergeCell ref="B103:D105"/>
    <mergeCell ref="E53:E54"/>
    <mergeCell ref="F53:F54"/>
    <mergeCell ref="G53:G54"/>
    <mergeCell ref="C61:F61"/>
    <mergeCell ref="C62:D63"/>
    <mergeCell ref="E62:F63"/>
    <mergeCell ref="B43:B45"/>
    <mergeCell ref="C43:G43"/>
    <mergeCell ref="C44:C45"/>
    <mergeCell ref="B194:G194"/>
    <mergeCell ref="C176:G176"/>
    <mergeCell ref="B176:B178"/>
    <mergeCell ref="B136:B138"/>
    <mergeCell ref="C136:G136"/>
    <mergeCell ref="B210:B212"/>
    <mergeCell ref="C210:G210"/>
    <mergeCell ref="C64:D64"/>
    <mergeCell ref="E64:F64"/>
    <mergeCell ref="C65:D65"/>
    <mergeCell ref="E65:F65"/>
    <mergeCell ref="C66:D66"/>
    <mergeCell ref="E66:F66"/>
    <mergeCell ref="C67:D67"/>
    <mergeCell ref="E67:F67"/>
    <mergeCell ref="C68:D68"/>
    <mergeCell ref="E68:F68"/>
    <mergeCell ref="B111:D111"/>
    <mergeCell ref="B112:D112"/>
    <mergeCell ref="B113:D113"/>
    <mergeCell ref="B99:G99"/>
    <mergeCell ref="C89:C90"/>
    <mergeCell ref="G89:G90"/>
    <mergeCell ref="E89:E90"/>
    <mergeCell ref="C30:F30"/>
    <mergeCell ref="C31:D32"/>
    <mergeCell ref="E31:F32"/>
    <mergeCell ref="C33:D33"/>
    <mergeCell ref="C34:D34"/>
    <mergeCell ref="C35:D35"/>
    <mergeCell ref="C36:D36"/>
    <mergeCell ref="E33:F33"/>
    <mergeCell ref="E34:F34"/>
    <mergeCell ref="E35:F35"/>
    <mergeCell ref="E36:F36"/>
    <mergeCell ref="D44:D45"/>
    <mergeCell ref="E44:E45"/>
    <mergeCell ref="F44:F45"/>
    <mergeCell ref="G44:G45"/>
    <mergeCell ref="B39:G39"/>
    <mergeCell ref="C37:D37"/>
    <mergeCell ref="C77:C78"/>
    <mergeCell ref="G77:G78"/>
    <mergeCell ref="E77:E78"/>
    <mergeCell ref="B70:G70"/>
    <mergeCell ref="C76:G76"/>
    <mergeCell ref="D77:D78"/>
    <mergeCell ref="F77:F78"/>
    <mergeCell ref="B76:B78"/>
    <mergeCell ref="B72:G72"/>
    <mergeCell ref="E37:F37"/>
    <mergeCell ref="C53:C54"/>
    <mergeCell ref="D53:D54"/>
    <mergeCell ref="B41:C41"/>
    <mergeCell ref="B74:C74"/>
    <mergeCell ref="B1:K1"/>
    <mergeCell ref="B4:G4"/>
    <mergeCell ref="B6:G6"/>
    <mergeCell ref="C12:G12"/>
    <mergeCell ref="H20:O20"/>
    <mergeCell ref="C13:C14"/>
    <mergeCell ref="G13:G14"/>
    <mergeCell ref="E13:E14"/>
    <mergeCell ref="E22:E23"/>
    <mergeCell ref="G22:G23"/>
    <mergeCell ref="C22:C23"/>
    <mergeCell ref="D22:D23"/>
    <mergeCell ref="F22:F23"/>
    <mergeCell ref="B12:B14"/>
    <mergeCell ref="D13:D14"/>
    <mergeCell ref="F13:F14"/>
    <mergeCell ref="B8:G8"/>
    <mergeCell ref="B10:C10"/>
    <mergeCell ref="D89:D90"/>
    <mergeCell ref="F89:F90"/>
    <mergeCell ref="E104:E105"/>
    <mergeCell ref="F104:F105"/>
    <mergeCell ref="E103:F103"/>
    <mergeCell ref="B106:D106"/>
    <mergeCell ref="B107:D107"/>
    <mergeCell ref="B108:D108"/>
    <mergeCell ref="B109:D109"/>
    <mergeCell ref="B101:C101"/>
    <mergeCell ref="B110:D110"/>
    <mergeCell ref="B154:D154"/>
    <mergeCell ref="B155:D155"/>
    <mergeCell ref="B156:D156"/>
    <mergeCell ref="C137:C138"/>
    <mergeCell ref="D137:D138"/>
    <mergeCell ref="E137:E138"/>
    <mergeCell ref="F137:F138"/>
    <mergeCell ref="G137:G138"/>
    <mergeCell ref="B120:B122"/>
    <mergeCell ref="C120:G120"/>
    <mergeCell ref="C121:C122"/>
    <mergeCell ref="D121:D122"/>
    <mergeCell ref="E121:E122"/>
    <mergeCell ref="F121:F122"/>
    <mergeCell ref="G121:G122"/>
    <mergeCell ref="B146:D148"/>
    <mergeCell ref="B116:G116"/>
    <mergeCell ref="B132:G132"/>
    <mergeCell ref="B149:D149"/>
    <mergeCell ref="B150:D150"/>
    <mergeCell ref="B151:D151"/>
    <mergeCell ref="B152:D152"/>
    <mergeCell ref="B153:D153"/>
    <mergeCell ref="E146:F146"/>
    <mergeCell ref="E147:E148"/>
    <mergeCell ref="F147:F148"/>
    <mergeCell ref="C177:C178"/>
    <mergeCell ref="G177:G178"/>
    <mergeCell ref="E177:E178"/>
    <mergeCell ref="D177:D178"/>
    <mergeCell ref="F177:F178"/>
    <mergeCell ref="B161:G161"/>
    <mergeCell ref="D168:D169"/>
    <mergeCell ref="F168:F169"/>
    <mergeCell ref="B167:B169"/>
    <mergeCell ref="C168:C169"/>
    <mergeCell ref="G168:G169"/>
    <mergeCell ref="C167:G167"/>
    <mergeCell ref="E168:E169"/>
    <mergeCell ref="B163:G163"/>
    <mergeCell ref="B186:C186"/>
    <mergeCell ref="B187:C187"/>
    <mergeCell ref="B188:C188"/>
    <mergeCell ref="B189:C189"/>
    <mergeCell ref="B190:C190"/>
    <mergeCell ref="D183:E183"/>
    <mergeCell ref="E184:E185"/>
    <mergeCell ref="D184:D185"/>
    <mergeCell ref="B183:C185"/>
    <mergeCell ref="D211:D212"/>
    <mergeCell ref="E211:E212"/>
    <mergeCell ref="F211:F212"/>
    <mergeCell ref="B217:C219"/>
    <mergeCell ref="G211:G212"/>
    <mergeCell ref="B197:G197"/>
    <mergeCell ref="B201:B203"/>
    <mergeCell ref="C201:G201"/>
    <mergeCell ref="C202:C203"/>
    <mergeCell ref="D202:D203"/>
    <mergeCell ref="E202:E203"/>
    <mergeCell ref="F202:F203"/>
    <mergeCell ref="G202:G203"/>
    <mergeCell ref="B118:C118"/>
    <mergeCell ref="B134:C134"/>
    <mergeCell ref="B165:C165"/>
    <mergeCell ref="B199:C199"/>
    <mergeCell ref="B233:C233"/>
    <mergeCell ref="B244:C244"/>
    <mergeCell ref="B242:G242"/>
    <mergeCell ref="B231:G231"/>
    <mergeCell ref="D235:D236"/>
    <mergeCell ref="E235:E236"/>
    <mergeCell ref="F235:F236"/>
    <mergeCell ref="G235:G236"/>
    <mergeCell ref="B228:G229"/>
    <mergeCell ref="B221:C221"/>
    <mergeCell ref="B222:C222"/>
    <mergeCell ref="B223:C223"/>
    <mergeCell ref="B224:C224"/>
    <mergeCell ref="B235:B236"/>
    <mergeCell ref="C235:C236"/>
    <mergeCell ref="D217:E217"/>
    <mergeCell ref="D218:D219"/>
    <mergeCell ref="E218:E219"/>
    <mergeCell ref="B220:C220"/>
    <mergeCell ref="C211:C212"/>
  </mergeCells>
  <phoneticPr fontId="0" type="noConversion"/>
  <dataValidations count="1">
    <dataValidation type="list" allowBlank="1" showInputMessage="1" showErrorMessage="1" sqref="M4:M6 M8:M9" xr:uid="{00000000-0002-0000-2400-000000000000}">
      <formula1>"tak,nie"</formula1>
    </dataValidation>
  </dataValidations>
  <hyperlinks>
    <hyperlink ref="B1:K1" location="'spis treści'!A1" display="SPIS TREŚCI" xr:uid="{00000000-0004-0000-2400-000000000000}"/>
  </hyperlinks>
  <printOptions horizontalCentered="1"/>
  <pageMargins left="0.39370078740157483" right="0.39370078740157483" top="0.35433070866141736" bottom="0.98425196850393704" header="0.27559055118110237" footer="0.27559055118110237"/>
  <pageSetup paperSize="9" fitToHeight="0" orientation="portrait" blackAndWhite="1" r:id="rId1"/>
  <headerFooter>
    <oddFooter>&amp;Lnota 1.1.-1.2</oddFooter>
  </headerFooter>
  <rowBreaks count="5" manualBreakCount="5">
    <brk id="68" min="1" max="6" man="1"/>
    <brk id="97" min="1" max="6" man="1"/>
    <brk id="159" min="1" max="6" man="1"/>
    <brk id="195" min="1" max="6" man="1"/>
    <brk id="226" min="1" max="6"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16">
    <pageSetUpPr fitToPage="1"/>
  </sheetPr>
  <dimension ref="A1:V128"/>
  <sheetViews>
    <sheetView showGridLines="0" tabSelected="1" view="pageBreakPreview" topLeftCell="A92" zoomScaleNormal="100" zoomScaleSheetLayoutView="100" workbookViewId="0">
      <selection activeCell="A113" sqref="A113:XFD128"/>
    </sheetView>
  </sheetViews>
  <sheetFormatPr defaultColWidth="9.140625" defaultRowHeight="12.75" customHeight="1"/>
  <cols>
    <col min="1" max="1" width="20" style="66" bestFit="1" customWidth="1"/>
    <col min="2" max="2" width="4.7109375" style="72" customWidth="1"/>
    <col min="3" max="3" width="8.140625" style="66" customWidth="1"/>
    <col min="4" max="4" width="10.140625" style="66" customWidth="1"/>
    <col min="5" max="5" width="13.85546875" style="66" customWidth="1"/>
    <col min="6" max="6" width="12.42578125" style="66" customWidth="1"/>
    <col min="7" max="7" width="11.7109375" style="66" customWidth="1"/>
    <col min="8" max="8" width="11" style="66" customWidth="1"/>
    <col min="9" max="9" width="12.7109375" style="66" customWidth="1"/>
    <col min="10" max="10" width="14.5703125" style="66" customWidth="1"/>
    <col min="11" max="11" width="12" style="66" customWidth="1"/>
    <col min="12" max="12" width="10.5703125" style="66" customWidth="1"/>
    <col min="13" max="17" width="9.140625" style="66"/>
    <col min="18" max="19" width="12.140625" style="66" customWidth="1"/>
    <col min="20" max="21" width="9.140625" style="66"/>
    <col min="22" max="22" width="9.140625" style="66" customWidth="1"/>
    <col min="23" max="16384" width="9.140625" style="66"/>
  </cols>
  <sheetData>
    <row r="1" spans="2:22" ht="12.75" customHeight="1">
      <c r="B1" s="749" t="s">
        <v>3202</v>
      </c>
      <c r="C1" s="749"/>
      <c r="D1" s="749"/>
      <c r="E1" s="749"/>
      <c r="F1" s="749"/>
      <c r="G1" s="749"/>
      <c r="H1" s="749"/>
      <c r="I1" s="749"/>
      <c r="J1" s="749"/>
    </row>
    <row r="2" spans="2:22" ht="12.75" customHeight="1">
      <c r="B2" s="386" t="str">
        <f>nazwa_spolki</f>
        <v>Rhenus Digital Workforce Sp. z o.o.</v>
      </c>
      <c r="C2" s="390"/>
      <c r="D2" s="390"/>
      <c r="E2" s="390"/>
      <c r="F2" s="390"/>
      <c r="G2" s="390"/>
      <c r="H2" s="390"/>
      <c r="I2" s="390"/>
      <c r="J2" s="390"/>
    </row>
    <row r="3" spans="2:22" ht="45.95" customHeight="1">
      <c r="B3" s="129" t="str">
        <f>tytul</f>
        <v>Sprawozdanie finansowe sporządzone za rok obrotowy 2024</v>
      </c>
      <c r="C3" s="390"/>
      <c r="D3" s="390"/>
      <c r="E3" s="390"/>
      <c r="F3" s="390"/>
      <c r="G3" s="390"/>
      <c r="H3" s="390"/>
      <c r="I3" s="390"/>
      <c r="J3" s="390"/>
    </row>
    <row r="4" spans="2:22" ht="20.25" customHeight="1">
      <c r="B4" s="789" t="str">
        <f>"1.3 - 1.10 "&amp;CHOOSE(jezyk,n!A613,n!B613,n!C613,n!D611)</f>
        <v>1.3 - 1.10 DODATKOWE INFORMACJE I OBJAŚNIENIA</v>
      </c>
      <c r="C4" s="789"/>
      <c r="D4" s="789"/>
      <c r="E4" s="789"/>
      <c r="F4" s="789"/>
      <c r="G4" s="789"/>
      <c r="H4" s="789"/>
      <c r="I4" s="789"/>
      <c r="J4" s="789"/>
    </row>
    <row r="6" spans="2:22" ht="12.75" customHeight="1">
      <c r="R6" s="650"/>
      <c r="S6" s="650"/>
      <c r="T6" s="650"/>
      <c r="U6" s="650"/>
      <c r="V6" s="650"/>
    </row>
    <row r="7" spans="2:22" ht="25.5" customHeight="1">
      <c r="B7" s="111" t="s">
        <v>6787</v>
      </c>
      <c r="C7" s="725" t="str">
        <f>CHOOSE(jezyk,n!A662,n!B662,n!C662,n!D662)</f>
        <v>Koszty zakończonych prac rozwojowych oraz wartość firmy, a także wyjaśnienie okresu ich odpisywania, określonego odpowiednio w art. 33 ust. 3 oraz art. 44b ust. 10 UoR</v>
      </c>
      <c r="D7" s="725"/>
      <c r="E7" s="725"/>
      <c r="F7" s="725"/>
      <c r="G7" s="725"/>
      <c r="H7" s="725"/>
      <c r="I7" s="725"/>
      <c r="J7" s="725"/>
      <c r="R7" s="650"/>
      <c r="S7" s="650"/>
      <c r="T7" s="650"/>
      <c r="U7" s="650"/>
      <c r="V7" s="650"/>
    </row>
    <row r="8" spans="2:22" ht="12.75" customHeight="1">
      <c r="R8" s="650"/>
      <c r="S8" s="650"/>
      <c r="T8" s="650"/>
      <c r="U8" s="650"/>
      <c r="V8" s="650"/>
    </row>
    <row r="9" spans="2:22" ht="16.5" customHeight="1">
      <c r="B9" s="111"/>
      <c r="C9" s="731" t="str">
        <f>CHOOSE(jezyk,n!A643,n!B643,n!C643,n!D641)</f>
        <v>Pozycja nie wystąpiła zarówno w roku obrotowym 2024, jak i w roku poprzednim.</v>
      </c>
      <c r="D9" s="731"/>
      <c r="E9" s="731"/>
      <c r="F9" s="731"/>
      <c r="G9" s="731"/>
      <c r="H9" s="731"/>
      <c r="I9" s="731"/>
      <c r="J9" s="731"/>
      <c r="K9" s="130" t="s">
        <v>6785</v>
      </c>
      <c r="R9" s="650"/>
      <c r="S9" s="650"/>
      <c r="T9" s="650"/>
      <c r="U9" s="650"/>
      <c r="V9" s="650"/>
    </row>
    <row r="10" spans="2:22" ht="12.75" customHeight="1">
      <c r="B10" s="111"/>
      <c r="C10" s="399"/>
      <c r="D10" s="399"/>
      <c r="E10" s="399"/>
      <c r="F10" s="399"/>
      <c r="G10" s="399"/>
      <c r="H10" s="399"/>
      <c r="I10" s="399"/>
      <c r="R10" s="650"/>
      <c r="S10" s="650"/>
      <c r="T10" s="650"/>
      <c r="U10" s="650"/>
      <c r="V10" s="650"/>
    </row>
    <row r="11" spans="2:22">
      <c r="B11" s="111" t="s">
        <v>6788</v>
      </c>
      <c r="C11" s="725" t="str">
        <f>CHOOSE(jezyk,n!A663,n!B663,n!C663,n!D661)</f>
        <v>Wartość gruntów użytkowanych wieczyście</v>
      </c>
      <c r="D11" s="725"/>
      <c r="E11" s="725"/>
      <c r="F11" s="725"/>
      <c r="G11" s="725"/>
      <c r="H11" s="725"/>
      <c r="I11" s="725"/>
      <c r="J11" s="725"/>
    </row>
    <row r="12" spans="2:22">
      <c r="C12" s="725"/>
      <c r="D12" s="725"/>
      <c r="E12" s="725"/>
      <c r="F12" s="725"/>
      <c r="G12" s="725"/>
      <c r="H12" s="725"/>
      <c r="I12" s="725"/>
      <c r="J12" s="725"/>
    </row>
    <row r="13" spans="2:22" ht="15.75" customHeight="1">
      <c r="B13" s="111"/>
      <c r="C13" s="731" t="str">
        <f>CHOOSE(jezyk,n!A664,n!B664,n!C664,n!D662)</f>
        <v>Spółka nie użytkuje wieczyście gruntów.</v>
      </c>
      <c r="D13" s="731"/>
      <c r="E13" s="731"/>
      <c r="F13" s="731"/>
      <c r="G13" s="731"/>
      <c r="H13" s="731"/>
      <c r="I13" s="731"/>
      <c r="J13" s="731"/>
      <c r="K13" s="130" t="s">
        <v>6785</v>
      </c>
    </row>
    <row r="14" spans="2:22" ht="12.75" hidden="1" customHeight="1"/>
    <row r="15" spans="2:22" ht="28.5" hidden="1" customHeight="1">
      <c r="C15" s="805" t="str">
        <f>CHOOSE(jezyk,n!A666,n!B666,n!C666,n!D663)</f>
        <v>Grunt użytkowany wieczyście</v>
      </c>
      <c r="D15" s="805"/>
      <c r="E15" s="805"/>
      <c r="F15" s="400" t="str">
        <f>CHOOSE(jezyk,n!A667,n!B667,n!C667,n!D664)</f>
        <v>Powierzchnia</v>
      </c>
      <c r="G15" s="805" t="str">
        <f>CHOOSE(jezyk,n!A639,n!B639,n!C639,n!D635)</f>
        <v>Stan na 
31.12.2024</v>
      </c>
      <c r="H15" s="805"/>
      <c r="I15" s="805" t="str">
        <f>CHOOSE(jezyk,n!A638,n!B638,n!C638,n!D638)</f>
        <v>Stan na 
31.12.2023</v>
      </c>
      <c r="J15" s="805"/>
    </row>
    <row r="16" spans="2:22" ht="14.1" hidden="1" customHeight="1">
      <c r="C16" s="817"/>
      <c r="D16" s="818"/>
      <c r="E16" s="819"/>
      <c r="F16" s="131"/>
      <c r="G16" s="820"/>
      <c r="H16" s="820"/>
      <c r="I16" s="820"/>
      <c r="J16" s="820"/>
    </row>
    <row r="17" spans="1:19" ht="14.1" hidden="1" customHeight="1">
      <c r="C17" s="817"/>
      <c r="D17" s="818"/>
      <c r="E17" s="819"/>
      <c r="F17" s="132"/>
      <c r="G17" s="820"/>
      <c r="H17" s="820"/>
      <c r="I17" s="820"/>
      <c r="J17" s="820"/>
    </row>
    <row r="18" spans="1:19" ht="14.1" hidden="1" customHeight="1">
      <c r="C18" s="133"/>
      <c r="D18" s="133"/>
      <c r="E18" s="133"/>
      <c r="F18" s="652">
        <f>SUM(F16:F17)</f>
        <v>0</v>
      </c>
      <c r="G18" s="826">
        <f>SUM(G16:H17)</f>
        <v>0</v>
      </c>
      <c r="H18" s="826"/>
      <c r="I18" s="826">
        <f>SUM(I16:J17)</f>
        <v>0</v>
      </c>
      <c r="J18" s="826"/>
    </row>
    <row r="20" spans="1:19" ht="25.5" customHeight="1">
      <c r="B20" s="111" t="s">
        <v>6789</v>
      </c>
      <c r="C20" s="725" t="str">
        <f>CHOOSE(jezyk,n!A668,n!B668,n!C668,n!A669)</f>
        <v>Wartość nieamortyzowanych lub nieumarzanych przez jednostkę środków trwałych, używanych na podstawie umów najmu, dzierżawy i innych umów, w tym z tytułu umów leasingu</v>
      </c>
      <c r="D20" s="725"/>
      <c r="E20" s="725"/>
      <c r="F20" s="725"/>
      <c r="G20" s="725"/>
      <c r="H20" s="725"/>
      <c r="I20" s="725"/>
      <c r="J20" s="725"/>
    </row>
    <row r="21" spans="1:19" ht="12.75" customHeight="1">
      <c r="C21" s="725"/>
      <c r="D21" s="725"/>
      <c r="E21" s="725"/>
      <c r="F21" s="725"/>
      <c r="G21" s="725"/>
      <c r="H21" s="725"/>
      <c r="I21" s="725"/>
      <c r="J21" s="725"/>
    </row>
    <row r="22" spans="1:19" ht="26.25" hidden="1" customHeight="1">
      <c r="C22" s="731" t="str">
        <f>CHOOSE(jezyk,n!A669,n!B669,n!C669,n!A669)</f>
        <v xml:space="preserve">Spółka nie posiada nieamortyzowanych środków trwałych, używanych na podstawie umów najmu, dzierżawy  lub umów o podobnym charakterze. </v>
      </c>
      <c r="D22" s="731"/>
      <c r="E22" s="731"/>
      <c r="F22" s="731"/>
      <c r="G22" s="731"/>
      <c r="H22" s="731"/>
      <c r="I22" s="731"/>
      <c r="J22" s="731"/>
      <c r="K22" s="130" t="s">
        <v>6785</v>
      </c>
    </row>
    <row r="23" spans="1:19" ht="12.75" hidden="1" customHeight="1">
      <c r="C23" s="758"/>
      <c r="D23" s="758"/>
      <c r="E23" s="758"/>
      <c r="F23" s="758"/>
      <c r="G23" s="758"/>
      <c r="H23" s="758"/>
      <c r="I23" s="758"/>
      <c r="J23" s="758"/>
      <c r="K23" s="130"/>
    </row>
    <row r="24" spans="1:19" ht="29.25" customHeight="1">
      <c r="A24" s="168"/>
      <c r="C24" s="731" t="str">
        <f>CHOOSE(jezyk,n!A671,n!B671,n!C671,n!A675)</f>
        <v>Wartość początkowa obcych środków trwałych użytkowanych na podstawie umów najmu, dzierżawy lub umów o podobnym charakterze:</v>
      </c>
      <c r="D24" s="731"/>
      <c r="E24" s="731"/>
      <c r="F24" s="731"/>
      <c r="G24" s="731"/>
      <c r="H24" s="731"/>
      <c r="I24" s="731"/>
      <c r="J24" s="731"/>
      <c r="K24" s="130"/>
      <c r="S24" s="315"/>
    </row>
    <row r="25" spans="1:19" ht="12.75" customHeight="1">
      <c r="C25" s="758"/>
      <c r="D25" s="758"/>
      <c r="E25" s="758"/>
      <c r="F25" s="758"/>
      <c r="G25" s="758"/>
      <c r="H25" s="758"/>
      <c r="I25" s="758"/>
      <c r="J25" s="758"/>
      <c r="S25" s="315"/>
    </row>
    <row r="26" spans="1:19" ht="29.25" customHeight="1">
      <c r="C26" s="827" t="str">
        <f>CHOOSE(jezyk,n!A672,n!B672,n!C672,n!A676)</f>
        <v>Rodzaj środka trwałego</v>
      </c>
      <c r="D26" s="828"/>
      <c r="E26" s="828"/>
      <c r="F26" s="829"/>
      <c r="G26" s="805" t="str">
        <f>CHOOSE(jezyk,n!A639,n!B639,n!C639,n!D635)</f>
        <v>Stan na 
31.12.2024</v>
      </c>
      <c r="H26" s="805"/>
      <c r="I26" s="805" t="str">
        <f>CHOOSE(jezyk,n!A638,n!B638,n!C638,n!D638)</f>
        <v>Stan na 
31.12.2023</v>
      </c>
      <c r="J26" s="805"/>
      <c r="S26" s="315"/>
    </row>
    <row r="27" spans="1:19" ht="14.1" customHeight="1">
      <c r="C27" s="817" t="s">
        <v>6790</v>
      </c>
      <c r="D27" s="818"/>
      <c r="E27" s="818"/>
      <c r="F27" s="819"/>
      <c r="G27" s="820">
        <v>172340.65</v>
      </c>
      <c r="H27" s="820"/>
      <c r="I27" s="820">
        <v>0</v>
      </c>
      <c r="J27" s="820"/>
      <c r="S27" s="315"/>
    </row>
    <row r="28" spans="1:19" ht="14.1" hidden="1" customHeight="1">
      <c r="C28" s="817"/>
      <c r="D28" s="818"/>
      <c r="E28" s="818"/>
      <c r="F28" s="819"/>
      <c r="G28" s="820"/>
      <c r="H28" s="820"/>
      <c r="I28" s="820"/>
      <c r="J28" s="820"/>
      <c r="S28" s="315"/>
    </row>
    <row r="29" spans="1:19" ht="14.1" customHeight="1">
      <c r="C29" s="133"/>
      <c r="D29" s="133"/>
      <c r="E29" s="133"/>
      <c r="F29" s="133"/>
      <c r="G29" s="826">
        <f>SUM(G27:H28)</f>
        <v>172340.65</v>
      </c>
      <c r="H29" s="826"/>
      <c r="I29" s="826">
        <f>SUM(I27:J28)</f>
        <v>0</v>
      </c>
      <c r="J29" s="826"/>
      <c r="S29" s="315"/>
    </row>
    <row r="30" spans="1:19">
      <c r="B30" s="111"/>
      <c r="C30" s="808"/>
      <c r="D30" s="808"/>
      <c r="E30" s="808"/>
      <c r="F30" s="808"/>
      <c r="G30" s="808"/>
      <c r="H30" s="808"/>
      <c r="I30" s="808"/>
      <c r="J30" s="808"/>
      <c r="S30" s="315"/>
    </row>
    <row r="31" spans="1:19" ht="25.5" customHeight="1">
      <c r="A31" s="168"/>
      <c r="B31" s="111" t="s">
        <v>6791</v>
      </c>
      <c r="C31" s="808" t="str">
        <f>CHOOSE(jezyk,n!A674,n!B674,n!C674,n!D672)</f>
        <v>Liczba oraz wartość posiadanych papierów wartościowych lub praw, w tym świadectw udziałowych, zamiennych dłużnych papierów wartościowych, warrantów i opcji ze wskazaniem praw, jakie przyznają</v>
      </c>
      <c r="D31" s="808"/>
      <c r="E31" s="808"/>
      <c r="F31" s="808"/>
      <c r="G31" s="808"/>
      <c r="H31" s="808"/>
      <c r="I31" s="808"/>
      <c r="J31" s="808"/>
      <c r="S31" s="315"/>
    </row>
    <row r="32" spans="1:19" ht="12.75" customHeight="1">
      <c r="S32" s="315"/>
    </row>
    <row r="33" spans="2:19" ht="12.75" customHeight="1">
      <c r="C33" s="731" t="str">
        <f>CHOOSE(jezyk,n!A643,n!B643,n!C643,n!D641)</f>
        <v>Pozycja nie wystąpiła zarówno w roku obrotowym 2024, jak i w roku poprzednim.</v>
      </c>
      <c r="D33" s="731"/>
      <c r="E33" s="731"/>
      <c r="F33" s="731"/>
      <c r="G33" s="731"/>
      <c r="H33" s="731"/>
      <c r="I33" s="731"/>
      <c r="J33" s="731"/>
      <c r="K33" s="130" t="s">
        <v>6785</v>
      </c>
      <c r="S33" s="315"/>
    </row>
    <row r="34" spans="2:19" ht="12.75" customHeight="1">
      <c r="S34" s="315"/>
    </row>
    <row r="35" spans="2:19">
      <c r="B35" s="111" t="s">
        <v>6792</v>
      </c>
      <c r="C35" s="808" t="str">
        <f>CHOOSE(jezyk,n!A759,n!B759,n!C759,n!D757)</f>
        <v>Dane o odpisach aktualizujących należności</v>
      </c>
      <c r="D35" s="808"/>
      <c r="E35" s="808"/>
      <c r="F35" s="808"/>
      <c r="G35" s="808"/>
      <c r="H35" s="808"/>
      <c r="I35" s="808"/>
      <c r="J35" s="808"/>
      <c r="S35" s="315"/>
    </row>
    <row r="36" spans="2:19" ht="12.75" customHeight="1">
      <c r="S36" s="315"/>
    </row>
    <row r="37" spans="2:19" ht="12.75" customHeight="1">
      <c r="C37" s="731" t="str">
        <f>CHOOSE(jezyk,n!A643,n!B643,n!C643,n!D641)</f>
        <v>Pozycja nie wystąpiła zarówno w roku obrotowym 2024, jak i w roku poprzednim.</v>
      </c>
      <c r="D37" s="731"/>
      <c r="E37" s="731"/>
      <c r="F37" s="731"/>
      <c r="G37" s="731"/>
      <c r="H37" s="731"/>
      <c r="I37" s="731"/>
      <c r="J37" s="731"/>
      <c r="K37" s="130" t="s">
        <v>6785</v>
      </c>
      <c r="S37" s="315"/>
    </row>
    <row r="38" spans="2:19" ht="12.75" customHeight="1">
      <c r="S38" s="315"/>
    </row>
    <row r="39" spans="2:19" ht="12.75" customHeight="1">
      <c r="C39" s="722" t="str">
        <f>CHOOSE(jezyk,n!A760,n!B760,n!C760,n!D758)</f>
        <v>Zmiany stanu odpisów aktualizujących należności w ciągu roku obrotowego 2024</v>
      </c>
      <c r="D39" s="722"/>
      <c r="E39" s="722"/>
      <c r="F39" s="722"/>
      <c r="G39" s="722"/>
      <c r="H39" s="722"/>
      <c r="I39" s="722"/>
      <c r="J39" s="722"/>
      <c r="S39" s="315"/>
    </row>
    <row r="40" spans="2:19" ht="12.75" customHeight="1">
      <c r="S40" s="315"/>
    </row>
    <row r="41" spans="2:19" ht="12.75" customHeight="1">
      <c r="C41" s="812" t="str">
        <f>CHOOSE(jezyk,n!A762,n!B762,n!C762,n!D760)</f>
        <v>Tytuł odpisu</v>
      </c>
      <c r="D41" s="813"/>
      <c r="E41" s="809" t="str">
        <f>CHOOSE(jezyk,n!A626,n!B626,n!C626,n!D623)</f>
        <v>Stan na 
01.01.2024</v>
      </c>
      <c r="F41" s="810" t="str">
        <f>CHOOSE(jezyk,n!A764,n!B764,n!C764,n!D762)</f>
        <v>Zwiększenia</v>
      </c>
      <c r="G41" s="809" t="str">
        <f>CHOOSE(jezyk,n!A765,n!B765,n!C765,n!D763)</f>
        <v>Wykorzystanie</v>
      </c>
      <c r="H41" s="809"/>
      <c r="I41" s="810" t="str">
        <f>CHOOSE(jezyk,n!A766,n!B766,n!C766,n!D764)</f>
        <v>Rozwiązanie</v>
      </c>
      <c r="J41" s="809" t="str">
        <f>CHOOSE(jezyk,n!A639,n!B639,n!C639,n!D635)</f>
        <v>Stan na 
31.12.2024</v>
      </c>
      <c r="S41" s="315"/>
    </row>
    <row r="42" spans="2:19">
      <c r="C42" s="814"/>
      <c r="D42" s="815"/>
      <c r="E42" s="809"/>
      <c r="F42" s="811"/>
      <c r="G42" s="809"/>
      <c r="H42" s="809"/>
      <c r="I42" s="811"/>
      <c r="J42" s="809"/>
      <c r="S42" s="315"/>
    </row>
    <row r="43" spans="2:19" ht="27" customHeight="1">
      <c r="C43" s="816" t="str">
        <f>CHOOSE(jezyk,n!A769,n!B769,n!C769,n!D767)</f>
        <v>odpis indywidualny</v>
      </c>
      <c r="D43" s="816"/>
      <c r="E43" s="651" t="str">
        <f>J51</f>
        <v>0,00</v>
      </c>
      <c r="F43" s="651">
        <v>0</v>
      </c>
      <c r="G43" s="807">
        <v>0</v>
      </c>
      <c r="H43" s="807"/>
      <c r="I43" s="651">
        <v>0</v>
      </c>
      <c r="J43" s="652" t="str">
        <f>IF((E43+F43-G43-I43)&lt;&gt;0,E43+F43-G43-I43,"0,00")</f>
        <v>0,00</v>
      </c>
      <c r="S43" s="315"/>
    </row>
    <row r="44" spans="2:19" ht="27" customHeight="1">
      <c r="C44" s="816" t="str">
        <f>CHOOSE(jezyk,n!A770,n!B770,n!C770,n!D768)</f>
        <v>odpis ryczałtowy</v>
      </c>
      <c r="D44" s="816"/>
      <c r="E44" s="651" t="str">
        <f>J52</f>
        <v>0,00</v>
      </c>
      <c r="F44" s="651">
        <v>10540.21</v>
      </c>
      <c r="G44" s="807">
        <v>0</v>
      </c>
      <c r="H44" s="807"/>
      <c r="I44" s="651">
        <v>0</v>
      </c>
      <c r="J44" s="652">
        <f>IF((E44+F44-G44-I44)&lt;&gt;0,E44+F44-G44-I44,"0,00")</f>
        <v>10540.21</v>
      </c>
      <c r="S44" s="315"/>
    </row>
    <row r="45" spans="2:19" ht="20.25" customHeight="1">
      <c r="C45" s="816" t="str">
        <f>CHOOSE(jezyk,n!A768,n!B768,n!C768,n!D766)</f>
        <v>Ogółem</v>
      </c>
      <c r="D45" s="816"/>
      <c r="E45" s="397">
        <f>SUM(E43:E44)</f>
        <v>0</v>
      </c>
      <c r="F45" s="397">
        <f>SUM(F43:F44)</f>
        <v>10540.21</v>
      </c>
      <c r="G45" s="825">
        <f>SUM(G43:H44)</f>
        <v>0</v>
      </c>
      <c r="H45" s="825"/>
      <c r="I45" s="397">
        <f>SUM(I43:I44)</f>
        <v>0</v>
      </c>
      <c r="J45" s="397">
        <f>SUM(J43:J44)</f>
        <v>10540.21</v>
      </c>
      <c r="S45" s="315"/>
    </row>
    <row r="46" spans="2:19" ht="12.75" customHeight="1">
      <c r="S46" s="315"/>
    </row>
    <row r="47" spans="2:19" ht="12.75" customHeight="1">
      <c r="C47" s="722" t="str">
        <f>CHOOSE(jezyk,n!A761,n!B761,n!C761,n!D759)</f>
        <v>Zmiany stanu odpisów aktualizujących należności w ciągu roku obrotowego 2023</v>
      </c>
      <c r="D47" s="722"/>
      <c r="E47" s="722"/>
      <c r="F47" s="722"/>
      <c r="G47" s="722"/>
      <c r="H47" s="722"/>
      <c r="I47" s="722"/>
      <c r="J47" s="722"/>
      <c r="S47" s="315"/>
    </row>
    <row r="48" spans="2:19" ht="12.75" customHeight="1">
      <c r="S48" s="315"/>
    </row>
    <row r="49" spans="1:22" ht="12.75" customHeight="1">
      <c r="C49" s="812" t="str">
        <f>C41</f>
        <v>Tytuł odpisu</v>
      </c>
      <c r="D49" s="813"/>
      <c r="E49" s="809" t="str">
        <f>CHOOSE(jezyk,n!A627,n!B627,n!C627,n!D627)</f>
        <v>Stan na 
01.01.2023</v>
      </c>
      <c r="F49" s="809" t="str">
        <f>F41</f>
        <v>Zwiększenia</v>
      </c>
      <c r="G49" s="809" t="str">
        <f>G41</f>
        <v>Wykorzystanie</v>
      </c>
      <c r="H49" s="809"/>
      <c r="I49" s="810" t="str">
        <f>I41</f>
        <v>Rozwiązanie</v>
      </c>
      <c r="J49" s="809" t="str">
        <f>CHOOSE(jezyk,n!A638,n!B638,n!C638,n!D638)</f>
        <v>Stan na 
31.12.2023</v>
      </c>
      <c r="S49" s="315"/>
    </row>
    <row r="50" spans="1:22" ht="25.5" customHeight="1">
      <c r="C50" s="814"/>
      <c r="D50" s="815"/>
      <c r="E50" s="809"/>
      <c r="F50" s="809"/>
      <c r="G50" s="809"/>
      <c r="H50" s="809"/>
      <c r="I50" s="811"/>
      <c r="J50" s="809"/>
      <c r="S50" s="315"/>
    </row>
    <row r="51" spans="1:22" ht="25.5" customHeight="1">
      <c r="C51" s="816" t="str">
        <f>C43</f>
        <v>odpis indywidualny</v>
      </c>
      <c r="D51" s="816"/>
      <c r="E51" s="651">
        <v>0</v>
      </c>
      <c r="F51" s="651">
        <v>0</v>
      </c>
      <c r="G51" s="807">
        <v>0</v>
      </c>
      <c r="H51" s="807"/>
      <c r="I51" s="651">
        <v>0</v>
      </c>
      <c r="J51" s="652" t="str">
        <f>IF((E51+F51-G51-I51)&lt;&gt;0,E51+F51-G51-I51,"0,00")</f>
        <v>0,00</v>
      </c>
      <c r="S51" s="315"/>
    </row>
    <row r="52" spans="1:22" ht="25.5" customHeight="1">
      <c r="C52" s="816" t="str">
        <f>C44</f>
        <v>odpis ryczałtowy</v>
      </c>
      <c r="D52" s="816"/>
      <c r="E52" s="651">
        <v>0</v>
      </c>
      <c r="F52" s="651">
        <v>0</v>
      </c>
      <c r="G52" s="807">
        <v>0</v>
      </c>
      <c r="H52" s="807"/>
      <c r="I52" s="651">
        <v>0</v>
      </c>
      <c r="J52" s="652" t="str">
        <f>IF((E52+F52-G52-I52)&lt;&gt;0,E52+F52-G52-I52,"0,00")</f>
        <v>0,00</v>
      </c>
      <c r="S52" s="315"/>
    </row>
    <row r="53" spans="1:22" ht="19.5" customHeight="1">
      <c r="B53" s="111"/>
      <c r="C53" s="816" t="str">
        <f>C45</f>
        <v>Ogółem</v>
      </c>
      <c r="D53" s="816"/>
      <c r="E53" s="397">
        <f>SUM(E51:E52)</f>
        <v>0</v>
      </c>
      <c r="F53" s="397">
        <f>SUM(F51:F52)</f>
        <v>0</v>
      </c>
      <c r="G53" s="825">
        <f>SUM(G51:H52)</f>
        <v>0</v>
      </c>
      <c r="H53" s="825"/>
      <c r="I53" s="397">
        <f>SUM(I51:I52)</f>
        <v>0</v>
      </c>
      <c r="J53" s="397">
        <f>SUM(J51:J52)</f>
        <v>0</v>
      </c>
      <c r="S53" s="315"/>
    </row>
    <row r="54" spans="1:22" ht="12.75" customHeight="1">
      <c r="B54" s="111"/>
      <c r="C54" s="134"/>
      <c r="D54" s="134"/>
      <c r="E54" s="135"/>
      <c r="F54" s="135"/>
      <c r="G54" s="135"/>
      <c r="H54" s="135"/>
      <c r="I54" s="135"/>
      <c r="J54" s="135"/>
      <c r="S54" s="315"/>
    </row>
    <row r="55" spans="1:22" ht="12.75" customHeight="1">
      <c r="A55" s="831"/>
      <c r="B55" s="111" t="s">
        <v>6793</v>
      </c>
      <c r="C55" s="808" t="str">
        <f>CHOOSE(jezyk,n!A676,n!B676,n!C676,n!D674)</f>
        <v>Dane o strukturze własności kapitału podstawowego oraz liczbie i wartości nominalnej subskrybowanych akcji, w tym uprzywilejowanych</v>
      </c>
      <c r="D55" s="808"/>
      <c r="E55" s="808"/>
      <c r="F55" s="808"/>
      <c r="G55" s="808"/>
      <c r="H55" s="808"/>
      <c r="I55" s="808"/>
      <c r="J55" s="808"/>
      <c r="S55" s="315"/>
    </row>
    <row r="56" spans="1:22" ht="16.5" customHeight="1">
      <c r="A56" s="831"/>
      <c r="B56" s="111"/>
      <c r="C56" s="808"/>
      <c r="D56" s="808"/>
      <c r="E56" s="808"/>
      <c r="F56" s="808"/>
      <c r="G56" s="808"/>
      <c r="H56" s="808"/>
      <c r="I56" s="808"/>
      <c r="J56" s="808"/>
      <c r="S56" s="315"/>
    </row>
    <row r="57" spans="1:22" ht="12.75" customHeight="1">
      <c r="B57" s="111"/>
      <c r="C57" s="377"/>
      <c r="D57" s="377"/>
      <c r="E57" s="377"/>
      <c r="F57" s="377"/>
      <c r="G57" s="377"/>
      <c r="H57" s="377"/>
      <c r="I57" s="377"/>
      <c r="K57" s="130" t="s">
        <v>6794</v>
      </c>
      <c r="M57" s="130" t="s">
        <v>6795</v>
      </c>
      <c r="S57" s="315"/>
    </row>
    <row r="58" spans="1:22" ht="12.75" customHeight="1">
      <c r="B58" s="111"/>
      <c r="C58" s="798" t="str">
        <f>IF(M57="udziały",CHOOSE(jezyk,n!A677,n!B677,n!C677,n!D675),CHOOSE(jezyk,n!A682,n!B682,n!C682,n!D680))</f>
        <v>Na dzień bilansowy udziały w Spółce posiadają:</v>
      </c>
      <c r="D58" s="798"/>
      <c r="E58" s="798"/>
      <c r="F58" s="798"/>
      <c r="G58" s="798"/>
      <c r="H58" s="798"/>
      <c r="I58" s="798"/>
      <c r="S58" s="315"/>
      <c r="V58" s="66" t="s">
        <v>6796</v>
      </c>
    </row>
    <row r="59" spans="1:22" ht="12.75" customHeight="1">
      <c r="B59" s="111"/>
      <c r="K59" s="65" t="str">
        <f>dzb</f>
        <v>31.12.2024</v>
      </c>
      <c r="S59" s="315"/>
      <c r="V59" s="66" t="s">
        <v>6795</v>
      </c>
    </row>
    <row r="60" spans="1:22" ht="25.5" customHeight="1">
      <c r="C60" s="821" t="str">
        <f>IF($M$57="udziały",CHOOSE(jezyk,n!A678,n!B678,n!C678,n!D676),CHOOSE(jezyk,n!A683,n!B683,n!C683,n!D681))</f>
        <v>Nazwa udziałowca</v>
      </c>
      <c r="D60" s="821"/>
      <c r="E60" s="821"/>
      <c r="F60" s="805" t="str">
        <f>IF($M$57="udziały",CHOOSE(jezyk,n!A679,n!B679,n!C679,n!D677),CHOOSE(jezyk,n!A684,n!B684,n!C684,n!D682))</f>
        <v>Wartość udziałów</v>
      </c>
      <c r="G60" s="805"/>
      <c r="H60" s="395" t="str">
        <f>IF($M$57="udziały",CHOOSE(jezyk,n!A680,n!B680,n!C680,n!D678),CHOOSE(jezyk,n!A685,n!B685,n!C685,n!D683))</f>
        <v xml:space="preserve">Ilość udziałów </v>
      </c>
      <c r="I60" s="395" t="str">
        <f>IF($M$57="udziały",CHOOSE(jezyk,n!A681,n!B681,n!C681,n!D679),CHOOSE(jezyk,n!A686,n!B686,n!C686,n!D684))</f>
        <v>Wartość jednostki</v>
      </c>
      <c r="J60" s="400" t="s">
        <v>6797</v>
      </c>
      <c r="K60" s="146">
        <f>ROUND(F63-Bilans!T12,2)</f>
        <v>100000</v>
      </c>
      <c r="S60" s="315"/>
    </row>
    <row r="61" spans="1:22" ht="18" customHeight="1">
      <c r="C61" s="823" t="s">
        <v>6798</v>
      </c>
      <c r="D61" s="823"/>
      <c r="E61" s="823"/>
      <c r="F61" s="806">
        <f>I61*H61</f>
        <v>100000</v>
      </c>
      <c r="G61" s="806"/>
      <c r="H61" s="406">
        <v>2000</v>
      </c>
      <c r="I61" s="406">
        <v>50</v>
      </c>
      <c r="J61" s="136">
        <f>IFERROR(F61/F63,"")</f>
        <v>1</v>
      </c>
      <c r="S61" s="315"/>
    </row>
    <row r="62" spans="1:22" ht="18" hidden="1" customHeight="1">
      <c r="C62" s="823"/>
      <c r="D62" s="823"/>
      <c r="E62" s="823"/>
      <c r="F62" s="806">
        <f>I62*H62</f>
        <v>0</v>
      </c>
      <c r="G62" s="806"/>
      <c r="H62" s="406"/>
      <c r="I62" s="406"/>
      <c r="J62" s="136">
        <f>IFERROR(F62/F63,"")</f>
        <v>0</v>
      </c>
      <c r="S62" s="315"/>
    </row>
    <row r="63" spans="1:22" ht="18" customHeight="1">
      <c r="C63" s="822" t="str">
        <f>CHOOSE(jezyk,n!A768,n!B768,n!C768,n!D766)</f>
        <v>Ogółem</v>
      </c>
      <c r="D63" s="822"/>
      <c r="E63" s="822"/>
      <c r="F63" s="806">
        <f>F61+F62</f>
        <v>100000</v>
      </c>
      <c r="G63" s="806"/>
      <c r="H63" s="653">
        <f>H61+H62</f>
        <v>2000</v>
      </c>
      <c r="I63" s="137"/>
      <c r="J63" s="136">
        <f>SUM(J61:J62)</f>
        <v>1</v>
      </c>
      <c r="K63" s="130" t="s">
        <v>6799</v>
      </c>
      <c r="S63" s="315"/>
    </row>
    <row r="64" spans="1:22" ht="18" customHeight="1">
      <c r="C64" s="185"/>
      <c r="D64" s="185"/>
      <c r="E64" s="185"/>
      <c r="F64" s="138"/>
      <c r="G64" s="138"/>
      <c r="H64" s="138"/>
      <c r="I64" s="138"/>
      <c r="J64" s="139"/>
      <c r="K64" s="130"/>
      <c r="S64" s="315"/>
    </row>
    <row r="65" spans="2:19" ht="20.25" customHeight="1">
      <c r="C65" s="731" t="s">
        <v>6800</v>
      </c>
      <c r="D65" s="731"/>
      <c r="E65" s="731"/>
      <c r="F65" s="731"/>
      <c r="G65" s="731"/>
      <c r="H65" s="731"/>
      <c r="I65" s="731"/>
      <c r="J65" s="731"/>
      <c r="K65" s="130" t="s">
        <v>6801</v>
      </c>
      <c r="S65" s="315"/>
    </row>
    <row r="66" spans="2:19" ht="12.75" customHeight="1">
      <c r="S66" s="315"/>
    </row>
    <row r="67" spans="2:19" ht="26.25" customHeight="1">
      <c r="B67" s="111" t="s">
        <v>6802</v>
      </c>
      <c r="C67" s="725" t="str">
        <f>CHOOSE(jezyk,n!A689,n!B689,n!C689,n!D686)</f>
        <v>Szczegółowy zakres zmian kapitałów zapasowych, rezerwowych oraz kapitału z aktualizacji wyceny (o ile jednostka nie sporządza zestawienia zmian w kapitale własnym)</v>
      </c>
      <c r="D67" s="725"/>
      <c r="E67" s="725"/>
      <c r="F67" s="725"/>
      <c r="G67" s="725"/>
      <c r="H67" s="725"/>
      <c r="I67" s="725"/>
      <c r="J67" s="725"/>
      <c r="S67" s="315"/>
    </row>
    <row r="68" spans="2:19">
      <c r="B68" s="111"/>
      <c r="C68" s="405"/>
      <c r="D68" s="405"/>
      <c r="E68" s="405"/>
      <c r="F68" s="405"/>
      <c r="G68" s="405"/>
      <c r="H68" s="405"/>
      <c r="I68" s="405"/>
      <c r="J68" s="405"/>
      <c r="S68" s="315"/>
    </row>
    <row r="69" spans="2:19">
      <c r="B69" s="111"/>
      <c r="C69" s="824" t="str">
        <f>CHOOSE(jezyk,n!A690,n!B690,n!C690,n!D687)</f>
        <v>Jednostka sporządza zestawienie zmian w kapitale własnym.</v>
      </c>
      <c r="D69" s="824"/>
      <c r="E69" s="824"/>
      <c r="F69" s="824"/>
      <c r="G69" s="824"/>
      <c r="H69" s="824"/>
      <c r="I69" s="824"/>
      <c r="J69" s="824"/>
      <c r="K69" s="130" t="s">
        <v>6785</v>
      </c>
      <c r="S69" s="315"/>
    </row>
    <row r="70" spans="2:19" ht="9.75" customHeight="1">
      <c r="B70" s="111"/>
      <c r="C70" s="140"/>
      <c r="D70" s="140"/>
      <c r="E70" s="140"/>
      <c r="F70" s="140"/>
      <c r="G70" s="140"/>
      <c r="H70" s="140"/>
      <c r="I70" s="140"/>
      <c r="S70" s="315"/>
    </row>
    <row r="71" spans="2:19" ht="15" customHeight="1">
      <c r="B71" s="111"/>
      <c r="C71" s="803" t="str">
        <f>CHOOSE(jezyk,n!A616,n!B616,n!C616,n!D614)</f>
        <v>Rok obrotowy 2024</v>
      </c>
      <c r="D71" s="803"/>
      <c r="E71" s="803"/>
      <c r="F71" s="140"/>
      <c r="G71" s="140"/>
      <c r="H71" s="140"/>
      <c r="I71" s="140"/>
      <c r="S71" s="315"/>
    </row>
    <row r="72" spans="2:19">
      <c r="B72" s="111"/>
      <c r="C72" s="140"/>
      <c r="D72" s="140"/>
      <c r="E72" s="140"/>
      <c r="F72" s="140"/>
      <c r="G72" s="140"/>
      <c r="H72" s="140"/>
      <c r="I72" s="140"/>
      <c r="S72" s="315"/>
    </row>
    <row r="73" spans="2:19" ht="51.75" customHeight="1">
      <c r="B73" s="101"/>
      <c r="C73" s="804"/>
      <c r="D73" s="804"/>
      <c r="E73" s="654" t="str">
        <f>CHOOSE(jezyk,n!A626,n!B626,n!C626,n!D623)</f>
        <v>Stan na 
01.01.2024</v>
      </c>
      <c r="F73" s="654" t="str">
        <f>CHOOSE(jezyk,n!A698,n!B698,n!C698,n!D696)</f>
        <v xml:space="preserve">Korekty błędów </v>
      </c>
      <c r="G73" s="654" t="str">
        <f>CHOOSE(jezyk,n!A700,n!B700,n!C700,n!D697)</f>
        <v>Stan na 01.01.2024 po korektach</v>
      </c>
      <c r="H73" s="654" t="str">
        <f>CHOOSE(jezyk,n!A702,n!B702,n!C702,n!D698)</f>
        <v>Zwiększenia</v>
      </c>
      <c r="I73" s="654" t="str">
        <f>CHOOSE(jezyk,n!A703,n!B703,n!C703,n!D700)</f>
        <v>Zmniejszenia</v>
      </c>
      <c r="J73" s="395" t="str">
        <f>CHOOSE(jezyk,n!A639,n!B639,n!C639,n!D635)</f>
        <v>Stan na 
31.12.2024</v>
      </c>
      <c r="K73" s="1198" t="s">
        <v>6803</v>
      </c>
      <c r="L73" s="141"/>
      <c r="M73" s="141"/>
      <c r="N73" s="141"/>
      <c r="O73" s="141"/>
      <c r="R73" s="142" t="str">
        <f>dzb</f>
        <v>31.12.2024</v>
      </c>
      <c r="S73" s="142" t="str">
        <f>dzbo</f>
        <v>01.01.2024</v>
      </c>
    </row>
    <row r="74" spans="2:19" ht="27" customHeight="1">
      <c r="B74" s="101"/>
      <c r="C74" s="799" t="str">
        <f>CHOOSE(jezyk,n!A691,n!B691,n!C691,n!D689)</f>
        <v>Kapitał (fundusz) podstawowy</v>
      </c>
      <c r="D74" s="801"/>
      <c r="E74" s="145">
        <f>Bilans!T11</f>
        <v>5000</v>
      </c>
      <c r="F74" s="144">
        <v>0</v>
      </c>
      <c r="G74" s="145">
        <f t="shared" ref="G74:G79" si="0">E74+F74</f>
        <v>5000</v>
      </c>
      <c r="H74" s="144">
        <v>95000</v>
      </c>
      <c r="I74" s="144">
        <v>0</v>
      </c>
      <c r="J74" s="145">
        <f t="shared" ref="J74:J79" si="1">G74+H74-I74</f>
        <v>100000</v>
      </c>
      <c r="K74" s="1198"/>
      <c r="L74" s="141"/>
      <c r="M74" s="141"/>
      <c r="N74" s="141"/>
      <c r="O74" s="141"/>
      <c r="R74" s="146">
        <f>ROUND(J74-Bilans!S11,2)</f>
        <v>0</v>
      </c>
      <c r="S74" s="146">
        <f>ROUND(J85-Bilans!T11,2)</f>
        <v>0</v>
      </c>
    </row>
    <row r="75" spans="2:19" ht="28.5" customHeight="1">
      <c r="B75" s="101"/>
      <c r="C75" s="802" t="str">
        <f>CHOOSE(jezyk,n!A692,n!B692,n!C692,n!D690)</f>
        <v>Kapitał (fundusz) zapasowy</v>
      </c>
      <c r="D75" s="802"/>
      <c r="E75" s="145">
        <f>Bilans!T12</f>
        <v>0</v>
      </c>
      <c r="F75" s="406">
        <v>0</v>
      </c>
      <c r="G75" s="145">
        <f t="shared" si="0"/>
        <v>0</v>
      </c>
      <c r="H75" s="406">
        <v>0</v>
      </c>
      <c r="I75" s="406">
        <v>0</v>
      </c>
      <c r="J75" s="145">
        <f t="shared" si="1"/>
        <v>0</v>
      </c>
      <c r="K75" s="1198"/>
      <c r="L75" s="141"/>
      <c r="M75" s="141"/>
      <c r="N75" s="141"/>
      <c r="O75" s="141"/>
      <c r="R75" s="146">
        <f>ROUND(J75-Bilans!S13,2)</f>
        <v>0</v>
      </c>
      <c r="S75" s="146">
        <f>ROUND(J86-Bilans!T13,2)</f>
        <v>0</v>
      </c>
    </row>
    <row r="76" spans="2:19" ht="25.5" customHeight="1">
      <c r="B76" s="101"/>
      <c r="C76" s="802" t="str">
        <f>CHOOSE(jezyk,n!A693,n!B693,n!C693,n!D691)</f>
        <v>Kapitał (fundusz) z aktualizacji wyceny</v>
      </c>
      <c r="D76" s="802"/>
      <c r="E76" s="145">
        <f>Bilans!T13</f>
        <v>0</v>
      </c>
      <c r="F76" s="406">
        <v>0</v>
      </c>
      <c r="G76" s="145">
        <f t="shared" si="0"/>
        <v>0</v>
      </c>
      <c r="H76" s="406">
        <v>0</v>
      </c>
      <c r="I76" s="406">
        <v>0</v>
      </c>
      <c r="J76" s="145">
        <f t="shared" si="1"/>
        <v>0</v>
      </c>
      <c r="K76" s="1198"/>
      <c r="L76" s="141"/>
      <c r="M76" s="141"/>
      <c r="N76" s="141"/>
      <c r="O76" s="141"/>
      <c r="R76" s="146">
        <f>ROUND(J76-Bilans!S15,2)</f>
        <v>0</v>
      </c>
      <c r="S76" s="146">
        <f>ROUND(J87-Bilans!T15,2)</f>
        <v>0</v>
      </c>
    </row>
    <row r="77" spans="2:19" ht="25.5" customHeight="1">
      <c r="B77" s="101"/>
      <c r="C77" s="802" t="str">
        <f>CHOOSE(jezyk,n!A694,n!B694,n!C694,n!D692)</f>
        <v>Pozostałe kapitały (fundusze) rezerwowe</v>
      </c>
      <c r="D77" s="802"/>
      <c r="E77" s="145">
        <f>Bilans!T16</f>
        <v>0</v>
      </c>
      <c r="F77" s="406">
        <v>0</v>
      </c>
      <c r="G77" s="145">
        <f t="shared" si="0"/>
        <v>0</v>
      </c>
      <c r="H77" s="406">
        <v>0</v>
      </c>
      <c r="I77" s="406">
        <v>0</v>
      </c>
      <c r="J77" s="145">
        <f t="shared" si="1"/>
        <v>0</v>
      </c>
      <c r="K77" s="1198"/>
      <c r="L77" s="141"/>
      <c r="M77" s="141"/>
      <c r="N77" s="141"/>
      <c r="O77" s="141"/>
      <c r="R77" s="146">
        <f>ROUND(J77-Bilans!S17,2)</f>
        <v>0</v>
      </c>
      <c r="S77" s="146">
        <f>ROUND(J88-Bilans!T17,2)</f>
        <v>0</v>
      </c>
    </row>
    <row r="78" spans="2:19" ht="27" customHeight="1">
      <c r="B78" s="101"/>
      <c r="C78" s="802" t="str">
        <f>CHOOSE(jezyk,n!A695,n!B695,n!C695,n!D693)</f>
        <v>Zysk (strata) z lat ubiegłych</v>
      </c>
      <c r="D78" s="802"/>
      <c r="E78" s="145">
        <f>Bilans!T20+Bilans!T19</f>
        <v>-313.37990000000002</v>
      </c>
      <c r="F78" s="406">
        <v>0</v>
      </c>
      <c r="G78" s="145">
        <f t="shared" si="0"/>
        <v>-313.37990000000002</v>
      </c>
      <c r="H78" s="406">
        <v>0</v>
      </c>
      <c r="I78" s="406">
        <v>0</v>
      </c>
      <c r="J78" s="145">
        <f t="shared" si="1"/>
        <v>-313.37990000000002</v>
      </c>
      <c r="K78" s="1198"/>
      <c r="L78" s="141"/>
      <c r="M78" s="141"/>
      <c r="N78" s="141"/>
      <c r="O78" s="141"/>
      <c r="R78" s="146">
        <f>ROUND(J78-Bilans!S19,2)</f>
        <v>0</v>
      </c>
      <c r="S78" s="146">
        <f>ROUND(J89-Bilans!T19,2)</f>
        <v>0</v>
      </c>
    </row>
    <row r="79" spans="2:19" ht="24.75" customHeight="1">
      <c r="B79" s="101"/>
      <c r="C79" s="802" t="str">
        <f>CHOOSE(jezyk,n!A696,n!B696,n!C696,n!D694)</f>
        <v>Zysk (strata) netto</v>
      </c>
      <c r="D79" s="802"/>
      <c r="E79" s="145">
        <v>0</v>
      </c>
      <c r="F79" s="406">
        <v>0</v>
      </c>
      <c r="G79" s="145">
        <f t="shared" si="0"/>
        <v>0</v>
      </c>
      <c r="H79" s="145">
        <f>Bilans!S20</f>
        <v>364172.37000000081</v>
      </c>
      <c r="I79" s="406">
        <v>0</v>
      </c>
      <c r="J79" s="145">
        <f t="shared" si="1"/>
        <v>364172.37000000081</v>
      </c>
      <c r="K79" s="1198"/>
      <c r="L79" s="141"/>
      <c r="M79" s="141"/>
      <c r="N79" s="141"/>
      <c r="O79" s="141"/>
      <c r="R79" s="146">
        <f>ROUND(J79-Bilans!S20,2)</f>
        <v>0</v>
      </c>
      <c r="S79" s="146">
        <f>ROUND(J90-Bilans!T20,2)</f>
        <v>0</v>
      </c>
    </row>
    <row r="80" spans="2:19" s="149" customFormat="1" ht="24.75" customHeight="1">
      <c r="B80" s="101"/>
      <c r="C80" s="802" t="str">
        <f>CHOOSE(jezyk,n!A768,n!B768,n!C768,n!D766)</f>
        <v>Ogółem</v>
      </c>
      <c r="D80" s="802"/>
      <c r="E80" s="145">
        <f t="shared" ref="E80:J80" si="2">SUM(E74:E79)</f>
        <v>4686.6201000000001</v>
      </c>
      <c r="F80" s="145">
        <f t="shared" si="2"/>
        <v>0</v>
      </c>
      <c r="G80" s="145">
        <f t="shared" si="2"/>
        <v>4686.6201000000001</v>
      </c>
      <c r="H80" s="145">
        <f t="shared" si="2"/>
        <v>459172.37000000081</v>
      </c>
      <c r="I80" s="145">
        <f t="shared" si="2"/>
        <v>0</v>
      </c>
      <c r="J80" s="145">
        <f t="shared" si="2"/>
        <v>463858.99010000081</v>
      </c>
      <c r="K80" s="147" t="s">
        <v>6804</v>
      </c>
      <c r="L80" s="148"/>
      <c r="M80" s="148"/>
      <c r="N80" s="148"/>
      <c r="O80" s="148"/>
      <c r="R80" s="150">
        <f>SUM(R74:R79)</f>
        <v>0</v>
      </c>
      <c r="S80" s="150">
        <f>SUM(S74:S79)</f>
        <v>0</v>
      </c>
    </row>
    <row r="81" spans="2:19" ht="12.75" customHeight="1">
      <c r="B81" s="101"/>
      <c r="D81" s="38"/>
      <c r="E81" s="38"/>
      <c r="F81" s="37"/>
      <c r="G81" s="37"/>
      <c r="H81" s="38"/>
      <c r="I81" s="39"/>
      <c r="S81" s="315"/>
    </row>
    <row r="82" spans="2:19" ht="15" customHeight="1">
      <c r="B82" s="101"/>
      <c r="C82" s="803" t="str">
        <f>CHOOSE(jezyk,n!A617,n!B617,n!C617,n!D615)</f>
        <v>Rok obrotowy 2023</v>
      </c>
      <c r="D82" s="803"/>
      <c r="E82" s="803"/>
      <c r="F82" s="140"/>
      <c r="G82" s="140"/>
      <c r="H82" s="140"/>
      <c r="I82" s="140"/>
      <c r="S82" s="315"/>
    </row>
    <row r="83" spans="2:19" ht="12.75" customHeight="1">
      <c r="B83" s="101"/>
      <c r="C83" s="140"/>
      <c r="D83" s="140"/>
      <c r="E83" s="140"/>
      <c r="F83" s="140"/>
      <c r="G83" s="140"/>
      <c r="H83" s="140"/>
      <c r="I83" s="140"/>
      <c r="S83" s="315"/>
    </row>
    <row r="84" spans="2:19" ht="51.75" customHeight="1">
      <c r="B84" s="101"/>
      <c r="C84" s="804"/>
      <c r="D84" s="804"/>
      <c r="E84" s="654" t="str">
        <f>CHOOSE(jezyk,n!A627,n!B627,n!C627,n!D627)</f>
        <v>Stan na 
01.01.2023</v>
      </c>
      <c r="F84" s="654" t="str">
        <f t="shared" ref="F84:I84" si="3">F73</f>
        <v xml:space="preserve">Korekty błędów </v>
      </c>
      <c r="G84" s="654" t="str">
        <f>CHOOSE(jezyk,n!A701,n!B701,n!C701,n!D701)</f>
        <v>Stan na 01.01.2023 po korektach</v>
      </c>
      <c r="H84" s="654" t="str">
        <f t="shared" si="3"/>
        <v>Zwiększenia</v>
      </c>
      <c r="I84" s="654" t="str">
        <f t="shared" si="3"/>
        <v>Zmniejszenia</v>
      </c>
      <c r="J84" s="395" t="str">
        <f>CHOOSE(jezyk,n!A638,n!B638,n!C638,n!D638)</f>
        <v>Stan na 
31.12.2023</v>
      </c>
      <c r="S84" s="315"/>
    </row>
    <row r="85" spans="2:19" ht="27" customHeight="1">
      <c r="B85" s="101"/>
      <c r="C85" s="799" t="str">
        <f>CHOOSE(jezyk,n!A691,n!B691,n!C691,n!D689)</f>
        <v>Kapitał (fundusz) podstawowy</v>
      </c>
      <c r="D85" s="801"/>
      <c r="E85" s="143">
        <v>5000</v>
      </c>
      <c r="F85" s="144">
        <v>0</v>
      </c>
      <c r="G85" s="145">
        <f t="shared" ref="G85:G90" si="4">E85+F85</f>
        <v>5000</v>
      </c>
      <c r="H85" s="144">
        <v>0</v>
      </c>
      <c r="I85" s="144">
        <v>0</v>
      </c>
      <c r="J85" s="145">
        <f t="shared" ref="J85:J90" si="5">G85+H85-I85</f>
        <v>5000</v>
      </c>
      <c r="S85" s="315"/>
    </row>
    <row r="86" spans="2:19" ht="27" customHeight="1">
      <c r="B86" s="101"/>
      <c r="C86" s="799" t="str">
        <f>CHOOSE(jezyk,n!A692,n!B692,n!C692,n!D690)</f>
        <v>Kapitał (fundusz) zapasowy</v>
      </c>
      <c r="D86" s="801"/>
      <c r="E86" s="680">
        <v>0</v>
      </c>
      <c r="F86" s="406">
        <v>0</v>
      </c>
      <c r="G86" s="145">
        <f t="shared" si="4"/>
        <v>0</v>
      </c>
      <c r="H86" s="406">
        <v>0</v>
      </c>
      <c r="I86" s="406">
        <v>0</v>
      </c>
      <c r="J86" s="145">
        <f t="shared" si="5"/>
        <v>0</v>
      </c>
      <c r="S86" s="315"/>
    </row>
    <row r="87" spans="2:19" ht="27" customHeight="1">
      <c r="B87" s="101"/>
      <c r="C87" s="799" t="str">
        <f>CHOOSE(jezyk,n!A693,n!B693,n!C693,n!D691)</f>
        <v>Kapitał (fundusz) z aktualizacji wyceny</v>
      </c>
      <c r="D87" s="801"/>
      <c r="E87" s="680">
        <v>0</v>
      </c>
      <c r="F87" s="406">
        <v>0</v>
      </c>
      <c r="G87" s="145">
        <f t="shared" si="4"/>
        <v>0</v>
      </c>
      <c r="H87" s="406">
        <v>0</v>
      </c>
      <c r="I87" s="406">
        <v>0</v>
      </c>
      <c r="J87" s="145">
        <f t="shared" si="5"/>
        <v>0</v>
      </c>
      <c r="S87" s="315"/>
    </row>
    <row r="88" spans="2:19" ht="25.5" customHeight="1">
      <c r="B88" s="101"/>
      <c r="C88" s="799" t="str">
        <f>CHOOSE(jezyk,n!A694,n!B694,n!C694,n!D692)</f>
        <v>Pozostałe kapitały (fundusze) rezerwowe</v>
      </c>
      <c r="D88" s="801"/>
      <c r="E88" s="680">
        <v>0</v>
      </c>
      <c r="F88" s="406">
        <v>0</v>
      </c>
      <c r="G88" s="145">
        <f t="shared" si="4"/>
        <v>0</v>
      </c>
      <c r="H88" s="406">
        <v>0</v>
      </c>
      <c r="I88" s="406">
        <v>0</v>
      </c>
      <c r="J88" s="145">
        <f t="shared" si="5"/>
        <v>0</v>
      </c>
      <c r="S88" s="315"/>
    </row>
    <row r="89" spans="2:19" ht="27" customHeight="1">
      <c r="B89" s="101"/>
      <c r="C89" s="799" t="str">
        <f>CHOOSE(jezyk,n!A695,n!B695,n!C695,n!D693)</f>
        <v>Zysk (strata) z lat ubiegłych</v>
      </c>
      <c r="D89" s="801"/>
      <c r="E89" s="680">
        <v>0</v>
      </c>
      <c r="F89" s="406">
        <v>0</v>
      </c>
      <c r="G89" s="145">
        <f t="shared" si="4"/>
        <v>0</v>
      </c>
      <c r="H89" s="406">
        <v>0</v>
      </c>
      <c r="I89" s="406">
        <v>0</v>
      </c>
      <c r="J89" s="145">
        <f t="shared" si="5"/>
        <v>0</v>
      </c>
      <c r="S89" s="315"/>
    </row>
    <row r="90" spans="2:19" ht="27" customHeight="1">
      <c r="B90" s="101"/>
      <c r="C90" s="799" t="str">
        <f>CHOOSE(jezyk,n!A696,n!B696,n!C696,n!D694)</f>
        <v>Zysk (strata) netto</v>
      </c>
      <c r="D90" s="801"/>
      <c r="E90" s="680">
        <v>0</v>
      </c>
      <c r="F90" s="406">
        <v>0</v>
      </c>
      <c r="G90" s="145">
        <f t="shared" si="4"/>
        <v>0</v>
      </c>
      <c r="H90" s="145">
        <f>Bilans!T20</f>
        <v>-313.37990000000002</v>
      </c>
      <c r="I90" s="406">
        <v>0</v>
      </c>
      <c r="J90" s="145">
        <f t="shared" si="5"/>
        <v>-313.37990000000002</v>
      </c>
      <c r="S90" s="315"/>
    </row>
    <row r="91" spans="2:19" ht="27" customHeight="1">
      <c r="B91" s="101"/>
      <c r="C91" s="799" t="str">
        <f>CHOOSE(jezyk,n!A768,n!B768,n!C768,n!D766)</f>
        <v>Ogółem</v>
      </c>
      <c r="D91" s="801"/>
      <c r="E91" s="145">
        <f t="shared" ref="E91:J91" si="6">SUM(E85:E90)</f>
        <v>5000</v>
      </c>
      <c r="F91" s="145">
        <f t="shared" si="6"/>
        <v>0</v>
      </c>
      <c r="G91" s="145">
        <f t="shared" si="6"/>
        <v>5000</v>
      </c>
      <c r="H91" s="145">
        <f t="shared" si="6"/>
        <v>-313.37990000000002</v>
      </c>
      <c r="I91" s="145">
        <f t="shared" si="6"/>
        <v>0</v>
      </c>
      <c r="J91" s="145">
        <f t="shared" si="6"/>
        <v>4686.6201000000001</v>
      </c>
      <c r="K91" s="147" t="s">
        <v>6804</v>
      </c>
      <c r="S91" s="315"/>
    </row>
    <row r="92" spans="2:19" ht="12.75" customHeight="1">
      <c r="B92" s="101"/>
      <c r="D92" s="38"/>
      <c r="E92" s="38"/>
      <c r="F92" s="37"/>
      <c r="G92" s="37"/>
      <c r="H92" s="38"/>
      <c r="I92" s="39"/>
      <c r="S92" s="315"/>
    </row>
    <row r="93" spans="2:19" ht="12.75" hidden="1" customHeight="1">
      <c r="B93" s="101"/>
      <c r="C93" s="830" t="s">
        <v>6805</v>
      </c>
      <c r="D93" s="830"/>
      <c r="E93" s="830"/>
      <c r="F93" s="830"/>
      <c r="G93" s="830"/>
      <c r="H93" s="830"/>
      <c r="I93" s="830"/>
      <c r="J93" s="830"/>
      <c r="K93" s="147" t="s">
        <v>6806</v>
      </c>
      <c r="S93" s="315"/>
    </row>
    <row r="94" spans="2:19" ht="12.75" customHeight="1">
      <c r="B94" s="101"/>
      <c r="D94" s="38"/>
      <c r="E94" s="38"/>
      <c r="F94" s="37"/>
      <c r="G94" s="37"/>
      <c r="H94" s="38"/>
      <c r="I94" s="39"/>
      <c r="S94" s="315"/>
    </row>
    <row r="95" spans="2:19" ht="12.75" customHeight="1">
      <c r="B95" s="111" t="s">
        <v>6807</v>
      </c>
      <c r="C95" s="798" t="str">
        <f>CHOOSE(jezyk,n!A705,n!B705,n!C705,n!D703)</f>
        <v>Propozycje co do podziału zysku/pokrycia straty za rok obrotowy</v>
      </c>
      <c r="D95" s="758"/>
      <c r="E95" s="758"/>
      <c r="F95" s="758"/>
      <c r="G95" s="758"/>
      <c r="H95" s="758"/>
      <c r="I95" s="758"/>
      <c r="J95" s="1194"/>
      <c r="K95" s="212" t="s">
        <v>6808</v>
      </c>
    </row>
    <row r="97" spans="1:18" ht="15" customHeight="1">
      <c r="C97" s="151"/>
      <c r="D97" s="152"/>
      <c r="E97" s="152"/>
      <c r="F97" s="152"/>
      <c r="G97" s="153"/>
      <c r="H97" s="841" t="str">
        <f>CHOOSE(jezyk,n!A1749,n!B1749,n!C1749,n!D1747)</f>
        <v>Kwota</v>
      </c>
      <c r="I97" s="841"/>
      <c r="K97" s="130" t="s">
        <v>6809</v>
      </c>
    </row>
    <row r="98" spans="1:18" ht="15" customHeight="1">
      <c r="C98" s="799" t="str">
        <f>CHOOSE(jezyk,n!A1750,n!B1750,n!C1750,n!D1748)</f>
        <v>Zysk netto za rok obrotowy</v>
      </c>
      <c r="D98" s="800"/>
      <c r="E98" s="800"/>
      <c r="F98" s="800"/>
      <c r="G98" s="801"/>
      <c r="H98" s="842">
        <f>'RZiS Por. '!E81</f>
        <v>364172.37000000081</v>
      </c>
      <c r="I98" s="842"/>
    </row>
    <row r="99" spans="1:18" ht="15" customHeight="1">
      <c r="C99" s="799" t="str">
        <f>CHOOSE(jezyk,n!A1751,n!B1751,n!C1751,n!D1749)</f>
        <v>Nierozliczony zysk/strata z lat ubiegłych</v>
      </c>
      <c r="D99" s="800"/>
      <c r="E99" s="800"/>
      <c r="F99" s="800"/>
      <c r="G99" s="801"/>
      <c r="H99" s="842">
        <f>Bilans!S19</f>
        <v>-313.38</v>
      </c>
      <c r="I99" s="842"/>
    </row>
    <row r="100" spans="1:18" ht="15" customHeight="1">
      <c r="C100" s="799" t="str">
        <f>CHOOSE(jezyk,n!A1753,n!B1753,n!C1753,n!D1751)</f>
        <v>Razem do podziału</v>
      </c>
      <c r="D100" s="800"/>
      <c r="E100" s="800"/>
      <c r="F100" s="800"/>
      <c r="G100" s="801"/>
      <c r="H100" s="842">
        <f>IF(H98+H99&gt;0,H98+H99,0)</f>
        <v>363858.99000000081</v>
      </c>
      <c r="I100" s="842"/>
    </row>
    <row r="101" spans="1:18" ht="15" customHeight="1">
      <c r="C101" s="154" t="str">
        <f>CHOOSE(jezyk,n!A1754,n!B1754,n!C1754,n!D1752)</f>
        <v>Proponowany podział:</v>
      </c>
      <c r="D101" s="155"/>
      <c r="E101" s="155"/>
      <c r="F101" s="155"/>
      <c r="G101" s="155"/>
      <c r="H101" s="843"/>
      <c r="I101" s="844"/>
    </row>
    <row r="102" spans="1:18" ht="15" customHeight="1">
      <c r="C102" s="836" t="str">
        <f>CHOOSE(jezyk,n!A1755,n!B1755,n!C1755,n!D1753)</f>
        <v>- pokrycie straty z lat ubiegłych</v>
      </c>
      <c r="D102" s="837"/>
      <c r="E102" s="837"/>
      <c r="F102" s="837"/>
      <c r="G102" s="837"/>
      <c r="H102" s="845">
        <v>313.38</v>
      </c>
      <c r="I102" s="846"/>
      <c r="K102" s="130" t="s">
        <v>6810</v>
      </c>
    </row>
    <row r="103" spans="1:18" ht="15" customHeight="1">
      <c r="C103" s="836" t="str">
        <f>CHOOSE(jezyk,n!A1756,n!B1756,n!C1756,n!D1754)</f>
        <v>- wypłata dywidendy</v>
      </c>
      <c r="D103" s="837"/>
      <c r="E103" s="837"/>
      <c r="F103" s="837"/>
      <c r="G103" s="837"/>
      <c r="H103" s="845"/>
      <c r="I103" s="846"/>
    </row>
    <row r="104" spans="1:18" ht="15" customHeight="1">
      <c r="C104" s="836" t="str">
        <f>CHOOSE(jezyk,n!A1757,n!B1757,n!C1757,n!D1755)</f>
        <v>- zwiększenia kapitału zapasowego</v>
      </c>
      <c r="D104" s="837"/>
      <c r="E104" s="837"/>
      <c r="F104" s="837"/>
      <c r="G104" s="837"/>
      <c r="H104" s="845">
        <v>363858.99</v>
      </c>
      <c r="I104" s="846"/>
    </row>
    <row r="105" spans="1:18" ht="15" hidden="1" customHeight="1">
      <c r="C105" s="836" t="str">
        <f>CHOOSE(jezyk,n!A1758,n!B1758,n!C1758,n!D1756)</f>
        <v>- zwiększenia kapitału rezerwowego</v>
      </c>
      <c r="D105" s="837"/>
      <c r="E105" s="837"/>
      <c r="F105" s="837"/>
      <c r="G105" s="837"/>
      <c r="H105" s="845"/>
      <c r="I105" s="846"/>
    </row>
    <row r="106" spans="1:18" ht="15" hidden="1" customHeight="1">
      <c r="C106" s="836" t="str">
        <f>CHOOSE(jezyk,n!A1759,n!B1759,n!C1759,n!D1757)</f>
        <v>- zwiększenia kapitału zakładowego</v>
      </c>
      <c r="D106" s="837"/>
      <c r="E106" s="837"/>
      <c r="F106" s="837"/>
      <c r="G106" s="837"/>
      <c r="H106" s="845"/>
      <c r="I106" s="846"/>
    </row>
    <row r="107" spans="1:18" ht="15" hidden="1" customHeight="1">
      <c r="C107" s="836" t="str">
        <f>CHOOSE(jezyk,n!A1760,n!B1760,n!C1760,n!D1758)</f>
        <v>- nagrody, premie, tantiemy</v>
      </c>
      <c r="D107" s="837"/>
      <c r="E107" s="837"/>
      <c r="F107" s="837"/>
      <c r="G107" s="837"/>
      <c r="H107" s="845"/>
      <c r="I107" s="846"/>
    </row>
    <row r="108" spans="1:18" ht="15" hidden="1" customHeight="1">
      <c r="C108" s="836" t="str">
        <f>CHOOSE(jezyk,n!A1761,n!B1761,n!C1761,n!D1759)</f>
        <v>- zasilenie funduszy specjalnych</v>
      </c>
      <c r="D108" s="837"/>
      <c r="E108" s="837"/>
      <c r="F108" s="837"/>
      <c r="G108" s="837"/>
      <c r="H108" s="845"/>
      <c r="I108" s="846"/>
    </row>
    <row r="109" spans="1:18" ht="15" hidden="1" customHeight="1">
      <c r="A109" s="72"/>
      <c r="C109" s="838" t="str">
        <f>CHOOSE(jezyk,n!A1762,n!B1762,n!C1762,n!D1760)</f>
        <v>- zwrot dopłat wspólnikom spółki z ograniczoną
 odpowiedzialnością</v>
      </c>
      <c r="D109" s="839"/>
      <c r="E109" s="839"/>
      <c r="F109" s="839"/>
      <c r="G109" s="839"/>
      <c r="H109" s="845"/>
      <c r="I109" s="846"/>
      <c r="R109" s="156"/>
    </row>
    <row r="110" spans="1:18" ht="15" hidden="1" customHeight="1">
      <c r="C110" s="832" t="str">
        <f>CHOOSE(jezyk,n!A1763,n!B1763,n!C1763,n!D1761)</f>
        <v>- inne</v>
      </c>
      <c r="D110" s="833"/>
      <c r="E110" s="833"/>
      <c r="F110" s="833"/>
      <c r="G110" s="833"/>
      <c r="H110" s="847"/>
      <c r="I110" s="848"/>
    </row>
    <row r="111" spans="1:18" ht="15" customHeight="1">
      <c r="C111" s="802" t="str">
        <f>CHOOSE(jezyk,n!A1764,n!B1764,n!C1764,n!D1762)</f>
        <v>Razem</v>
      </c>
      <c r="D111" s="802"/>
      <c r="E111" s="802"/>
      <c r="F111" s="802"/>
      <c r="G111" s="802"/>
      <c r="H111" s="849">
        <f>SUM(H102:H110)</f>
        <v>364172.37</v>
      </c>
      <c r="I111" s="850"/>
    </row>
    <row r="113" spans="1:18" ht="12.75" hidden="1" customHeight="1"/>
    <row r="114" spans="1:18" ht="14.1" hidden="1" customHeight="1">
      <c r="C114" s="151"/>
      <c r="D114" s="152"/>
      <c r="E114" s="152"/>
      <c r="F114" s="152"/>
      <c r="G114" s="153"/>
      <c r="H114" s="841" t="str">
        <f>CHOOSE(jezyk,n!A1749,n!B1749,n!C1749,n!D1747)</f>
        <v>Kwota</v>
      </c>
      <c r="I114" s="841"/>
      <c r="K114" s="130" t="s">
        <v>6811</v>
      </c>
    </row>
    <row r="115" spans="1:18" ht="14.1" hidden="1" customHeight="1">
      <c r="C115" s="799" t="str">
        <f>CHOOSE(jezyk,n!A1766,n!B1766,n!C1766,n!D1764)</f>
        <v>Strata netto za rok obrotowy</v>
      </c>
      <c r="D115" s="800"/>
      <c r="E115" s="800"/>
      <c r="F115" s="800"/>
      <c r="G115" s="801"/>
      <c r="H115" s="842">
        <f>'RZiS Por. '!E81</f>
        <v>364172.37000000081</v>
      </c>
      <c r="I115" s="842"/>
      <c r="K115" s="130" t="s">
        <v>6810</v>
      </c>
    </row>
    <row r="116" spans="1:18" ht="14.1" hidden="1" customHeight="1">
      <c r="C116" s="799" t="str">
        <f>CHOOSE(jezyk,n!A1767,n!B1767,n!C1767,n!D1765)</f>
        <v>Nierozliczony zysk / strata z lat ubiegłych</v>
      </c>
      <c r="D116" s="800"/>
      <c r="E116" s="800"/>
      <c r="F116" s="800"/>
      <c r="G116" s="801"/>
      <c r="H116" s="842">
        <f>Bilans!S20</f>
        <v>364172.37000000081</v>
      </c>
      <c r="I116" s="842"/>
    </row>
    <row r="117" spans="1:18" ht="14.1" hidden="1" customHeight="1">
      <c r="C117" s="799" t="str">
        <f>CHOOSE(jezyk,n!A1768,n!B1768,n!C1768,n!D1766)</f>
        <v>Razem do pokrycia</v>
      </c>
      <c r="D117" s="800"/>
      <c r="E117" s="800"/>
      <c r="F117" s="800"/>
      <c r="G117" s="801"/>
      <c r="H117" s="842">
        <f>IF(H115+H116&gt;0,H115+H116,0)</f>
        <v>728344.74000000162</v>
      </c>
      <c r="I117" s="842"/>
    </row>
    <row r="118" spans="1:18" ht="14.1" hidden="1" customHeight="1">
      <c r="C118" s="154" t="str">
        <f>CHOOSE(jezyk,n!A1769,n!B1769,n!C1769,n!D1767)</f>
        <v>Proponowane źródła pokrycia:</v>
      </c>
      <c r="D118" s="155"/>
      <c r="E118" s="155"/>
      <c r="F118" s="155"/>
      <c r="G118" s="155"/>
      <c r="H118" s="843"/>
      <c r="I118" s="844"/>
    </row>
    <row r="119" spans="1:18" ht="14.1" hidden="1" customHeight="1">
      <c r="C119" s="836" t="str">
        <f>CHOOSE(jezyk,n!A1770,n!B1770,n!C1770,n!D1768)</f>
        <v>- kapitał (fundusz) zapasowy</v>
      </c>
      <c r="D119" s="837"/>
      <c r="E119" s="837"/>
      <c r="F119" s="837"/>
      <c r="G119" s="837"/>
      <c r="H119" s="845"/>
      <c r="I119" s="846"/>
    </row>
    <row r="120" spans="1:18" ht="14.1" hidden="1" customHeight="1">
      <c r="C120" s="836" t="str">
        <f>CHOOSE(jezyk,n!A1771,n!B1771,n!C1771,n!D1769)</f>
        <v>- kapitał (fundusz) rezerwowy</v>
      </c>
      <c r="D120" s="837"/>
      <c r="E120" s="837"/>
      <c r="F120" s="837"/>
      <c r="G120" s="837"/>
      <c r="H120" s="845"/>
      <c r="I120" s="846"/>
    </row>
    <row r="121" spans="1:18" ht="14.1" hidden="1" customHeight="1">
      <c r="C121" s="836" t="str">
        <f>CHOOSE(jezyk,n!A1772,n!B1772,n!C1772,n!D1770)</f>
        <v>- obniżenie kapitału (funduszu) podstawowego</v>
      </c>
      <c r="D121" s="837"/>
      <c r="E121" s="837"/>
      <c r="F121" s="837"/>
      <c r="G121" s="837"/>
      <c r="H121" s="845"/>
      <c r="I121" s="846"/>
    </row>
    <row r="122" spans="1:18" ht="14.1" hidden="1" customHeight="1">
      <c r="A122" s="72"/>
      <c r="C122" s="838" t="str">
        <f>CHOOSE(jezyk,n!A1773,n!B1773,n!C1773,n!D1771)</f>
        <v>- dopłaty wspólników w spółce z ograniczoną
 odpowiedzialością</v>
      </c>
      <c r="D122" s="839"/>
      <c r="E122" s="839"/>
      <c r="F122" s="839"/>
      <c r="G122" s="839"/>
      <c r="H122" s="845"/>
      <c r="I122" s="846"/>
      <c r="R122" s="156"/>
    </row>
    <row r="123" spans="1:18" ht="26.25" hidden="1" customHeight="1">
      <c r="C123" s="836" t="str">
        <f>CHOOSE(jezyk,n!A1774,n!B1774,n!C1774,n!D1772)</f>
        <v>- dodatkowa emisja akcji lub udziałów po cenach wyższych od nominalnych</v>
      </c>
      <c r="D123" s="837"/>
      <c r="E123" s="837"/>
      <c r="F123" s="837"/>
      <c r="G123" s="840"/>
      <c r="H123" s="845"/>
      <c r="I123" s="846"/>
    </row>
    <row r="124" spans="1:18" ht="14.1" hidden="1" customHeight="1">
      <c r="C124" s="836" t="str">
        <f>CHOOSE(jezyk,n!A1775,n!B1775,n!C1775,n!D1773)</f>
        <v>- z zysków lat przyszłych</v>
      </c>
      <c r="D124" s="837"/>
      <c r="E124" s="837"/>
      <c r="F124" s="837"/>
      <c r="G124" s="840"/>
      <c r="H124" s="845"/>
      <c r="I124" s="846"/>
    </row>
    <row r="125" spans="1:18" ht="14.1" hidden="1" customHeight="1">
      <c r="C125" s="832" t="str">
        <f>CHOOSE(jezyk,n!A1776,n!B1776,n!C1776,n!D1774)</f>
        <v>- inne</v>
      </c>
      <c r="D125" s="833"/>
      <c r="E125" s="833"/>
      <c r="F125" s="833"/>
      <c r="G125" s="833"/>
      <c r="H125" s="845"/>
      <c r="I125" s="846"/>
    </row>
    <row r="126" spans="1:18" ht="14.1" hidden="1" customHeight="1">
      <c r="C126" s="802" t="str">
        <f>CHOOSE(jezyk,n!A1777,n!B1777,n!C1777,n!D1775)</f>
        <v>Razem</v>
      </c>
      <c r="D126" s="802"/>
      <c r="E126" s="802"/>
      <c r="F126" s="802"/>
      <c r="G126" s="802"/>
      <c r="H126" s="851">
        <f>SUM(H119:H125)</f>
        <v>0</v>
      </c>
      <c r="I126" s="852"/>
    </row>
    <row r="127" spans="1:18" ht="12.75" hidden="1" customHeight="1">
      <c r="C127" s="834"/>
      <c r="D127" s="835"/>
      <c r="E127" s="835"/>
      <c r="F127" s="835"/>
      <c r="G127" s="835"/>
      <c r="H127" s="835"/>
    </row>
    <row r="128" spans="1:18" ht="12.75" hidden="1" customHeight="1">
      <c r="C128" s="830" t="s">
        <v>6805</v>
      </c>
      <c r="D128" s="830"/>
      <c r="E128" s="830"/>
      <c r="F128" s="830"/>
      <c r="G128" s="830"/>
      <c r="H128" s="830"/>
      <c r="I128" s="830"/>
      <c r="J128" s="830"/>
      <c r="K128" s="212" t="s">
        <v>6812</v>
      </c>
    </row>
  </sheetData>
  <sheetProtection formatCells="0" formatColumns="0" formatRows="0" insertRows="0" insertHyperlinks="0" sort="0" autoFilter="0" pivotTables="0"/>
  <mergeCells count="154">
    <mergeCell ref="H126:I126"/>
    <mergeCell ref="H117:I117"/>
    <mergeCell ref="H118:I118"/>
    <mergeCell ref="H119:I119"/>
    <mergeCell ref="H120:I120"/>
    <mergeCell ref="H121:I121"/>
    <mergeCell ref="H122:I122"/>
    <mergeCell ref="H123:I123"/>
    <mergeCell ref="H124:I124"/>
    <mergeCell ref="H125:I125"/>
    <mergeCell ref="H106:I106"/>
    <mergeCell ref="H107:I107"/>
    <mergeCell ref="H108:I108"/>
    <mergeCell ref="H109:I109"/>
    <mergeCell ref="H110:I110"/>
    <mergeCell ref="H111:I111"/>
    <mergeCell ref="H114:I114"/>
    <mergeCell ref="H115:I115"/>
    <mergeCell ref="H116:I116"/>
    <mergeCell ref="H97:I97"/>
    <mergeCell ref="H98:I98"/>
    <mergeCell ref="H99:I99"/>
    <mergeCell ref="H100:I100"/>
    <mergeCell ref="H101:I101"/>
    <mergeCell ref="H102:I102"/>
    <mergeCell ref="H103:I103"/>
    <mergeCell ref="H104:I104"/>
    <mergeCell ref="H105:I105"/>
    <mergeCell ref="C128:J128"/>
    <mergeCell ref="C93:J93"/>
    <mergeCell ref="A55:A56"/>
    <mergeCell ref="C117:G117"/>
    <mergeCell ref="C110:G110"/>
    <mergeCell ref="C111:G111"/>
    <mergeCell ref="C115:G115"/>
    <mergeCell ref="C127:H127"/>
    <mergeCell ref="C119:G119"/>
    <mergeCell ref="C126:G126"/>
    <mergeCell ref="C120:G120"/>
    <mergeCell ref="C121:G121"/>
    <mergeCell ref="C122:G122"/>
    <mergeCell ref="C125:G125"/>
    <mergeCell ref="C123:G123"/>
    <mergeCell ref="C102:G102"/>
    <mergeCell ref="C103:G103"/>
    <mergeCell ref="C104:G104"/>
    <mergeCell ref="C105:G105"/>
    <mergeCell ref="C106:G106"/>
    <mergeCell ref="C107:G107"/>
    <mergeCell ref="C108:G108"/>
    <mergeCell ref="C109:G109"/>
    <mergeCell ref="C124:G124"/>
    <mergeCell ref="B1:J1"/>
    <mergeCell ref="B4:J4"/>
    <mergeCell ref="C11:J11"/>
    <mergeCell ref="C7:J7"/>
    <mergeCell ref="C45:D45"/>
    <mergeCell ref="G41:H42"/>
    <mergeCell ref="G43:H43"/>
    <mergeCell ref="G44:H44"/>
    <mergeCell ref="G45:H45"/>
    <mergeCell ref="C12:J12"/>
    <mergeCell ref="C21:J21"/>
    <mergeCell ref="C22:J22"/>
    <mergeCell ref="C24:J24"/>
    <mergeCell ref="C23:J23"/>
    <mergeCell ref="G26:H26"/>
    <mergeCell ref="I26:J26"/>
    <mergeCell ref="G18:H18"/>
    <mergeCell ref="I18:J18"/>
    <mergeCell ref="G29:H29"/>
    <mergeCell ref="I29:J29"/>
    <mergeCell ref="C25:J25"/>
    <mergeCell ref="C26:F26"/>
    <mergeCell ref="C20:J20"/>
    <mergeCell ref="C39:J39"/>
    <mergeCell ref="F63:G63"/>
    <mergeCell ref="C67:J67"/>
    <mergeCell ref="C75:D75"/>
    <mergeCell ref="C60:E60"/>
    <mergeCell ref="C63:E63"/>
    <mergeCell ref="C27:F27"/>
    <mergeCell ref="C61:E61"/>
    <mergeCell ref="C62:E62"/>
    <mergeCell ref="C74:D74"/>
    <mergeCell ref="C69:J69"/>
    <mergeCell ref="C73:D73"/>
    <mergeCell ref="C65:J65"/>
    <mergeCell ref="C28:F28"/>
    <mergeCell ref="G27:H27"/>
    <mergeCell ref="I27:J27"/>
    <mergeCell ref="G28:H28"/>
    <mergeCell ref="I28:J28"/>
    <mergeCell ref="C51:D51"/>
    <mergeCell ref="G51:H51"/>
    <mergeCell ref="C52:D52"/>
    <mergeCell ref="C53:D53"/>
    <mergeCell ref="C55:J56"/>
    <mergeCell ref="G53:H53"/>
    <mergeCell ref="C30:J30"/>
    <mergeCell ref="C9:J9"/>
    <mergeCell ref="C13:J13"/>
    <mergeCell ref="C47:J47"/>
    <mergeCell ref="C49:D50"/>
    <mergeCell ref="E49:E50"/>
    <mergeCell ref="F49:F50"/>
    <mergeCell ref="G49:H50"/>
    <mergeCell ref="I49:I50"/>
    <mergeCell ref="J49:J50"/>
    <mergeCell ref="C15:E15"/>
    <mergeCell ref="C16:E16"/>
    <mergeCell ref="C17:E17"/>
    <mergeCell ref="G15:H15"/>
    <mergeCell ref="I15:J15"/>
    <mergeCell ref="G16:H16"/>
    <mergeCell ref="G17:H17"/>
    <mergeCell ref="I16:J16"/>
    <mergeCell ref="I17:J17"/>
    <mergeCell ref="G52:H52"/>
    <mergeCell ref="C35:J35"/>
    <mergeCell ref="C31:J31"/>
    <mergeCell ref="E41:E42"/>
    <mergeCell ref="F41:F42"/>
    <mergeCell ref="J41:J42"/>
    <mergeCell ref="I41:I42"/>
    <mergeCell ref="C41:D42"/>
    <mergeCell ref="C43:D43"/>
    <mergeCell ref="C44:D44"/>
    <mergeCell ref="C33:J33"/>
    <mergeCell ref="C37:J37"/>
    <mergeCell ref="C58:I58"/>
    <mergeCell ref="C116:G116"/>
    <mergeCell ref="C98:G98"/>
    <mergeCell ref="C99:G99"/>
    <mergeCell ref="C100:G100"/>
    <mergeCell ref="C95:J95"/>
    <mergeCell ref="C79:D79"/>
    <mergeCell ref="C76:D76"/>
    <mergeCell ref="C77:D77"/>
    <mergeCell ref="C78:D78"/>
    <mergeCell ref="C80:D80"/>
    <mergeCell ref="C71:E71"/>
    <mergeCell ref="C82:E82"/>
    <mergeCell ref="C84:D84"/>
    <mergeCell ref="C85:D85"/>
    <mergeCell ref="C86:D86"/>
    <mergeCell ref="C87:D87"/>
    <mergeCell ref="C88:D88"/>
    <mergeCell ref="C89:D89"/>
    <mergeCell ref="C90:D90"/>
    <mergeCell ref="C91:D91"/>
    <mergeCell ref="F60:G60"/>
    <mergeCell ref="F61:G61"/>
    <mergeCell ref="F62:G62"/>
  </mergeCells>
  <phoneticPr fontId="0" type="noConversion"/>
  <dataValidations disablePrompts="1" count="1">
    <dataValidation type="list" allowBlank="1" showInputMessage="1" showErrorMessage="1" sqref="M57" xr:uid="{00000000-0002-0000-2500-000000000000}">
      <formula1>$V$58:$V$59</formula1>
    </dataValidation>
  </dataValidations>
  <hyperlinks>
    <hyperlink ref="B1:J1" location="'spis treści'!A1" display="SPIS TREŚCI" xr:uid="{00000000-0004-0000-2500-000000000000}"/>
  </hyperlinks>
  <pageMargins left="0.39370078740157483" right="0.19685039370078741" top="0.35433070866141736" bottom="1.0236220472440944" header="0.27559055118110237" footer="0.51181102362204722"/>
  <pageSetup paperSize="9" fitToHeight="0" orientation="portrait" blackAndWhite="1" r:id="rId1"/>
  <headerFooter>
    <oddFooter>&amp;Lnota 1.3.-1.10</oddFooter>
  </headerFooter>
  <rowBreaks count="3" manualBreakCount="3">
    <brk id="45" min="1" max="9" man="1"/>
    <brk id="80" min="1" max="9" man="1"/>
    <brk id="113" min="1"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dimension ref="B7:G30"/>
  <sheetViews>
    <sheetView showGridLines="0" view="pageBreakPreview" zoomScaleNormal="100" workbookViewId="0"/>
  </sheetViews>
  <sheetFormatPr defaultColWidth="9.140625" defaultRowHeight="12.75"/>
  <cols>
    <col min="1" max="1" width="9.140625" style="66"/>
    <col min="2" max="2" width="77.85546875" style="435" customWidth="1"/>
    <col min="3" max="16384" width="9.140625" style="66"/>
  </cols>
  <sheetData>
    <row r="7" spans="2:7">
      <c r="B7" s="433" t="s">
        <v>51</v>
      </c>
      <c r="G7" s="241"/>
    </row>
    <row r="10" spans="2:7" ht="38.25">
      <c r="B10" s="434" t="s">
        <v>52</v>
      </c>
    </row>
    <row r="12" spans="2:7">
      <c r="B12" s="434" t="s">
        <v>53</v>
      </c>
    </row>
    <row r="14" spans="2:7" ht="38.25">
      <c r="B14" s="435" t="s">
        <v>54</v>
      </c>
      <c r="G14" s="324"/>
    </row>
    <row r="15" spans="2:7">
      <c r="G15" s="324"/>
    </row>
    <row r="16" spans="2:7" ht="38.25">
      <c r="B16" s="435" t="s">
        <v>55</v>
      </c>
      <c r="G16" s="324"/>
    </row>
    <row r="18" spans="2:2" ht="76.5" customHeight="1">
      <c r="B18" s="435" t="s">
        <v>56</v>
      </c>
    </row>
    <row r="20" spans="2:2" ht="38.25">
      <c r="B20" s="435" t="s">
        <v>57</v>
      </c>
    </row>
    <row r="22" spans="2:2" ht="25.5">
      <c r="B22" s="435" t="s">
        <v>58</v>
      </c>
    </row>
    <row r="23" spans="2:2">
      <c r="B23" s="435" t="s">
        <v>59</v>
      </c>
    </row>
    <row r="24" spans="2:2">
      <c r="B24" s="435" t="s">
        <v>60</v>
      </c>
    </row>
    <row r="25" spans="2:2">
      <c r="B25" s="435" t="s">
        <v>61</v>
      </c>
    </row>
    <row r="26" spans="2:2">
      <c r="B26" s="435" t="s">
        <v>62</v>
      </c>
    </row>
    <row r="28" spans="2:2" ht="51">
      <c r="B28" s="435" t="s">
        <v>63</v>
      </c>
    </row>
    <row r="30" spans="2:2" ht="51">
      <c r="B30" s="435" t="s">
        <v>64</v>
      </c>
    </row>
  </sheetData>
  <phoneticPr fontId="29" type="noConversion"/>
  <pageMargins left="0.74803149606299213" right="0.74803149606299213" top="0.98425196850393704" bottom="0.98425196850393704" header="0.51181102362204722" footer="0.51181102362204722"/>
  <pageSetup paperSize="9"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34">
    <pageSetUpPr fitToPage="1"/>
  </sheetPr>
  <dimension ref="A1:Q151"/>
  <sheetViews>
    <sheetView showGridLines="0" view="pageBreakPreview" zoomScaleNormal="100" zoomScaleSheetLayoutView="100" workbookViewId="0">
      <selection sqref="A1:A1048576"/>
    </sheetView>
  </sheetViews>
  <sheetFormatPr defaultColWidth="9.140625" defaultRowHeight="12.75"/>
  <cols>
    <col min="1" max="1" width="21.140625" style="162" bestFit="1" customWidth="1"/>
    <col min="2" max="2" width="3.85546875" style="168" customWidth="1"/>
    <col min="3" max="3" width="22.5703125" style="162" customWidth="1"/>
    <col min="4" max="4" width="13.7109375" style="162" customWidth="1"/>
    <col min="5" max="5" width="14.28515625" style="162" customWidth="1"/>
    <col min="6" max="6" width="13.140625" style="162" customWidth="1"/>
    <col min="7" max="7" width="14.7109375" style="162" customWidth="1"/>
    <col min="8" max="8" width="15" style="162" customWidth="1"/>
    <col min="9" max="10" width="15.42578125" style="162" customWidth="1"/>
    <col min="11" max="12" width="12.28515625" style="162" customWidth="1"/>
    <col min="13" max="16384" width="9.140625" style="162"/>
  </cols>
  <sheetData>
    <row r="1" spans="1:15">
      <c r="C1" s="858" t="s">
        <v>3202</v>
      </c>
      <c r="D1" s="858"/>
      <c r="E1" s="858"/>
      <c r="F1" s="858"/>
      <c r="G1" s="858"/>
      <c r="H1" s="858"/>
      <c r="I1" s="858"/>
      <c r="J1" s="858"/>
    </row>
    <row r="2" spans="1:15">
      <c r="B2" s="386" t="str">
        <f>nazwa_spolki</f>
        <v>Rhenus Digital Workforce Sp. z o.o.</v>
      </c>
      <c r="C2" s="402"/>
      <c r="D2" s="402"/>
      <c r="E2" s="402"/>
      <c r="F2" s="402"/>
      <c r="G2" s="402"/>
      <c r="H2" s="402"/>
      <c r="I2" s="402"/>
      <c r="J2" s="402"/>
    </row>
    <row r="3" spans="1:15" ht="44.1" customHeight="1">
      <c r="B3" s="129" t="str">
        <f>tytul</f>
        <v>Sprawozdanie finansowe sporządzone za rok obrotowy 2024</v>
      </c>
      <c r="C3" s="402"/>
      <c r="D3" s="402"/>
      <c r="E3" s="402"/>
      <c r="F3" s="402"/>
      <c r="G3" s="402"/>
      <c r="H3" s="402"/>
      <c r="I3" s="402"/>
      <c r="J3" s="402"/>
    </row>
    <row r="4" spans="1:15" s="157" customFormat="1" ht="20.25">
      <c r="B4" s="789" t="str">
        <f>"1.11 - 1.15 "&amp;CHOOSE(jezyk,n!A613,n!B613,n!C613,n!D611)</f>
        <v>1.11 - 1.15 DODATKOWE INFORMACJE I OBJAŚNIENIA</v>
      </c>
      <c r="C4" s="789"/>
      <c r="D4" s="789"/>
      <c r="E4" s="789"/>
      <c r="F4" s="789"/>
      <c r="G4" s="789"/>
      <c r="H4" s="789"/>
      <c r="I4" s="158"/>
      <c r="J4" s="158"/>
      <c r="K4" s="158"/>
      <c r="L4" s="158"/>
      <c r="M4" s="158"/>
      <c r="N4" s="158"/>
      <c r="O4" s="158"/>
    </row>
    <row r="5" spans="1:15" s="157" customFormat="1" ht="14.25" customHeight="1">
      <c r="B5" s="359"/>
      <c r="C5" s="361"/>
      <c r="D5" s="361"/>
      <c r="E5" s="361"/>
      <c r="F5" s="361"/>
      <c r="G5" s="361"/>
      <c r="H5" s="361"/>
      <c r="I5" s="361"/>
      <c r="J5" s="361"/>
      <c r="K5" s="361"/>
      <c r="L5" s="361"/>
      <c r="M5" s="361"/>
    </row>
    <row r="6" spans="1:15" s="157" customFormat="1" ht="14.25" customHeight="1">
      <c r="B6" s="76" t="s">
        <v>6813</v>
      </c>
      <c r="C6" s="854" t="str">
        <f>CHOOSE(jezyk,n!A707,n!B707,n!C707,n!D705)</f>
        <v>Rezerwy na zobowiązania</v>
      </c>
      <c r="D6" s="854"/>
      <c r="E6" s="854"/>
      <c r="F6" s="854"/>
      <c r="G6" s="854"/>
      <c r="H6" s="854"/>
      <c r="I6" s="361"/>
      <c r="J6" s="361"/>
      <c r="K6" s="361"/>
      <c r="L6" s="361"/>
      <c r="M6" s="361"/>
    </row>
    <row r="7" spans="1:15" s="157" customFormat="1" ht="12" customHeight="1">
      <c r="B7" s="76"/>
      <c r="C7" s="657"/>
      <c r="D7" s="657"/>
      <c r="E7" s="657"/>
      <c r="F7" s="657"/>
      <c r="G7" s="657"/>
      <c r="H7" s="657"/>
      <c r="I7" s="361"/>
      <c r="J7" s="361"/>
      <c r="K7" s="361"/>
      <c r="L7" s="361"/>
      <c r="M7" s="361"/>
    </row>
    <row r="8" spans="1:15" s="157" customFormat="1" ht="14.25" customHeight="1">
      <c r="B8" s="359"/>
      <c r="C8" s="862" t="str">
        <f>CHOOSE(jezyk,n!A643,n!B643,n!C643,n!D641)</f>
        <v>Pozycja nie wystąpiła zarówno w roku obrotowym 2024, jak i w roku poprzednim.</v>
      </c>
      <c r="D8" s="862"/>
      <c r="E8" s="862"/>
      <c r="F8" s="862"/>
      <c r="G8" s="862"/>
      <c r="H8" s="862"/>
      <c r="I8" s="130" t="s">
        <v>6785</v>
      </c>
      <c r="J8" s="361"/>
      <c r="K8" s="361"/>
      <c r="L8" s="361"/>
      <c r="M8" s="361"/>
    </row>
    <row r="9" spans="1:15" s="157" customFormat="1" ht="9" customHeight="1">
      <c r="B9" s="359"/>
      <c r="C9" s="360"/>
      <c r="D9" s="360"/>
      <c r="E9" s="360"/>
      <c r="F9" s="360"/>
      <c r="G9" s="360"/>
      <c r="H9" s="360"/>
      <c r="I9" s="130"/>
      <c r="J9" s="361"/>
      <c r="K9" s="361"/>
      <c r="L9" s="361"/>
      <c r="M9" s="361"/>
    </row>
    <row r="10" spans="1:15" s="157" customFormat="1" ht="15" customHeight="1">
      <c r="B10" s="359"/>
      <c r="C10" s="394" t="str">
        <f>CHOOSE(jezyk,n!A616,n!B616,n!C616,n!D614)</f>
        <v>Rok obrotowy 2024</v>
      </c>
      <c r="D10" s="361"/>
      <c r="E10" s="361"/>
      <c r="F10" s="361"/>
      <c r="G10" s="361"/>
      <c r="H10" s="361"/>
      <c r="I10" s="361"/>
      <c r="J10" s="361"/>
      <c r="K10" s="361"/>
      <c r="L10" s="361"/>
      <c r="M10" s="361"/>
    </row>
    <row r="11" spans="1:15" s="157" customFormat="1" ht="12" customHeight="1">
      <c r="B11" s="359"/>
      <c r="C11" s="361"/>
      <c r="D11" s="361"/>
      <c r="E11" s="361"/>
      <c r="F11" s="361"/>
      <c r="G11" s="361"/>
      <c r="H11" s="361"/>
      <c r="I11" s="361"/>
      <c r="J11" s="361"/>
      <c r="K11" s="361"/>
      <c r="L11" s="361"/>
      <c r="M11" s="361"/>
    </row>
    <row r="12" spans="1:15" s="157" customFormat="1" ht="15" customHeight="1">
      <c r="B12" s="359"/>
      <c r="C12" s="809" t="str">
        <f>CHOOSE(jezyk,n!A708,n!B708,n!C708,n!D706)</f>
        <v>Tytuł rezerwy</v>
      </c>
      <c r="D12" s="809" t="str">
        <f>CHOOSE(jezyk,n!A715,n!B715,n!C715,n!D713)</f>
        <v>Stan na 01.01.2024</v>
      </c>
      <c r="E12" s="809" t="str">
        <f>CHOOSE(jezyk,n!A710,n!B710,n!C710,n!D708)</f>
        <v>Zwiększenia</v>
      </c>
      <c r="F12" s="809" t="str">
        <f>CHOOSE(jezyk,n!A711,n!B711,n!C711,n!D709)</f>
        <v>Wykorzystanie</v>
      </c>
      <c r="G12" s="809" t="str">
        <f>CHOOSE(jezyk,n!A712,n!B712,n!C712,n!D710)</f>
        <v>Rozwiązanie</v>
      </c>
      <c r="H12" s="809" t="str">
        <f>CHOOSE(jezyk,n!A716,n!B716,n!C716,n!D714)</f>
        <v>Stan na 31.12.2024</v>
      </c>
      <c r="I12" s="275"/>
      <c r="J12" s="275"/>
      <c r="K12" s="361"/>
      <c r="L12" s="361"/>
      <c r="M12" s="361"/>
    </row>
    <row r="13" spans="1:15" s="157" customFormat="1" ht="15.75" customHeight="1">
      <c r="B13" s="359"/>
      <c r="C13" s="809"/>
      <c r="D13" s="809"/>
      <c r="E13" s="809"/>
      <c r="F13" s="809"/>
      <c r="G13" s="809"/>
      <c r="H13" s="809"/>
      <c r="I13" s="275"/>
      <c r="J13" s="275"/>
      <c r="K13" s="361"/>
      <c r="L13" s="361"/>
      <c r="M13" s="361"/>
    </row>
    <row r="14" spans="1:15" s="157" customFormat="1" ht="28.5" customHeight="1">
      <c r="B14" s="359"/>
      <c r="C14" s="362" t="str">
        <f>CHOOSE(jezyk,n!A719,n!B719,n!C719,n!D717)</f>
        <v>Rezerwa na podatek odroczony</v>
      </c>
      <c r="D14" s="397">
        <f>H28</f>
        <v>0</v>
      </c>
      <c r="E14" s="651">
        <v>0</v>
      </c>
      <c r="F14" s="651">
        <v>0</v>
      </c>
      <c r="G14" s="651">
        <v>0</v>
      </c>
      <c r="H14" s="652">
        <f>IF((D14+E14-F14-G14)&lt;&gt;0,D14+E14-F14-G14,0)</f>
        <v>0</v>
      </c>
      <c r="I14" s="162"/>
      <c r="J14" s="162"/>
      <c r="K14" s="361"/>
      <c r="L14" s="361"/>
      <c r="M14" s="361"/>
    </row>
    <row r="15" spans="1:15" s="157" customFormat="1" ht="28.5" customHeight="1">
      <c r="A15" s="363"/>
      <c r="B15" s="359"/>
      <c r="C15" s="362" t="str">
        <f>CHOOSE(jezyk,n!A720,n!B720,n!C720,n!D718)</f>
        <v>Rezerwa na odprawy emerytalne i rentowe</v>
      </c>
      <c r="D15" s="397">
        <f t="shared" ref="D15:D21" si="0">H29</f>
        <v>0</v>
      </c>
      <c r="E15" s="651">
        <v>0</v>
      </c>
      <c r="F15" s="651">
        <v>0</v>
      </c>
      <c r="G15" s="651">
        <v>0</v>
      </c>
      <c r="H15" s="652">
        <f t="shared" ref="H15:H21" si="1">IF((D15+E15-F15-G15)&lt;&gt;0,D15+E15-F15-G15,0)</f>
        <v>0</v>
      </c>
      <c r="I15" s="162"/>
      <c r="J15" s="162"/>
      <c r="K15" s="361"/>
      <c r="L15" s="361"/>
      <c r="M15" s="361"/>
    </row>
    <row r="16" spans="1:15" s="157" customFormat="1" ht="28.5" customHeight="1">
      <c r="B16" s="359"/>
      <c r="C16" s="362" t="str">
        <f>CHOOSE(jezyk,n!A721,n!B721,n!C721,n!D719)</f>
        <v>Rezerwa na świadczenia urlopowe</v>
      </c>
      <c r="D16" s="397">
        <f t="shared" si="0"/>
        <v>0</v>
      </c>
      <c r="E16" s="651">
        <v>0</v>
      </c>
      <c r="F16" s="651">
        <v>0</v>
      </c>
      <c r="G16" s="651">
        <v>0</v>
      </c>
      <c r="H16" s="652">
        <f t="shared" si="1"/>
        <v>0</v>
      </c>
      <c r="I16" s="162"/>
      <c r="J16" s="162"/>
      <c r="K16" s="361"/>
      <c r="L16" s="361"/>
      <c r="M16" s="361"/>
    </row>
    <row r="17" spans="1:13" s="157" customFormat="1" ht="28.5" customHeight="1">
      <c r="B17" s="359"/>
      <c r="C17" s="362" t="str">
        <f>CHOOSE(jezyk,n!A722,n!B722,n!C722,n!D720)</f>
        <v>Rezerwa na premie i wynagrodzenia</v>
      </c>
      <c r="D17" s="397">
        <f t="shared" si="0"/>
        <v>0</v>
      </c>
      <c r="E17" s="651">
        <v>0</v>
      </c>
      <c r="F17" s="651">
        <v>0</v>
      </c>
      <c r="G17" s="651">
        <v>0</v>
      </c>
      <c r="H17" s="652">
        <f t="shared" si="1"/>
        <v>0</v>
      </c>
      <c r="I17" s="162"/>
      <c r="J17" s="162"/>
      <c r="K17" s="361"/>
      <c r="L17" s="361"/>
      <c r="M17" s="361"/>
    </row>
    <row r="18" spans="1:13" s="157" customFormat="1" ht="28.5" customHeight="1">
      <c r="A18" s="363"/>
      <c r="B18" s="359"/>
      <c r="C18" s="362" t="str">
        <f>CHOOSE(jezyk,n!A723,n!B723,n!C723,n!D721)</f>
        <v>Badanie sprawozdania finansowego</v>
      </c>
      <c r="D18" s="397">
        <f t="shared" si="0"/>
        <v>0</v>
      </c>
      <c r="E18" s="651">
        <v>0</v>
      </c>
      <c r="F18" s="651">
        <v>0</v>
      </c>
      <c r="G18" s="651">
        <v>0</v>
      </c>
      <c r="H18" s="652">
        <f t="shared" si="1"/>
        <v>0</v>
      </c>
      <c r="I18" s="162"/>
      <c r="J18" s="162"/>
      <c r="K18" s="361"/>
      <c r="L18" s="361"/>
      <c r="M18" s="361"/>
    </row>
    <row r="19" spans="1:13" s="157" customFormat="1" ht="28.5" customHeight="1">
      <c r="A19" s="363"/>
      <c r="B19" s="359"/>
      <c r="C19" s="362" t="str">
        <f>CHOOSE(jezyk,n!A724,n!B724,n!C724,n!D722)</f>
        <v>Sporządzenie sprawozdania finansowego</v>
      </c>
      <c r="D19" s="397">
        <f t="shared" si="0"/>
        <v>0</v>
      </c>
      <c r="E19" s="651">
        <v>0</v>
      </c>
      <c r="F19" s="651">
        <v>0</v>
      </c>
      <c r="G19" s="651">
        <v>0</v>
      </c>
      <c r="H19" s="652">
        <f t="shared" si="1"/>
        <v>0</v>
      </c>
      <c r="I19" s="162"/>
      <c r="J19" s="162"/>
      <c r="K19" s="361"/>
      <c r="L19" s="361"/>
      <c r="M19" s="361"/>
    </row>
    <row r="20" spans="1:13" s="157" customFormat="1" ht="28.5" customHeight="1">
      <c r="B20" s="359"/>
      <c r="C20" s="362" t="str">
        <f>CHOOSE(jezyk,n!A725,n!B725,n!C725,n!D723)</f>
        <v>Rezerwa na naprawy gwarancyjne</v>
      </c>
      <c r="D20" s="397">
        <f t="shared" si="0"/>
        <v>0</v>
      </c>
      <c r="E20" s="651">
        <v>0</v>
      </c>
      <c r="F20" s="651">
        <v>0</v>
      </c>
      <c r="G20" s="651">
        <v>0</v>
      </c>
      <c r="H20" s="652">
        <f t="shared" si="1"/>
        <v>0</v>
      </c>
      <c r="I20" s="162"/>
      <c r="J20" s="162"/>
      <c r="K20" s="361"/>
      <c r="L20" s="361"/>
      <c r="M20" s="361"/>
    </row>
    <row r="21" spans="1:13" s="157" customFormat="1" ht="23.1" customHeight="1">
      <c r="B21" s="359"/>
      <c r="C21" s="362" t="str">
        <f>CHOOSE(jezyk,n!A726,n!B726,n!C726,n!D724)</f>
        <v>Pozostałe rezerwy</v>
      </c>
      <c r="D21" s="397">
        <f t="shared" si="0"/>
        <v>0</v>
      </c>
      <c r="E21" s="651">
        <v>0</v>
      </c>
      <c r="F21" s="651">
        <v>0</v>
      </c>
      <c r="G21" s="651">
        <v>0</v>
      </c>
      <c r="H21" s="652">
        <f t="shared" si="1"/>
        <v>0</v>
      </c>
      <c r="I21" s="335" t="str">
        <f>dzb</f>
        <v>31.12.2024</v>
      </c>
      <c r="J21" s="335" t="str">
        <f>pdz</f>
        <v>31.12.2023</v>
      </c>
      <c r="K21" s="361"/>
      <c r="L21" s="361"/>
      <c r="M21" s="361"/>
    </row>
    <row r="22" spans="1:13" s="157" customFormat="1" ht="23.1" customHeight="1">
      <c r="B22" s="359"/>
      <c r="C22" s="285" t="str">
        <f>CHOOSE(jezyk,n!A714,n!B714,n!C714,n!D712)</f>
        <v>Ogółem</v>
      </c>
      <c r="D22" s="397">
        <f>SUM(D14:D21)</f>
        <v>0</v>
      </c>
      <c r="E22" s="397">
        <f>SUM(E14:E21)</f>
        <v>0</v>
      </c>
      <c r="F22" s="397">
        <f>SUM(F14:F21)</f>
        <v>0</v>
      </c>
      <c r="G22" s="397">
        <f>SUM(G14:G21)</f>
        <v>0</v>
      </c>
      <c r="H22" s="397">
        <f>SUM(H14:H21)</f>
        <v>0</v>
      </c>
      <c r="I22" s="364">
        <f>ROUND(H22-Bilans!S29,2)</f>
        <v>0</v>
      </c>
      <c r="J22" s="365">
        <f>ROUND(D22-Bilans!T29,2)</f>
        <v>0</v>
      </c>
      <c r="K22" s="361"/>
      <c r="L22" s="361"/>
      <c r="M22" s="361"/>
    </row>
    <row r="23" spans="1:13" s="157" customFormat="1" ht="12" customHeight="1">
      <c r="B23" s="359"/>
      <c r="C23" s="361"/>
      <c r="D23" s="361"/>
      <c r="E23" s="361"/>
      <c r="F23" s="361"/>
      <c r="G23" s="361"/>
      <c r="H23" s="361"/>
      <c r="I23" s="361"/>
      <c r="J23" s="361"/>
      <c r="K23" s="361"/>
      <c r="L23" s="361"/>
      <c r="M23" s="361"/>
    </row>
    <row r="24" spans="1:13" s="157" customFormat="1" ht="15" customHeight="1">
      <c r="B24" s="359"/>
      <c r="C24" s="394" t="str">
        <f>CHOOSE(jezyk,n!A617,n!B617,n!C617,n!D615)</f>
        <v>Rok obrotowy 2023</v>
      </c>
      <c r="D24" s="366"/>
      <c r="E24" s="366"/>
      <c r="F24" s="366"/>
      <c r="G24" s="366"/>
      <c r="H24" s="366"/>
      <c r="I24" s="367"/>
      <c r="J24" s="361"/>
      <c r="K24" s="361"/>
      <c r="L24" s="361"/>
      <c r="M24" s="361"/>
    </row>
    <row r="25" spans="1:13" s="157" customFormat="1" ht="12" customHeight="1">
      <c r="B25" s="359"/>
      <c r="C25" s="368"/>
      <c r="D25" s="369"/>
      <c r="E25" s="369"/>
      <c r="F25" s="369"/>
      <c r="G25" s="368"/>
      <c r="H25" s="367"/>
      <c r="I25" s="367"/>
      <c r="J25" s="361"/>
      <c r="K25" s="361"/>
      <c r="L25" s="361"/>
      <c r="M25" s="361"/>
    </row>
    <row r="26" spans="1:13" s="157" customFormat="1" ht="14.25" customHeight="1">
      <c r="B26" s="359"/>
      <c r="C26" s="809" t="str">
        <f>CHOOSE(jezyk,n!A708,n!B708,n!C708,n!D706)</f>
        <v>Tytuł rezerwy</v>
      </c>
      <c r="D26" s="809" t="str">
        <f>CHOOSE(jezyk,n!A717,n!B717,n!C717,n!D715)</f>
        <v>Stan na 01.01.2023</v>
      </c>
      <c r="E26" s="809" t="str">
        <f>CHOOSE(jezyk,n!A710,n!B710,n!C710,n!D708)</f>
        <v>Zwiększenia</v>
      </c>
      <c r="F26" s="809" t="str">
        <f>CHOOSE(jezyk,n!A711,n!B711,n!C711,n!D709)</f>
        <v>Wykorzystanie</v>
      </c>
      <c r="G26" s="809" t="str">
        <f>CHOOSE(jezyk,n!A712,n!B712,n!C712,n!D710)</f>
        <v>Rozwiązanie</v>
      </c>
      <c r="H26" s="809" t="str">
        <f>CHOOSE(jezyk,n!A718,n!B718,n!C718,n!D716)</f>
        <v>Stan na 31.12.2023</v>
      </c>
      <c r="I26" s="275"/>
      <c r="J26" s="361"/>
      <c r="K26" s="361"/>
      <c r="L26" s="361"/>
      <c r="M26" s="361"/>
    </row>
    <row r="27" spans="1:13" s="157" customFormat="1" ht="14.25" customHeight="1">
      <c r="B27" s="359"/>
      <c r="C27" s="809"/>
      <c r="D27" s="809"/>
      <c r="E27" s="809"/>
      <c r="F27" s="809"/>
      <c r="G27" s="809"/>
      <c r="H27" s="809"/>
      <c r="I27" s="275"/>
      <c r="J27" s="361"/>
      <c r="K27" s="361"/>
      <c r="L27" s="361"/>
      <c r="M27" s="361"/>
    </row>
    <row r="28" spans="1:13" s="157" customFormat="1" ht="27.95" customHeight="1">
      <c r="B28" s="359"/>
      <c r="C28" s="362" t="str">
        <f>CHOOSE(jezyk,n!A719,n!B719,n!C719,n!D717)</f>
        <v>Rezerwa na podatek odroczony</v>
      </c>
      <c r="D28" s="651">
        <v>0</v>
      </c>
      <c r="E28" s="651">
        <v>0</v>
      </c>
      <c r="F28" s="651">
        <v>0</v>
      </c>
      <c r="G28" s="651">
        <v>0</v>
      </c>
      <c r="H28" s="397">
        <f>IF((D28+E28-F28-G28)&lt;&gt;0,D28+E28-F28-G28,0)</f>
        <v>0</v>
      </c>
      <c r="I28" s="162"/>
      <c r="J28" s="361"/>
      <c r="K28" s="361"/>
      <c r="L28" s="361"/>
      <c r="M28" s="361"/>
    </row>
    <row r="29" spans="1:13" s="157" customFormat="1" ht="27.95" customHeight="1">
      <c r="A29" s="363"/>
      <c r="B29" s="359"/>
      <c r="C29" s="362" t="str">
        <f>CHOOSE(jezyk,n!A720,n!B720,n!C720,n!D718)</f>
        <v>Rezerwa na odprawy emerytalne i rentowe</v>
      </c>
      <c r="D29" s="651">
        <v>0</v>
      </c>
      <c r="E29" s="651">
        <v>0</v>
      </c>
      <c r="F29" s="651">
        <v>0</v>
      </c>
      <c r="G29" s="651">
        <v>0</v>
      </c>
      <c r="H29" s="397">
        <f t="shared" ref="H29:H35" si="2">IF((D29+E29-F29-G29)&lt;&gt;0,D29+E29-F29-G29,0)</f>
        <v>0</v>
      </c>
      <c r="I29" s="162"/>
      <c r="J29" s="361"/>
      <c r="K29" s="361"/>
      <c r="L29" s="361"/>
      <c r="M29" s="361"/>
    </row>
    <row r="30" spans="1:13" s="157" customFormat="1" ht="27.95" customHeight="1">
      <c r="B30" s="359"/>
      <c r="C30" s="362" t="str">
        <f>CHOOSE(jezyk,n!A721,n!B721,n!C721,n!D719)</f>
        <v>Rezerwa na świadczenia urlopowe</v>
      </c>
      <c r="D30" s="651">
        <v>0</v>
      </c>
      <c r="E30" s="651">
        <v>0</v>
      </c>
      <c r="F30" s="651">
        <v>0</v>
      </c>
      <c r="G30" s="651">
        <v>0</v>
      </c>
      <c r="H30" s="397">
        <f t="shared" si="2"/>
        <v>0</v>
      </c>
      <c r="I30" s="162"/>
      <c r="J30" s="361"/>
      <c r="K30" s="361"/>
      <c r="L30" s="361"/>
      <c r="M30" s="361"/>
    </row>
    <row r="31" spans="1:13" s="157" customFormat="1" ht="27.75" customHeight="1">
      <c r="A31" s="363"/>
      <c r="B31" s="359"/>
      <c r="C31" s="362" t="str">
        <f>CHOOSE(jezyk,n!A722,n!B722,n!C722,n!D720)</f>
        <v>Rezerwa na premie i wynagrodzenia</v>
      </c>
      <c r="D31" s="651">
        <v>0</v>
      </c>
      <c r="E31" s="651">
        <v>0</v>
      </c>
      <c r="F31" s="651">
        <v>0</v>
      </c>
      <c r="G31" s="651">
        <v>0</v>
      </c>
      <c r="H31" s="397">
        <f t="shared" si="2"/>
        <v>0</v>
      </c>
      <c r="I31" s="162"/>
      <c r="J31" s="361"/>
      <c r="K31" s="361"/>
      <c r="L31" s="361"/>
      <c r="M31" s="361"/>
    </row>
    <row r="32" spans="1:13" s="157" customFormat="1" ht="27.95" customHeight="1">
      <c r="A32" s="363"/>
      <c r="B32" s="359"/>
      <c r="C32" s="362" t="str">
        <f>CHOOSE(jezyk,n!A723,n!B723,n!C723,n!D721)</f>
        <v>Badanie sprawozdania finansowego</v>
      </c>
      <c r="D32" s="651">
        <v>0</v>
      </c>
      <c r="E32" s="651">
        <v>0</v>
      </c>
      <c r="F32" s="651">
        <v>0</v>
      </c>
      <c r="G32" s="651">
        <v>0</v>
      </c>
      <c r="H32" s="397">
        <f t="shared" si="2"/>
        <v>0</v>
      </c>
      <c r="I32" s="162"/>
      <c r="J32" s="361"/>
      <c r="K32" s="361"/>
      <c r="L32" s="361"/>
      <c r="M32" s="361"/>
    </row>
    <row r="33" spans="1:17" s="157" customFormat="1" ht="27.95" customHeight="1">
      <c r="A33" s="363"/>
      <c r="B33" s="359"/>
      <c r="C33" s="362" t="str">
        <f>CHOOSE(jezyk,n!A724,n!B724,n!C724,n!D722)</f>
        <v>Sporządzenie sprawozdania finansowego</v>
      </c>
      <c r="D33" s="651">
        <v>0</v>
      </c>
      <c r="E33" s="651">
        <v>0</v>
      </c>
      <c r="F33" s="651">
        <v>0</v>
      </c>
      <c r="G33" s="651">
        <v>0</v>
      </c>
      <c r="H33" s="397">
        <f t="shared" si="2"/>
        <v>0</v>
      </c>
      <c r="I33" s="162"/>
      <c r="J33" s="361"/>
      <c r="K33" s="361"/>
      <c r="L33" s="361"/>
      <c r="M33" s="361"/>
    </row>
    <row r="34" spans="1:17" s="157" customFormat="1" ht="27.95" customHeight="1">
      <c r="B34" s="359"/>
      <c r="C34" s="362" t="str">
        <f>CHOOSE(jezyk,n!A725,n!B725,n!C725,n!D723)</f>
        <v>Rezerwa na naprawy gwarancyjne</v>
      </c>
      <c r="D34" s="651">
        <v>0</v>
      </c>
      <c r="E34" s="651">
        <v>0</v>
      </c>
      <c r="F34" s="651">
        <v>0</v>
      </c>
      <c r="G34" s="651">
        <v>0</v>
      </c>
      <c r="H34" s="397">
        <f t="shared" si="2"/>
        <v>0</v>
      </c>
      <c r="I34" s="162"/>
      <c r="J34" s="361"/>
      <c r="K34" s="361"/>
      <c r="L34" s="361"/>
      <c r="M34" s="361"/>
    </row>
    <row r="35" spans="1:17" s="157" customFormat="1" ht="23.1" customHeight="1">
      <c r="B35" s="359"/>
      <c r="C35" s="362" t="str">
        <f>CHOOSE(jezyk,n!A726,n!B726,n!C726,n!D724)</f>
        <v>Pozostałe rezerwy</v>
      </c>
      <c r="D35" s="651">
        <v>0</v>
      </c>
      <c r="E35" s="651">
        <v>0</v>
      </c>
      <c r="F35" s="651">
        <v>0</v>
      </c>
      <c r="G35" s="651">
        <v>0</v>
      </c>
      <c r="H35" s="397">
        <f t="shared" si="2"/>
        <v>0</v>
      </c>
      <c r="I35" s="335" t="str">
        <f>J21</f>
        <v>31.12.2023</v>
      </c>
      <c r="J35" s="361"/>
      <c r="K35" s="361"/>
      <c r="L35" s="361"/>
      <c r="M35" s="361"/>
    </row>
    <row r="36" spans="1:17" s="157" customFormat="1" ht="23.1" customHeight="1">
      <c r="B36" s="359"/>
      <c r="C36" s="285" t="str">
        <f>CHOOSE(jezyk,n!A714,n!B714,n!C714,n!D712)</f>
        <v>Ogółem</v>
      </c>
      <c r="D36" s="397">
        <f>SUM(D28:D35)</f>
        <v>0</v>
      </c>
      <c r="E36" s="397">
        <f>SUM(E28:E35)</f>
        <v>0</v>
      </c>
      <c r="F36" s="397">
        <f>SUM(F28:F35)</f>
        <v>0</v>
      </c>
      <c r="G36" s="397">
        <f>SUM(G28:G35)</f>
        <v>0</v>
      </c>
      <c r="H36" s="397">
        <f>SUM(H28:H35)</f>
        <v>0</v>
      </c>
      <c r="I36" s="364">
        <f>H36-D22</f>
        <v>0</v>
      </c>
      <c r="J36" s="361"/>
      <c r="K36" s="361"/>
      <c r="L36" s="361"/>
      <c r="M36" s="361"/>
    </row>
    <row r="37" spans="1:17" s="157" customFormat="1" ht="11.25" customHeight="1">
      <c r="B37" s="359"/>
      <c r="C37" s="361"/>
      <c r="D37" s="361"/>
      <c r="E37" s="361"/>
      <c r="F37" s="361"/>
      <c r="G37" s="361"/>
      <c r="H37" s="361"/>
      <c r="I37" s="361"/>
      <c r="J37" s="361"/>
      <c r="K37" s="361"/>
      <c r="L37" s="361"/>
      <c r="M37" s="361"/>
    </row>
    <row r="38" spans="1:17" ht="12.75" customHeight="1">
      <c r="B38" s="76" t="s">
        <v>6814</v>
      </c>
      <c r="C38" s="854" t="str">
        <f>CHOOSE(jezyk,n!A775,n!B775,n!C775,n!D773)</f>
        <v>Zobowiązania długoterminowe</v>
      </c>
      <c r="D38" s="854"/>
      <c r="E38" s="854"/>
      <c r="F38" s="854"/>
      <c r="G38" s="854"/>
      <c r="H38" s="854"/>
      <c r="I38" s="370"/>
      <c r="J38" s="370"/>
    </row>
    <row r="39" spans="1:17" ht="9" customHeight="1">
      <c r="C39" s="371"/>
    </row>
    <row r="40" spans="1:17" ht="15" customHeight="1">
      <c r="C40" s="394" t="str">
        <f>CHOOSE(jezyk,n!A616,n!B616,n!C616,n!D614)</f>
        <v>Rok obrotowy 2024</v>
      </c>
    </row>
    <row r="41" spans="1:17" ht="9.9499999999999993" customHeight="1"/>
    <row r="42" spans="1:17" s="275" customFormat="1" ht="15" customHeight="1">
      <c r="B42" s="372"/>
      <c r="C42" s="810" t="str">
        <f>CHOOSE(jezyk,n!A776,n!B776,n!C776,n!D774)</f>
        <v>Zobowiązania długoterminowe według pozycji bilansu</v>
      </c>
      <c r="D42" s="859" t="str">
        <f>CHOOSE(jezyk,n!A785,n!B785,n!C785,n!D783)</f>
        <v>Okres spłaty</v>
      </c>
      <c r="E42" s="860"/>
      <c r="F42" s="860"/>
      <c r="G42" s="861"/>
      <c r="H42" s="656" t="str">
        <f>CHOOSE(jezyk,n!A794,n!B794,n!C794,n!D789)</f>
        <v>Razem:</v>
      </c>
    </row>
    <row r="43" spans="1:17" s="275" customFormat="1" ht="56.25" customHeight="1">
      <c r="B43" s="372"/>
      <c r="C43" s="811"/>
      <c r="D43" s="373" t="str">
        <f>CHOOSE(jezyk,n!A786,n!B786,n!C786,n!D784)</f>
        <v>do 1 roku 
(do spłaty w kolejnym roku obrotowym)</v>
      </c>
      <c r="E43" s="373" t="str">
        <f>CHOOSE(jezyk,n!A787,n!B787,n!C787,n!D785)</f>
        <v>powyżej 1 roku do 3 lat(do spłaty w latach 2026 - 2027)</v>
      </c>
      <c r="F43" s="373" t="str">
        <f>CHOOSE(jezyk,n!A789,n!B789,n!C789,n!D786)</f>
        <v>od 3 do 5 lat(do spłaty w latach 2028 - 2029)</v>
      </c>
      <c r="G43" s="373" t="str">
        <f>CHOOSE(jezyk,n!A791,n!B791,n!C791,n!D787)</f>
        <v>powyżej 5 lat(do spłaty po 2029 roku)</v>
      </c>
      <c r="H43" s="374"/>
      <c r="I43" s="170"/>
    </row>
    <row r="44" spans="1:17" ht="27" customHeight="1">
      <c r="C44" s="285" t="str">
        <f>CHOOSE(jezyk,n!A777,n!B777,n!C777,n!D775)</f>
        <v>Wobec jednostek powiązanych</v>
      </c>
      <c r="D44" s="397">
        <f>Bilans!S58</f>
        <v>0</v>
      </c>
      <c r="E44" s="651">
        <v>0</v>
      </c>
      <c r="F44" s="651">
        <v>0</v>
      </c>
      <c r="G44" s="651">
        <v>0</v>
      </c>
      <c r="H44" s="397">
        <f>SUM(D44:G44)</f>
        <v>0</v>
      </c>
      <c r="I44" s="170"/>
    </row>
    <row r="45" spans="1:17" ht="42.75" customHeight="1">
      <c r="A45" s="363"/>
      <c r="C45" s="285" t="str">
        <f>CHOOSE(jezyk,n!A386,n!B386,n!C386,n!D386)</f>
        <v>Wobec jednostek, w których jednostka posiada zaangażowanie w kapitale</v>
      </c>
      <c r="D45" s="397">
        <f>Bilans!S66</f>
        <v>0</v>
      </c>
      <c r="E45" s="651">
        <v>0</v>
      </c>
      <c r="F45" s="651">
        <v>0</v>
      </c>
      <c r="G45" s="651">
        <v>0</v>
      </c>
      <c r="H45" s="397">
        <f>SUM(D45:G45)</f>
        <v>0</v>
      </c>
      <c r="I45" s="170"/>
      <c r="M45" s="731"/>
      <c r="N45" s="731"/>
      <c r="O45" s="731"/>
      <c r="P45" s="731"/>
      <c r="Q45" s="731"/>
    </row>
    <row r="46" spans="1:17" ht="27.75" customHeight="1">
      <c r="C46" s="285" t="str">
        <f>CHOOSE(jezyk,n!A778,n!B778,n!C778,n!D776)</f>
        <v>Wobec pozostałych jednostek</v>
      </c>
      <c r="D46" s="397">
        <f>SUM(D47:D51)</f>
        <v>201380.84</v>
      </c>
      <c r="E46" s="397">
        <f>SUM(E47:E51)</f>
        <v>0</v>
      </c>
      <c r="F46" s="397">
        <f>SUM(F47:F51)</f>
        <v>0</v>
      </c>
      <c r="G46" s="397">
        <f>SUM(G47:G51)</f>
        <v>0</v>
      </c>
      <c r="H46" s="397">
        <f>SUM(H47:H51)</f>
        <v>201380.84</v>
      </c>
      <c r="I46" s="170"/>
      <c r="M46" s="731"/>
      <c r="N46" s="731"/>
      <c r="O46" s="731"/>
      <c r="P46" s="731"/>
      <c r="Q46" s="731"/>
    </row>
    <row r="47" spans="1:17" ht="18" customHeight="1">
      <c r="C47" s="285" t="str">
        <f>"   "&amp;CHOOSE(jezyk,n!A779,n!B779,n!C779,n!D777)</f>
        <v xml:space="preserve">   Kredyty i pożyczki</v>
      </c>
      <c r="D47" s="397">
        <f>Bilans!S76</f>
        <v>0</v>
      </c>
      <c r="E47" s="651">
        <v>0</v>
      </c>
      <c r="F47" s="651">
        <v>0</v>
      </c>
      <c r="G47" s="651">
        <v>0</v>
      </c>
      <c r="H47" s="397">
        <f>SUM(D47:G47)</f>
        <v>0</v>
      </c>
      <c r="I47" s="853" t="s">
        <v>6815</v>
      </c>
      <c r="J47" s="853" t="str">
        <f>C45</f>
        <v>Wobec jednostek, w których jednostka posiada zaangażowanie w kapitale</v>
      </c>
      <c r="K47" s="853" t="s">
        <v>6816</v>
      </c>
      <c r="L47" s="853" t="s">
        <v>2482</v>
      </c>
      <c r="M47" s="731"/>
      <c r="N47" s="731"/>
      <c r="O47" s="731"/>
      <c r="P47" s="731"/>
      <c r="Q47" s="731"/>
    </row>
    <row r="48" spans="1:17" ht="26.25" customHeight="1">
      <c r="A48" s="363"/>
      <c r="C48" s="285" t="str">
        <f>"   "&amp;CHOOSE(jezyk,n!A780,n!B780,n!C780,n!D778)</f>
        <v xml:space="preserve">   Z tytułu emisji dłużnych
   papierów wartościowych</v>
      </c>
      <c r="D48" s="397">
        <f>Bilans!S77</f>
        <v>0</v>
      </c>
      <c r="E48" s="651">
        <v>0</v>
      </c>
      <c r="F48" s="651">
        <v>0</v>
      </c>
      <c r="G48" s="651">
        <v>0</v>
      </c>
      <c r="H48" s="397">
        <f>SUM(D48:G48)</f>
        <v>0</v>
      </c>
      <c r="I48" s="853"/>
      <c r="J48" s="853"/>
      <c r="K48" s="853"/>
      <c r="L48" s="853"/>
      <c r="M48" s="731"/>
      <c r="N48" s="731"/>
      <c r="O48" s="731"/>
      <c r="P48" s="731"/>
      <c r="Q48" s="731"/>
    </row>
    <row r="49" spans="3:17" ht="25.5" customHeight="1">
      <c r="C49" s="285" t="str">
        <f>"   "&amp;CHOOSE(jezyk,n!A781,n!B781,n!C781,n!D779)</f>
        <v xml:space="preserve">   Inne zobowiązania 
   finansowe</v>
      </c>
      <c r="D49" s="397">
        <f>Bilans!S78</f>
        <v>0</v>
      </c>
      <c r="E49" s="651">
        <v>0</v>
      </c>
      <c r="F49" s="651">
        <v>0</v>
      </c>
      <c r="G49" s="651">
        <v>0</v>
      </c>
      <c r="H49" s="397">
        <f>SUM(D49:G49)</f>
        <v>0</v>
      </c>
      <c r="I49" s="853"/>
      <c r="J49" s="853"/>
      <c r="K49" s="853"/>
      <c r="L49" s="853"/>
      <c r="M49" s="731"/>
      <c r="N49" s="731"/>
      <c r="O49" s="731"/>
      <c r="P49" s="731"/>
      <c r="Q49" s="731"/>
    </row>
    <row r="50" spans="3:17" ht="18" customHeight="1">
      <c r="C50" s="285" t="str">
        <f>"   "&amp;CHOOSE(jezyk,n!A782,n!B782,n!C782,n!D780)</f>
        <v xml:space="preserve">   Zobowiązania wekslowe</v>
      </c>
      <c r="D50" s="397">
        <f>Bilans!S84</f>
        <v>201380.84</v>
      </c>
      <c r="E50" s="651">
        <v>0</v>
      </c>
      <c r="F50" s="651">
        <v>0</v>
      </c>
      <c r="G50" s="651">
        <v>0</v>
      </c>
      <c r="H50" s="397">
        <f>SUM(D50:G50)</f>
        <v>201380.84</v>
      </c>
      <c r="I50" s="853"/>
      <c r="J50" s="853"/>
      <c r="K50" s="853"/>
      <c r="L50" s="853"/>
    </row>
    <row r="51" spans="3:17" ht="18" customHeight="1">
      <c r="C51" s="285" t="str">
        <f>"   "&amp;CHOOSE(jezyk,n!A783,n!B783,n!C783,n!D781)</f>
        <v xml:space="preserve">   Inne</v>
      </c>
      <c r="D51" s="375">
        <v>0</v>
      </c>
      <c r="E51" s="651">
        <v>0</v>
      </c>
      <c r="F51" s="651">
        <v>0</v>
      </c>
      <c r="G51" s="651">
        <v>0</v>
      </c>
      <c r="H51" s="397">
        <f>SUM(D51:G51)</f>
        <v>0</v>
      </c>
      <c r="I51" s="853"/>
      <c r="J51" s="853"/>
      <c r="K51" s="853"/>
      <c r="L51" s="853"/>
    </row>
    <row r="52" spans="3:17" ht="18" customHeight="1">
      <c r="C52" s="285" t="str">
        <f>CHOOSE(jezyk,n!A784,n!B784,n!C784,n!D782)</f>
        <v xml:space="preserve">Suma </v>
      </c>
      <c r="D52" s="397">
        <f>D44+D45+D46</f>
        <v>201380.84</v>
      </c>
      <c r="E52" s="397">
        <f>E44+E45+E46</f>
        <v>0</v>
      </c>
      <c r="F52" s="397">
        <f>F44+F45+F46</f>
        <v>0</v>
      </c>
      <c r="G52" s="397">
        <f>G44+G45+G46</f>
        <v>0</v>
      </c>
      <c r="H52" s="397">
        <f>H44+H45+H46</f>
        <v>201380.84</v>
      </c>
      <c r="I52" s="365">
        <f>ROUND(H44-D44-Bilans!S44,2)</f>
        <v>0</v>
      </c>
      <c r="J52" s="365">
        <f>ROUND(H45-D45-Bilans!S45,2)</f>
        <v>0</v>
      </c>
      <c r="K52" s="365">
        <f>ROUND(H46-D46-Bilans!S53,2)</f>
        <v>0</v>
      </c>
      <c r="L52" s="365">
        <f>SUM(I52:K52)</f>
        <v>0</v>
      </c>
    </row>
    <row r="53" spans="3:17" ht="9.9499999999999993" customHeight="1">
      <c r="C53" s="170"/>
      <c r="D53" s="170"/>
      <c r="E53" s="170"/>
      <c r="F53" s="170"/>
      <c r="G53" s="170"/>
      <c r="H53" s="170"/>
    </row>
    <row r="54" spans="3:17" ht="15" customHeight="1">
      <c r="C54" s="394" t="str">
        <f>CHOOSE(jezyk,n!A617,n!B617,n!C617,n!D615)</f>
        <v>Rok obrotowy 2023</v>
      </c>
      <c r="D54" s="170"/>
      <c r="E54" s="170"/>
      <c r="F54" s="170"/>
      <c r="G54" s="170"/>
      <c r="H54" s="170"/>
    </row>
    <row r="55" spans="3:17" ht="9.9499999999999993" customHeight="1">
      <c r="C55" s="170"/>
      <c r="D55" s="170"/>
      <c r="E55" s="170"/>
      <c r="F55" s="170"/>
      <c r="G55" s="170"/>
      <c r="H55" s="170"/>
    </row>
    <row r="56" spans="3:17">
      <c r="C56" s="810" t="str">
        <f>C42</f>
        <v>Zobowiązania długoterminowe według pozycji bilansu</v>
      </c>
      <c r="D56" s="859" t="str">
        <f>D42</f>
        <v>Okres spłaty</v>
      </c>
      <c r="E56" s="860"/>
      <c r="F56" s="860"/>
      <c r="G56" s="861"/>
      <c r="H56" s="863" t="str">
        <f>H42</f>
        <v>Razem:</v>
      </c>
    </row>
    <row r="57" spans="3:17" ht="60.75" customHeight="1">
      <c r="C57" s="811"/>
      <c r="D57" s="373" t="str">
        <f>D43</f>
        <v>do 1 roku 
(do spłaty w kolejnym roku obrotowym)</v>
      </c>
      <c r="E57" s="373" t="str">
        <f>CHOOSE(jezyk,n!A788,n!B788,n!C788,n!D788)</f>
        <v>powyżej 1 roku do 3 lat(do spłaty w latach 2025 - 2026)</v>
      </c>
      <c r="F57" s="373" t="str">
        <f>CHOOSE(jezyk,n!A790,n!B790,n!C790,n!D790)</f>
        <v>od 3 do 5 lat(do spłaty w latach 2027 - 2028)</v>
      </c>
      <c r="G57" s="373" t="str">
        <f>CHOOSE(jezyk,n!A792,n!B792,n!C792,n!D792)</f>
        <v>powyżej 5 lat(do spłaty po 2028 roku)</v>
      </c>
      <c r="H57" s="864"/>
    </row>
    <row r="58" spans="3:17" ht="28.5" customHeight="1">
      <c r="C58" s="285" t="str">
        <f>C44</f>
        <v>Wobec jednostek powiązanych</v>
      </c>
      <c r="D58" s="397">
        <f>Bilans!T58</f>
        <v>0</v>
      </c>
      <c r="E58" s="651">
        <v>0</v>
      </c>
      <c r="F58" s="651">
        <v>0</v>
      </c>
      <c r="G58" s="651">
        <v>0</v>
      </c>
      <c r="H58" s="397">
        <f>SUM(D58:G58)</f>
        <v>0</v>
      </c>
    </row>
    <row r="59" spans="3:17" ht="46.5" customHeight="1">
      <c r="C59" s="285" t="str">
        <f t="shared" ref="C59:C66" si="3">C45</f>
        <v>Wobec jednostek, w których jednostka posiada zaangażowanie w kapitale</v>
      </c>
      <c r="D59" s="397">
        <f>Bilans!T66</f>
        <v>0</v>
      </c>
      <c r="E59" s="651">
        <v>0</v>
      </c>
      <c r="F59" s="651">
        <v>0</v>
      </c>
      <c r="G59" s="651">
        <v>0</v>
      </c>
      <c r="H59" s="397">
        <f>SUM(D59:G59)</f>
        <v>0</v>
      </c>
    </row>
    <row r="60" spans="3:17" ht="25.5">
      <c r="C60" s="285" t="str">
        <f t="shared" si="3"/>
        <v>Wobec pozostałych jednostek</v>
      </c>
      <c r="D60" s="397">
        <f>SUM(D61:D65)</f>
        <v>0</v>
      </c>
      <c r="E60" s="397">
        <f>SUM(E61:E65)</f>
        <v>0</v>
      </c>
      <c r="F60" s="397">
        <f>SUM(F61:F65)</f>
        <v>0</v>
      </c>
      <c r="G60" s="397">
        <f>SUM(G61:G65)</f>
        <v>0</v>
      </c>
      <c r="H60" s="397">
        <f>SUM(H61:H65)</f>
        <v>0</v>
      </c>
    </row>
    <row r="61" spans="3:17" ht="18" customHeight="1">
      <c r="C61" s="285" t="str">
        <f t="shared" si="3"/>
        <v xml:space="preserve">   Kredyty i pożyczki</v>
      </c>
      <c r="D61" s="397">
        <f>Bilans!T76</f>
        <v>0</v>
      </c>
      <c r="E61" s="375">
        <v>0</v>
      </c>
      <c r="F61" s="375">
        <v>0</v>
      </c>
      <c r="G61" s="375">
        <v>0</v>
      </c>
      <c r="H61" s="397">
        <f>SUM(D61:G61)</f>
        <v>0</v>
      </c>
      <c r="I61" s="853" t="s">
        <v>6815</v>
      </c>
      <c r="J61" s="853" t="str">
        <f>C59</f>
        <v>Wobec jednostek, w których jednostka posiada zaangażowanie w kapitale</v>
      </c>
      <c r="K61" s="853" t="s">
        <v>6816</v>
      </c>
      <c r="L61" s="853" t="str">
        <f>L47</f>
        <v>Razem</v>
      </c>
    </row>
    <row r="62" spans="3:17" ht="30.75" customHeight="1">
      <c r="C62" s="285" t="str">
        <f t="shared" si="3"/>
        <v xml:space="preserve">   Z tytułu emisji dłużnych
   papierów wartościowych</v>
      </c>
      <c r="D62" s="397">
        <f>Bilans!T77</f>
        <v>0</v>
      </c>
      <c r="E62" s="375">
        <v>0</v>
      </c>
      <c r="F62" s="375">
        <v>0</v>
      </c>
      <c r="G62" s="375">
        <v>0</v>
      </c>
      <c r="H62" s="397">
        <f>SUM(D62:G62)</f>
        <v>0</v>
      </c>
      <c r="I62" s="853"/>
      <c r="J62" s="853"/>
      <c r="K62" s="853"/>
      <c r="L62" s="853"/>
    </row>
    <row r="63" spans="3:17" ht="25.5">
      <c r="C63" s="285" t="str">
        <f t="shared" si="3"/>
        <v xml:space="preserve">   Inne zobowiązania 
   finansowe</v>
      </c>
      <c r="D63" s="397">
        <f>Bilans!T78</f>
        <v>0</v>
      </c>
      <c r="E63" s="375">
        <v>0</v>
      </c>
      <c r="F63" s="375">
        <v>0</v>
      </c>
      <c r="G63" s="375">
        <v>0</v>
      </c>
      <c r="H63" s="397">
        <f>SUM(D63:G63)</f>
        <v>0</v>
      </c>
      <c r="I63" s="853"/>
      <c r="J63" s="853"/>
      <c r="K63" s="853"/>
      <c r="L63" s="853"/>
    </row>
    <row r="64" spans="3:17" ht="18" customHeight="1">
      <c r="C64" s="285" t="str">
        <f t="shared" si="3"/>
        <v xml:space="preserve">   Zobowiązania wekslowe</v>
      </c>
      <c r="D64" s="397">
        <f>Bilans!T84</f>
        <v>0</v>
      </c>
      <c r="E64" s="375">
        <v>0</v>
      </c>
      <c r="F64" s="375">
        <v>0</v>
      </c>
      <c r="G64" s="375">
        <v>0</v>
      </c>
      <c r="H64" s="397">
        <f>SUM(D64:G64)</f>
        <v>0</v>
      </c>
      <c r="I64" s="853"/>
      <c r="J64" s="853"/>
      <c r="K64" s="853"/>
      <c r="L64" s="853"/>
    </row>
    <row r="65" spans="1:12" ht="18" customHeight="1">
      <c r="C65" s="285" t="str">
        <f t="shared" si="3"/>
        <v xml:space="preserve">   Inne</v>
      </c>
      <c r="D65" s="375">
        <v>0</v>
      </c>
      <c r="E65" s="375">
        <v>0</v>
      </c>
      <c r="F65" s="375">
        <v>0</v>
      </c>
      <c r="G65" s="375">
        <v>0</v>
      </c>
      <c r="H65" s="397">
        <f>SUM(D65:G65)</f>
        <v>0</v>
      </c>
      <c r="I65" s="853"/>
      <c r="J65" s="853"/>
      <c r="K65" s="853"/>
      <c r="L65" s="853"/>
    </row>
    <row r="66" spans="1:12" ht="18" customHeight="1">
      <c r="C66" s="285" t="str">
        <f t="shared" si="3"/>
        <v xml:space="preserve">Suma </v>
      </c>
      <c r="D66" s="397">
        <f>D58+D59+D60</f>
        <v>0</v>
      </c>
      <c r="E66" s="397">
        <f>E58+E59+E60</f>
        <v>0</v>
      </c>
      <c r="F66" s="397">
        <f>F58+F59+F60</f>
        <v>0</v>
      </c>
      <c r="G66" s="397">
        <f>G58+G59+G60</f>
        <v>0</v>
      </c>
      <c r="H66" s="397">
        <f>H58+H59+H60</f>
        <v>0</v>
      </c>
      <c r="I66" s="365">
        <f>ROUND(H58-D58-Bilans!T44,2)</f>
        <v>0</v>
      </c>
      <c r="J66" s="365">
        <f>ROUND(H59-D59-Bilans!T45,2)</f>
        <v>0</v>
      </c>
      <c r="K66" s="365">
        <f>ROUND(H60-Bilans!T53,2)</f>
        <v>0</v>
      </c>
      <c r="L66" s="365">
        <f>SUM(I66:K66)</f>
        <v>0</v>
      </c>
    </row>
    <row r="67" spans="1:12" ht="9.9499999999999993" customHeight="1">
      <c r="C67" s="170"/>
      <c r="D67" s="170"/>
      <c r="E67" s="170"/>
      <c r="F67" s="170"/>
      <c r="G67" s="170"/>
      <c r="H67" s="170"/>
    </row>
    <row r="68" spans="1:12">
      <c r="C68" s="790" t="str">
        <f>CHOOSE(jezyk,n!A643,n!B643,n!C643,n!D641)</f>
        <v>Pozycja nie wystąpiła zarówno w roku obrotowym 2024, jak i w roku poprzednim.</v>
      </c>
      <c r="D68" s="790"/>
      <c r="E68" s="790"/>
      <c r="F68" s="790"/>
      <c r="G68" s="790"/>
      <c r="H68" s="790"/>
      <c r="I68" s="130" t="s">
        <v>6785</v>
      </c>
      <c r="J68" s="376"/>
    </row>
    <row r="69" spans="1:12">
      <c r="C69" s="170"/>
      <c r="D69" s="170"/>
      <c r="E69" s="170"/>
      <c r="F69" s="170"/>
      <c r="G69" s="170"/>
      <c r="H69" s="170"/>
    </row>
    <row r="70" spans="1:12" ht="25.5" customHeight="1">
      <c r="A70" s="363"/>
      <c r="B70" s="80" t="s">
        <v>6817</v>
      </c>
      <c r="C70" s="808" t="str">
        <f>CHOOSE(jezyk,n!A826,n!B826,n!C826,n!D824)</f>
        <v>Łączna kwota zobowiązań zabezpieczonych na majątku jednostki (ze wskazaniem charakteru i formy tych zabezpieczeń)</v>
      </c>
      <c r="D70" s="808"/>
      <c r="E70" s="808"/>
      <c r="F70" s="808"/>
      <c r="G70" s="808"/>
      <c r="H70" s="808"/>
      <c r="I70" s="377"/>
      <c r="J70" s="377"/>
    </row>
    <row r="71" spans="1:12" ht="2.25" customHeight="1">
      <c r="C71" s="808"/>
      <c r="D71" s="808"/>
      <c r="E71" s="808"/>
      <c r="F71" s="808"/>
      <c r="G71" s="808"/>
      <c r="H71" s="808"/>
      <c r="I71" s="403"/>
      <c r="J71" s="403"/>
      <c r="K71" s="130"/>
    </row>
    <row r="72" spans="1:12">
      <c r="C72" s="731" t="str">
        <f>CHOOSE(jezyk,n!A827,n!B827,n!C827,n!D825)</f>
        <v>Spółka nie posiada zobowiązań zabezpieczonych na majątku.</v>
      </c>
      <c r="D72" s="731"/>
      <c r="E72" s="731"/>
      <c r="F72" s="731"/>
      <c r="G72" s="731"/>
      <c r="H72" s="731"/>
      <c r="I72" s="130" t="s">
        <v>6785</v>
      </c>
      <c r="J72" s="376"/>
    </row>
    <row r="74" spans="1:12" ht="20.25" customHeight="1">
      <c r="C74" s="612" t="str">
        <f>CHOOSE(jezyk,n!A829,n!B829,n!C829,n!D826)</f>
        <v>Rodzaj zobowiązania</v>
      </c>
      <c r="D74" s="865" t="str">
        <f>CHOOSE(jezyk,n!A830,n!B830,n!C830,n!D827)</f>
        <v>Wartość na dzień bilansowy</v>
      </c>
      <c r="E74" s="865"/>
      <c r="F74" s="865" t="str">
        <f>CHOOSE(jezyk,n!A831,n!B831,n!C831,n!D829)</f>
        <v>Rodzaj zabezpieczenia</v>
      </c>
      <c r="G74" s="865"/>
      <c r="H74" s="865"/>
    </row>
    <row r="75" spans="1:12" ht="20.25" customHeight="1">
      <c r="C75" s="378"/>
      <c r="D75" s="866"/>
      <c r="E75" s="867"/>
      <c r="F75" s="855"/>
      <c r="G75" s="856"/>
      <c r="H75" s="857"/>
    </row>
    <row r="76" spans="1:12" ht="22.5" customHeight="1">
      <c r="C76" s="378"/>
      <c r="D76" s="866"/>
      <c r="E76" s="867"/>
      <c r="F76" s="855"/>
      <c r="G76" s="856"/>
      <c r="H76" s="857"/>
    </row>
    <row r="77" spans="1:12" ht="21" customHeight="1">
      <c r="C77" s="378"/>
      <c r="D77" s="866"/>
      <c r="E77" s="867"/>
      <c r="F77" s="855"/>
      <c r="G77" s="856"/>
      <c r="H77" s="857"/>
    </row>
    <row r="78" spans="1:12" ht="22.5" customHeight="1">
      <c r="C78" s="378"/>
      <c r="D78" s="866"/>
      <c r="E78" s="867"/>
      <c r="F78" s="855"/>
      <c r="G78" s="856"/>
      <c r="H78" s="857"/>
    </row>
    <row r="80" spans="1:12">
      <c r="B80" s="120" t="s">
        <v>6818</v>
      </c>
      <c r="C80" s="798" t="str">
        <f>CHOOSE(jezyk,n!A796,n!B796,n!C796,n!D794)</f>
        <v>Wykaz istotnych czynnych i biernych rozliczeń międzyokresowych</v>
      </c>
      <c r="D80" s="798"/>
      <c r="E80" s="798"/>
      <c r="F80" s="798"/>
      <c r="G80" s="798"/>
      <c r="H80" s="798"/>
    </row>
    <row r="81" spans="3:10">
      <c r="C81" s="798"/>
      <c r="D81" s="798"/>
      <c r="E81" s="798"/>
      <c r="F81" s="798"/>
      <c r="G81" s="798"/>
      <c r="H81" s="798"/>
    </row>
    <row r="82" spans="3:10">
      <c r="C82" s="868" t="str">
        <f>"1.14.a. "&amp;CHOOSE(jezyk,n!A797,n!B797,n!C797,n!D795)</f>
        <v>1.14.a. Czynne rozliczenia międzyokresowe</v>
      </c>
      <c r="D82" s="868"/>
      <c r="E82" s="868"/>
      <c r="F82" s="868"/>
      <c r="G82" s="868"/>
      <c r="H82" s="868"/>
    </row>
    <row r="83" spans="3:10">
      <c r="C83" s="798"/>
      <c r="D83" s="798"/>
      <c r="E83" s="798"/>
      <c r="F83" s="798"/>
      <c r="G83" s="798"/>
      <c r="H83" s="798"/>
    </row>
    <row r="84" spans="3:10">
      <c r="C84" s="731" t="str">
        <f>CHOOSE(jezyk,n!A643,n!B643,n!C643,n!D641)</f>
        <v>Pozycja nie wystąpiła zarówno w roku obrotowym 2024, jak i w roku poprzednim.</v>
      </c>
      <c r="D84" s="731"/>
      <c r="E84" s="731"/>
      <c r="F84" s="731"/>
      <c r="G84" s="731"/>
      <c r="H84" s="731"/>
      <c r="I84" s="130" t="s">
        <v>6785</v>
      </c>
    </row>
    <row r="86" spans="3:10" ht="12.75" customHeight="1">
      <c r="C86" s="809" t="str">
        <f>CHOOSE(jezyk,n!A798,n!B798,n!C798,n!D796)</f>
        <v>Tytuł czynnych rozliczeń międzyokresowych</v>
      </c>
      <c r="D86" s="809"/>
      <c r="E86" s="809" t="str">
        <f>dzb</f>
        <v>31.12.2024</v>
      </c>
      <c r="F86" s="809"/>
      <c r="G86" s="809" t="str">
        <f>pdz</f>
        <v>31.12.2023</v>
      </c>
      <c r="H86" s="809"/>
    </row>
    <row r="87" spans="3:10">
      <c r="C87" s="809"/>
      <c r="D87" s="809"/>
      <c r="E87" s="809"/>
      <c r="F87" s="809"/>
      <c r="G87" s="809"/>
      <c r="H87" s="809"/>
    </row>
    <row r="88" spans="3:10" ht="25.35" customHeight="1">
      <c r="C88" s="869" t="str">
        <f>CHOOSE(jezyk,n!A325,n!B325,n!C325,n!D325)</f>
        <v>Aktywa z tytułu odroczonego podatku dochodowego</v>
      </c>
      <c r="D88" s="869"/>
      <c r="E88" s="826">
        <f>Bilans!J66</f>
        <v>0</v>
      </c>
      <c r="F88" s="826"/>
      <c r="G88" s="826">
        <f>Bilans!K66</f>
        <v>0</v>
      </c>
      <c r="H88" s="826"/>
    </row>
    <row r="89" spans="3:10" ht="24.95" customHeight="1">
      <c r="C89" s="869" t="str">
        <f>CHOOSE(jezyk,n!A803,n!B803,n!C803,n!D801)</f>
        <v>Koszty remontów</v>
      </c>
      <c r="D89" s="869"/>
      <c r="E89" s="871">
        <v>0</v>
      </c>
      <c r="F89" s="871"/>
      <c r="G89" s="871">
        <v>0</v>
      </c>
      <c r="H89" s="871"/>
    </row>
    <row r="90" spans="3:10" ht="24.95" customHeight="1">
      <c r="C90" s="869" t="str">
        <f>CHOOSE(jezyk,n!A804,n!B804,n!C804,n!D802)</f>
        <v>Opłacone z góry prenumeraty, czynsze</v>
      </c>
      <c r="D90" s="869"/>
      <c r="E90" s="870">
        <v>0</v>
      </c>
      <c r="F90" s="870"/>
      <c r="G90" s="871">
        <v>0</v>
      </c>
      <c r="H90" s="871"/>
    </row>
    <row r="91" spans="3:10" ht="25.35" customHeight="1">
      <c r="C91" s="869" t="str">
        <f>CHOOSE(jezyk,n!A805,n!B805,n!C805,n!D803)</f>
        <v>Koszty ubezpieczeń majątkowych i osobowych</v>
      </c>
      <c r="D91" s="869"/>
      <c r="E91" s="870">
        <v>0</v>
      </c>
      <c r="F91" s="870"/>
      <c r="G91" s="871">
        <v>0</v>
      </c>
      <c r="H91" s="871"/>
    </row>
    <row r="92" spans="3:10" ht="51" customHeight="1">
      <c r="C92" s="869" t="str">
        <f>CHOOSE(jezyk,n!A808,n!B808,n!C808,n!D806)</f>
        <v>Różnica między poniesionymi a zarachowanymi na wynik finansowy kosztami umów długoterminowych, w tym budowlanych</v>
      </c>
      <c r="D92" s="869"/>
      <c r="E92" s="870">
        <v>0</v>
      </c>
      <c r="F92" s="870"/>
      <c r="G92" s="871">
        <v>0</v>
      </c>
      <c r="H92" s="871"/>
    </row>
    <row r="93" spans="3:10" ht="57" customHeight="1">
      <c r="C93" s="869" t="str">
        <f>CHOOSE(jezyk,n!A809,n!B809,n!C809,n!D807)</f>
        <v>Różnice między niższymi przychodami zafakturowanymi a przychodami faktycznie ustalonymi z umów długoterminowych, w tym budowlanych</v>
      </c>
      <c r="D93" s="869"/>
      <c r="E93" s="870">
        <v>0</v>
      </c>
      <c r="F93" s="870"/>
      <c r="G93" s="871">
        <v>0</v>
      </c>
      <c r="H93" s="871"/>
    </row>
    <row r="94" spans="3:10" ht="52.5" customHeight="1">
      <c r="C94" s="869" t="str">
        <f>CHOOSE(jezyk,n!A810,n!B810,n!C810,n!D808)</f>
        <v>Różnica między wartością otrzymanych finansowych składników aktywów a zobowiązaniem zapłaty za nie</v>
      </c>
      <c r="D94" s="869"/>
      <c r="E94" s="870">
        <v>0</v>
      </c>
      <c r="F94" s="870"/>
      <c r="G94" s="871">
        <v>0</v>
      </c>
      <c r="H94" s="871"/>
    </row>
    <row r="95" spans="3:10" ht="24.95" customHeight="1">
      <c r="C95" s="869" t="str">
        <f>CHOOSE(jezyk,n!A811,n!B811,n!C811,n!D809)</f>
        <v>Pozostałe</v>
      </c>
      <c r="D95" s="869"/>
      <c r="E95" s="870">
        <v>0</v>
      </c>
      <c r="F95" s="870"/>
      <c r="G95" s="871">
        <v>0</v>
      </c>
      <c r="H95" s="871"/>
      <c r="I95" s="335" t="str">
        <f>dzb</f>
        <v>31.12.2024</v>
      </c>
      <c r="J95" s="379" t="str">
        <f>pdz</f>
        <v>31.12.2023</v>
      </c>
    </row>
    <row r="96" spans="3:10" ht="22.5" customHeight="1">
      <c r="C96" s="816" t="str">
        <f>CHOOSE(jezyk,n!A813,n!B813,n!C813,n!D811)</f>
        <v>Ogółem</v>
      </c>
      <c r="D96" s="816"/>
      <c r="E96" s="826">
        <f>SUM(E88:F95)</f>
        <v>0</v>
      </c>
      <c r="F96" s="826"/>
      <c r="G96" s="826">
        <f>SUM(G88:H95)</f>
        <v>0</v>
      </c>
      <c r="H96" s="826"/>
      <c r="I96" s="364">
        <f>ROUND('nota 1.11-1.15'!E96-Bilans!J131-Bilans!J64,2)</f>
        <v>0</v>
      </c>
      <c r="J96" s="364">
        <f>ROUND(G96-Bilans!K131-Bilans!K64,2)</f>
        <v>0</v>
      </c>
    </row>
    <row r="98" spans="3:9">
      <c r="C98" s="868" t="str">
        <f>"1.14.b. "&amp;CHOOSE(jezyk,n!A814,n!B814,n!C814,n!D812)</f>
        <v>1.14.b. Bierne rozliczenia międzyokresowe</v>
      </c>
      <c r="D98" s="868"/>
      <c r="E98" s="868"/>
    </row>
    <row r="99" spans="3:9">
      <c r="C99" s="655"/>
      <c r="D99" s="655"/>
      <c r="E99" s="655"/>
    </row>
    <row r="100" spans="3:9">
      <c r="C100" s="731" t="str">
        <f>CHOOSE(jezyk,n!A643,n!B643,n!C643,n!D641)</f>
        <v>Pozycja nie wystąpiła zarówno w roku obrotowym 2024, jak i w roku poprzednim.</v>
      </c>
      <c r="D100" s="731"/>
      <c r="E100" s="731"/>
      <c r="F100" s="731"/>
      <c r="G100" s="731"/>
      <c r="H100" s="731"/>
      <c r="I100" s="130" t="s">
        <v>6785</v>
      </c>
    </row>
    <row r="101" spans="3:9" ht="14.25">
      <c r="C101" s="371"/>
      <c r="I101" s="130"/>
    </row>
    <row r="102" spans="3:9" ht="12.75" customHeight="1">
      <c r="C102" s="812" t="str">
        <f>CHOOSE(jezyk,n!A815,n!B815,n!C815,n!D813)</f>
        <v>Tytuł biernych rozliczeń międzyokresowych</v>
      </c>
      <c r="D102" s="813"/>
      <c r="E102" s="809" t="str">
        <f>E86</f>
        <v>31.12.2024</v>
      </c>
      <c r="F102" s="809"/>
      <c r="G102" s="809" t="str">
        <f>G86</f>
        <v>31.12.2023</v>
      </c>
      <c r="H102" s="809"/>
      <c r="I102" s="130"/>
    </row>
    <row r="103" spans="3:9">
      <c r="C103" s="814"/>
      <c r="D103" s="815"/>
      <c r="E103" s="809"/>
      <c r="F103" s="809"/>
      <c r="G103" s="809"/>
      <c r="H103" s="809"/>
      <c r="I103" s="130" t="s">
        <v>6819</v>
      </c>
    </row>
    <row r="104" spans="3:9" ht="22.5" customHeight="1">
      <c r="C104" s="872" t="str">
        <f>CHOOSE(jezyk,n!A816,n!B816,n!C816,n!D814)</f>
        <v>Bierne rozliczenia kosztów</v>
      </c>
      <c r="D104" s="873"/>
      <c r="E104" s="871">
        <v>0</v>
      </c>
      <c r="F104" s="871"/>
      <c r="G104" s="871">
        <v>0</v>
      </c>
      <c r="H104" s="871"/>
    </row>
    <row r="105" spans="3:9" ht="23.25" customHeight="1">
      <c r="C105" s="872"/>
      <c r="D105" s="873"/>
      <c r="E105" s="870">
        <v>0</v>
      </c>
      <c r="F105" s="870"/>
      <c r="G105" s="871">
        <v>0</v>
      </c>
      <c r="H105" s="871"/>
    </row>
    <row r="106" spans="3:9" ht="21.75" customHeight="1">
      <c r="C106" s="878" t="str">
        <f>CHOOSE(jezyk,n!A813,n!B813,n!C813,n!D811)</f>
        <v>Ogółem</v>
      </c>
      <c r="D106" s="879"/>
      <c r="E106" s="826">
        <f>SUM(E104:F105)</f>
        <v>0</v>
      </c>
      <c r="F106" s="826"/>
      <c r="G106" s="826">
        <f>SUM(G104:H105)</f>
        <v>0</v>
      </c>
      <c r="H106" s="826"/>
    </row>
    <row r="108" spans="3:9">
      <c r="C108" s="868" t="str">
        <f>"1.14.c. "&amp;CHOOSE(jezyk,n!A817,n!B817,n!C817,n!D815)</f>
        <v xml:space="preserve">1.14.c. Rozliczenia międzyokresowe </v>
      </c>
      <c r="D108" s="868"/>
      <c r="E108" s="868"/>
      <c r="I108" s="130" t="s">
        <v>6820</v>
      </c>
    </row>
    <row r="109" spans="3:9" ht="14.25">
      <c r="C109" s="371"/>
    </row>
    <row r="110" spans="3:9">
      <c r="C110" s="790" t="str">
        <f>CHOOSE(jezyk,n!A643,n!B643,n!C643,n!D641)</f>
        <v>Pozycja nie wystąpiła zarówno w roku obrotowym 2024, jak i w roku poprzednim.</v>
      </c>
      <c r="D110" s="790"/>
      <c r="E110" s="790"/>
      <c r="F110" s="790"/>
      <c r="G110" s="790"/>
      <c r="H110" s="790"/>
      <c r="I110" s="130" t="s">
        <v>6785</v>
      </c>
    </row>
    <row r="111" spans="3:9" ht="14.25">
      <c r="C111" s="371"/>
    </row>
    <row r="112" spans="3:9" ht="12.75" customHeight="1">
      <c r="C112" s="812" t="str">
        <f>CHOOSE(jezyk,n!A818,n!B818,n!C818,n!D816)</f>
        <v xml:space="preserve">Tytuł rozliczeń międzyokresowych </v>
      </c>
      <c r="D112" s="813"/>
      <c r="E112" s="809" t="str">
        <f>E102</f>
        <v>31.12.2024</v>
      </c>
      <c r="F112" s="809"/>
      <c r="G112" s="809" t="str">
        <f>G102</f>
        <v>31.12.2023</v>
      </c>
      <c r="H112" s="809"/>
    </row>
    <row r="113" spans="1:12">
      <c r="C113" s="814"/>
      <c r="D113" s="815"/>
      <c r="E113" s="809"/>
      <c r="F113" s="809"/>
      <c r="G113" s="809"/>
      <c r="H113" s="809"/>
    </row>
    <row r="114" spans="1:12" ht="30.75" customHeight="1">
      <c r="C114" s="872" t="str">
        <f>CHOOSE(jezyk,n!A820,n!B820,n!C820,n!D818)</f>
        <v>Dotacja na budowę środków trwałych i prac rozwojowych</v>
      </c>
      <c r="D114" s="873"/>
      <c r="E114" s="871"/>
      <c r="F114" s="871"/>
      <c r="G114" s="871"/>
      <c r="H114" s="871"/>
    </row>
    <row r="115" spans="1:12" ht="51" customHeight="1">
      <c r="C115" s="872" t="str">
        <f>CHOOSE(jezyk,n!A821,n!B821,n!C821,n!D819)</f>
        <v>Nieodpłatnie otrzymane środki trwałe, środki trwałe w budowie oraz wartości niematerialne i prawne</v>
      </c>
      <c r="D115" s="873"/>
      <c r="E115" s="870"/>
      <c r="F115" s="870"/>
      <c r="G115" s="871"/>
      <c r="H115" s="871"/>
    </row>
    <row r="116" spans="1:12" ht="25.5" customHeight="1">
      <c r="C116" s="872" t="str">
        <f>CHOOSE(jezyk,n!A822,n!B822,n!C822,n!D820)</f>
        <v xml:space="preserve">Pozostałe </v>
      </c>
      <c r="D116" s="873"/>
      <c r="E116" s="870"/>
      <c r="F116" s="870"/>
      <c r="G116" s="871"/>
      <c r="H116" s="871"/>
      <c r="I116" s="335" t="str">
        <f>dzb</f>
        <v>31.12.2024</v>
      </c>
      <c r="J116" s="379" t="str">
        <f>pdz</f>
        <v>31.12.2023</v>
      </c>
    </row>
    <row r="117" spans="1:12" ht="24.75" customHeight="1">
      <c r="C117" s="878" t="str">
        <f>CHOOSE(jezyk,n!A813,n!B813,n!C813,n!D811)</f>
        <v>Ogółem</v>
      </c>
      <c r="D117" s="879"/>
      <c r="E117" s="826">
        <f>SUM(E114:F116)</f>
        <v>0</v>
      </c>
      <c r="F117" s="826"/>
      <c r="G117" s="826">
        <f>SUM(G114:H116)</f>
        <v>0</v>
      </c>
      <c r="H117" s="826"/>
      <c r="I117" s="364">
        <f>ROUND('nota 1.11-1.15'!E117-Bilans!S94,2)</f>
        <v>0</v>
      </c>
      <c r="J117" s="364">
        <f>ROUND(G117-Bilans!T94,2)</f>
        <v>0</v>
      </c>
    </row>
    <row r="119" spans="1:12" ht="20.25">
      <c r="B119" s="380" t="s">
        <v>6821</v>
      </c>
      <c r="C119" s="808" t="str">
        <f>CHOOSE(jezyk,n!A731,n!B731,n!C731,n!D729)</f>
        <v>Należności i zobowiązania wykazywane w więcej niż jednej pozycji bilansu</v>
      </c>
      <c r="D119" s="808"/>
      <c r="E119" s="808"/>
      <c r="F119" s="808"/>
      <c r="G119" s="808"/>
      <c r="H119" s="808"/>
      <c r="I119" s="381"/>
      <c r="J119" s="361"/>
      <c r="K119" s="361"/>
      <c r="L119" s="361"/>
    </row>
    <row r="120" spans="1:12" ht="6" customHeight="1"/>
    <row r="121" spans="1:12">
      <c r="C121" s="777" t="str">
        <f>CHOOSE(jezyk,n!A643,n!B643,n!C643,n!D641)</f>
        <v>Pozycja nie wystąpiła zarówno w roku obrotowym 2024, jak i w roku poprzednim.</v>
      </c>
      <c r="D121" s="777"/>
      <c r="E121" s="777"/>
      <c r="F121" s="777"/>
      <c r="G121" s="777"/>
      <c r="H121" s="777"/>
      <c r="I121" s="130" t="s">
        <v>6785</v>
      </c>
    </row>
    <row r="123" spans="1:12" ht="15" customHeight="1">
      <c r="C123" s="394" t="str">
        <f>dzb</f>
        <v>31.12.2024</v>
      </c>
    </row>
    <row r="125" spans="1:12" s="170" customFormat="1" ht="12.75" customHeight="1">
      <c r="A125" s="363"/>
      <c r="B125" s="169"/>
      <c r="C125" s="876" t="str">
        <f>CHOOSE(jezyk,n!A292,n!B292,n!C292,n!D292)</f>
        <v>AKTYWA</v>
      </c>
      <c r="D125" s="853" t="str">
        <f>CHOOSE(jezyk,n!A734,n!B734,n!C734,n!D732)</f>
        <v>część krótkoterminowa</v>
      </c>
      <c r="E125" s="853"/>
      <c r="F125" s="853" t="str">
        <f>CHOOSE(jezyk,n!A735,n!B735,n!C735,n!D733)</f>
        <v>część długoterminowa</v>
      </c>
      <c r="G125" s="853"/>
      <c r="H125" s="853" t="str">
        <f>CHOOSE(jezyk,n!A753,n!B753,n!C753,n!D751)</f>
        <v>Ogółem</v>
      </c>
    </row>
    <row r="126" spans="1:12" s="170" customFormat="1">
      <c r="A126" s="363"/>
      <c r="B126" s="169"/>
      <c r="C126" s="877"/>
      <c r="D126" s="853"/>
      <c r="E126" s="853"/>
      <c r="F126" s="853"/>
      <c r="G126" s="853"/>
      <c r="H126" s="880"/>
      <c r="I126" s="167"/>
      <c r="J126" s="167"/>
      <c r="K126" s="167"/>
      <c r="L126" s="167"/>
    </row>
    <row r="127" spans="1:12" s="170" customFormat="1" ht="24.95" customHeight="1">
      <c r="A127" s="363"/>
      <c r="B127" s="169"/>
      <c r="C127" s="378"/>
      <c r="D127" s="874"/>
      <c r="E127" s="875"/>
      <c r="F127" s="874"/>
      <c r="G127" s="875"/>
      <c r="H127" s="397">
        <f>D127+F127</f>
        <v>0</v>
      </c>
      <c r="K127" s="853"/>
      <c r="L127" s="853"/>
    </row>
    <row r="128" spans="1:12" s="170" customFormat="1" ht="24.95" customHeight="1">
      <c r="A128" s="363"/>
      <c r="B128" s="169"/>
      <c r="C128" s="378"/>
      <c r="D128" s="874"/>
      <c r="E128" s="875"/>
      <c r="F128" s="874"/>
      <c r="G128" s="875"/>
      <c r="H128" s="397">
        <f>D128+F128</f>
        <v>0</v>
      </c>
      <c r="K128" s="853"/>
      <c r="L128" s="853"/>
    </row>
    <row r="129" spans="1:8" s="170" customFormat="1" ht="24.95" customHeight="1">
      <c r="A129" s="363"/>
      <c r="B129" s="169"/>
      <c r="C129" s="378"/>
      <c r="D129" s="874"/>
      <c r="E129" s="875"/>
      <c r="F129" s="874"/>
      <c r="G129" s="875"/>
      <c r="H129" s="397">
        <f>D129+F129</f>
        <v>0</v>
      </c>
    </row>
    <row r="130" spans="1:8" s="170" customFormat="1" ht="24.95" customHeight="1">
      <c r="A130" s="363"/>
      <c r="B130" s="169"/>
      <c r="C130" s="378"/>
      <c r="D130" s="874"/>
      <c r="E130" s="875"/>
      <c r="F130" s="874"/>
      <c r="G130" s="875"/>
      <c r="H130" s="397">
        <f>D130+F130</f>
        <v>0</v>
      </c>
    </row>
    <row r="131" spans="1:8" s="170" customFormat="1" ht="12.75" customHeight="1">
      <c r="A131" s="363"/>
      <c r="B131" s="169"/>
      <c r="C131" s="876" t="str">
        <f>CHOOSE(jezyk,n!A360,n!B360,n!C360,n!D360)</f>
        <v>PASYWA</v>
      </c>
      <c r="D131" s="853" t="str">
        <f>D125</f>
        <v>część krótkoterminowa</v>
      </c>
      <c r="E131" s="853"/>
      <c r="F131" s="882" t="str">
        <f>F125</f>
        <v>część długoterminowa</v>
      </c>
      <c r="G131" s="883"/>
      <c r="H131" s="881" t="str">
        <f>CHOOSE(jezyk,n!A753,n!B753,n!C753,n!D751)</f>
        <v>Ogółem</v>
      </c>
    </row>
    <row r="132" spans="1:8" s="170" customFormat="1">
      <c r="A132" s="363"/>
      <c r="B132" s="169"/>
      <c r="C132" s="877"/>
      <c r="D132" s="853"/>
      <c r="E132" s="853"/>
      <c r="F132" s="884"/>
      <c r="G132" s="885"/>
      <c r="H132" s="880"/>
    </row>
    <row r="133" spans="1:8" s="170" customFormat="1" ht="24.95" customHeight="1">
      <c r="A133" s="363"/>
      <c r="B133" s="169"/>
      <c r="C133" s="382"/>
      <c r="D133" s="874"/>
      <c r="E133" s="875"/>
      <c r="F133" s="874"/>
      <c r="G133" s="875"/>
      <c r="H133" s="397">
        <f>D133+F133</f>
        <v>0</v>
      </c>
    </row>
    <row r="134" spans="1:8" s="170" customFormat="1" ht="24.95" customHeight="1">
      <c r="A134" s="363"/>
      <c r="B134" s="169"/>
      <c r="C134" s="382"/>
      <c r="D134" s="874"/>
      <c r="E134" s="875"/>
      <c r="F134" s="874"/>
      <c r="G134" s="875"/>
      <c r="H134" s="397">
        <f>D134+F134</f>
        <v>0</v>
      </c>
    </row>
    <row r="135" spans="1:8" s="170" customFormat="1" ht="24.95" customHeight="1">
      <c r="A135" s="363"/>
      <c r="B135" s="169"/>
      <c r="C135" s="382"/>
      <c r="D135" s="874"/>
      <c r="E135" s="875"/>
      <c r="F135" s="874"/>
      <c r="G135" s="875"/>
      <c r="H135" s="397">
        <f>D135+F135</f>
        <v>0</v>
      </c>
    </row>
    <row r="136" spans="1:8" s="170" customFormat="1" ht="24.95" customHeight="1">
      <c r="A136" s="363"/>
      <c r="B136" s="169"/>
      <c r="C136" s="382"/>
      <c r="D136" s="874"/>
      <c r="E136" s="875"/>
      <c r="F136" s="874"/>
      <c r="G136" s="875"/>
      <c r="H136" s="397">
        <f>D136+F136</f>
        <v>0</v>
      </c>
    </row>
    <row r="137" spans="1:8" s="170" customFormat="1">
      <c r="A137" s="363"/>
      <c r="B137" s="169"/>
    </row>
    <row r="138" spans="1:8" ht="15" customHeight="1">
      <c r="C138" s="394" t="str">
        <f>pdz</f>
        <v>31.12.2023</v>
      </c>
    </row>
    <row r="140" spans="1:8">
      <c r="C140" s="876" t="str">
        <f>C125</f>
        <v>AKTYWA</v>
      </c>
      <c r="D140" s="853" t="str">
        <f>D125</f>
        <v>część krótkoterminowa</v>
      </c>
      <c r="E140" s="853"/>
      <c r="F140" s="853" t="str">
        <f>F125</f>
        <v>część długoterminowa</v>
      </c>
      <c r="G140" s="853"/>
      <c r="H140" s="853" t="str">
        <f>H125</f>
        <v>Ogółem</v>
      </c>
    </row>
    <row r="141" spans="1:8">
      <c r="C141" s="877"/>
      <c r="D141" s="853"/>
      <c r="E141" s="853"/>
      <c r="F141" s="853"/>
      <c r="G141" s="853"/>
      <c r="H141" s="880"/>
    </row>
    <row r="142" spans="1:8" ht="24.95" customHeight="1">
      <c r="C142" s="382"/>
      <c r="D142" s="874"/>
      <c r="E142" s="875"/>
      <c r="F142" s="874"/>
      <c r="G142" s="875"/>
      <c r="H142" s="397">
        <f>D142+F142</f>
        <v>0</v>
      </c>
    </row>
    <row r="143" spans="1:8" ht="24.95" customHeight="1">
      <c r="C143" s="382"/>
      <c r="D143" s="874"/>
      <c r="E143" s="875"/>
      <c r="F143" s="874"/>
      <c r="G143" s="875"/>
      <c r="H143" s="397">
        <f>D143+F143</f>
        <v>0</v>
      </c>
    </row>
    <row r="144" spans="1:8" ht="24.95" customHeight="1">
      <c r="C144" s="382"/>
      <c r="D144" s="874"/>
      <c r="E144" s="875"/>
      <c r="F144" s="874"/>
      <c r="G144" s="875"/>
      <c r="H144" s="397">
        <f>D144+F144</f>
        <v>0</v>
      </c>
    </row>
    <row r="145" spans="3:8" ht="24.95" customHeight="1">
      <c r="C145" s="382"/>
      <c r="D145" s="874"/>
      <c r="E145" s="875"/>
      <c r="F145" s="874"/>
      <c r="G145" s="875"/>
      <c r="H145" s="397">
        <f>D145+F145</f>
        <v>0</v>
      </c>
    </row>
    <row r="146" spans="3:8">
      <c r="C146" s="876" t="str">
        <f>C131</f>
        <v>PASYWA</v>
      </c>
      <c r="D146" s="853" t="str">
        <f>D140</f>
        <v>część krótkoterminowa</v>
      </c>
      <c r="E146" s="853"/>
      <c r="F146" s="882" t="str">
        <f>F140</f>
        <v>część długoterminowa</v>
      </c>
      <c r="G146" s="883"/>
      <c r="H146" s="881" t="str">
        <f>H131</f>
        <v>Ogółem</v>
      </c>
    </row>
    <row r="147" spans="3:8">
      <c r="C147" s="877"/>
      <c r="D147" s="853"/>
      <c r="E147" s="853"/>
      <c r="F147" s="884"/>
      <c r="G147" s="885"/>
      <c r="H147" s="880"/>
    </row>
    <row r="148" spans="3:8" ht="24.95" customHeight="1">
      <c r="C148" s="382"/>
      <c r="D148" s="874"/>
      <c r="E148" s="875"/>
      <c r="F148" s="874"/>
      <c r="G148" s="875"/>
      <c r="H148" s="397">
        <f>D148+F148</f>
        <v>0</v>
      </c>
    </row>
    <row r="149" spans="3:8" ht="24.95" customHeight="1">
      <c r="C149" s="382"/>
      <c r="D149" s="874"/>
      <c r="E149" s="875"/>
      <c r="F149" s="874"/>
      <c r="G149" s="875"/>
      <c r="H149" s="397">
        <f>D149+F149</f>
        <v>0</v>
      </c>
    </row>
    <row r="150" spans="3:8" ht="24.95" customHeight="1">
      <c r="C150" s="382"/>
      <c r="D150" s="874"/>
      <c r="E150" s="875"/>
      <c r="F150" s="874"/>
      <c r="G150" s="875"/>
      <c r="H150" s="397">
        <f>D150+F150</f>
        <v>0</v>
      </c>
    </row>
    <row r="151" spans="3:8" ht="24.95" customHeight="1">
      <c r="C151" s="382"/>
      <c r="D151" s="874"/>
      <c r="E151" s="875"/>
      <c r="F151" s="874"/>
      <c r="G151" s="875"/>
      <c r="H151" s="397">
        <f>D151+F151</f>
        <v>0</v>
      </c>
    </row>
  </sheetData>
  <sheetProtection formatCells="0" formatColumns="0" formatRows="0" insertRows="0" insertHyperlinks="0" sort="0" autoFilter="0" pivotTables="0"/>
  <mergeCells count="165">
    <mergeCell ref="D150:E150"/>
    <mergeCell ref="F150:G150"/>
    <mergeCell ref="D151:E151"/>
    <mergeCell ref="F151:G151"/>
    <mergeCell ref="C146:C147"/>
    <mergeCell ref="D146:E147"/>
    <mergeCell ref="F146:G147"/>
    <mergeCell ref="H146:H147"/>
    <mergeCell ref="D148:E148"/>
    <mergeCell ref="F148:G148"/>
    <mergeCell ref="D149:E149"/>
    <mergeCell ref="F149:G149"/>
    <mergeCell ref="C140:C141"/>
    <mergeCell ref="F143:G143"/>
    <mergeCell ref="D144:E144"/>
    <mergeCell ref="F144:G144"/>
    <mergeCell ref="D133:E133"/>
    <mergeCell ref="D134:E134"/>
    <mergeCell ref="D135:E135"/>
    <mergeCell ref="D145:E145"/>
    <mergeCell ref="F145:G145"/>
    <mergeCell ref="D136:E136"/>
    <mergeCell ref="F133:G133"/>
    <mergeCell ref="F134:G134"/>
    <mergeCell ref="F135:G135"/>
    <mergeCell ref="H140:H141"/>
    <mergeCell ref="D142:E142"/>
    <mergeCell ref="F142:G142"/>
    <mergeCell ref="D140:E141"/>
    <mergeCell ref="F140:G141"/>
    <mergeCell ref="K127:L128"/>
    <mergeCell ref="H131:H132"/>
    <mergeCell ref="D143:E143"/>
    <mergeCell ref="C88:D88"/>
    <mergeCell ref="E88:F88"/>
    <mergeCell ref="G88:H88"/>
    <mergeCell ref="G106:H106"/>
    <mergeCell ref="C102:D103"/>
    <mergeCell ref="F125:G126"/>
    <mergeCell ref="F131:G132"/>
    <mergeCell ref="F127:G127"/>
    <mergeCell ref="C117:D117"/>
    <mergeCell ref="E112:F113"/>
    <mergeCell ref="G112:H113"/>
    <mergeCell ref="E114:F114"/>
    <mergeCell ref="G114:H114"/>
    <mergeCell ref="E115:F115"/>
    <mergeCell ref="G115:H115"/>
    <mergeCell ref="F136:G136"/>
    <mergeCell ref="D127:E127"/>
    <mergeCell ref="D128:E128"/>
    <mergeCell ref="C131:C132"/>
    <mergeCell ref="D125:E126"/>
    <mergeCell ref="D131:E132"/>
    <mergeCell ref="C104:D104"/>
    <mergeCell ref="C105:D105"/>
    <mergeCell ref="C106:D106"/>
    <mergeCell ref="H125:H126"/>
    <mergeCell ref="C119:H119"/>
    <mergeCell ref="C125:C126"/>
    <mergeCell ref="D129:E129"/>
    <mergeCell ref="D130:E130"/>
    <mergeCell ref="F128:G128"/>
    <mergeCell ref="F129:G129"/>
    <mergeCell ref="F130:G130"/>
    <mergeCell ref="C110:H110"/>
    <mergeCell ref="C121:H121"/>
    <mergeCell ref="E116:F116"/>
    <mergeCell ref="G116:H116"/>
    <mergeCell ref="E117:F117"/>
    <mergeCell ref="G117:H117"/>
    <mergeCell ref="C112:D113"/>
    <mergeCell ref="C114:D114"/>
    <mergeCell ref="C115:D115"/>
    <mergeCell ref="C116:D116"/>
    <mergeCell ref="C98:E98"/>
    <mergeCell ref="C108:E108"/>
    <mergeCell ref="C100:H100"/>
    <mergeCell ref="E102:F103"/>
    <mergeCell ref="G102:H103"/>
    <mergeCell ref="E104:F104"/>
    <mergeCell ref="G104:H104"/>
    <mergeCell ref="E105:F105"/>
    <mergeCell ref="G105:H105"/>
    <mergeCell ref="E106:F106"/>
    <mergeCell ref="C92:D92"/>
    <mergeCell ref="C93:D93"/>
    <mergeCell ref="C94:D94"/>
    <mergeCell ref="C95:D95"/>
    <mergeCell ref="C96:D96"/>
    <mergeCell ref="C89:D89"/>
    <mergeCell ref="C90:D90"/>
    <mergeCell ref="C91:D91"/>
    <mergeCell ref="G96:H96"/>
    <mergeCell ref="E90:F90"/>
    <mergeCell ref="E91:F91"/>
    <mergeCell ref="E92:F92"/>
    <mergeCell ref="E93:F93"/>
    <mergeCell ref="E94:F94"/>
    <mergeCell ref="E95:F95"/>
    <mergeCell ref="E96:F96"/>
    <mergeCell ref="G92:H92"/>
    <mergeCell ref="G93:H93"/>
    <mergeCell ref="G94:H94"/>
    <mergeCell ref="G95:H95"/>
    <mergeCell ref="E89:F89"/>
    <mergeCell ref="G89:H89"/>
    <mergeCell ref="G90:H90"/>
    <mergeCell ref="G91:H91"/>
    <mergeCell ref="E86:F87"/>
    <mergeCell ref="G86:H87"/>
    <mergeCell ref="C86:D87"/>
    <mergeCell ref="C80:H80"/>
    <mergeCell ref="C81:H81"/>
    <mergeCell ref="C83:H83"/>
    <mergeCell ref="C84:H84"/>
    <mergeCell ref="C82:H82"/>
    <mergeCell ref="D78:E78"/>
    <mergeCell ref="F76:H76"/>
    <mergeCell ref="C72:H72"/>
    <mergeCell ref="C56:C57"/>
    <mergeCell ref="D56:G56"/>
    <mergeCell ref="H56:H57"/>
    <mergeCell ref="F77:H77"/>
    <mergeCell ref="F78:H78"/>
    <mergeCell ref="D74:E74"/>
    <mergeCell ref="F74:H74"/>
    <mergeCell ref="D75:E75"/>
    <mergeCell ref="D76:E76"/>
    <mergeCell ref="D77:E77"/>
    <mergeCell ref="C70:H71"/>
    <mergeCell ref="C1:J1"/>
    <mergeCell ref="C42:C43"/>
    <mergeCell ref="D42:G42"/>
    <mergeCell ref="C68:H68"/>
    <mergeCell ref="I47:I51"/>
    <mergeCell ref="J47:J51"/>
    <mergeCell ref="K47:K51"/>
    <mergeCell ref="C6:H6"/>
    <mergeCell ref="C12:C13"/>
    <mergeCell ref="D12:D13"/>
    <mergeCell ref="E12:E13"/>
    <mergeCell ref="F12:F13"/>
    <mergeCell ref="G12:G13"/>
    <mergeCell ref="H12:H13"/>
    <mergeCell ref="C8:H8"/>
    <mergeCell ref="C26:C27"/>
    <mergeCell ref="D26:D27"/>
    <mergeCell ref="E26:E27"/>
    <mergeCell ref="F26:F27"/>
    <mergeCell ref="G26:G27"/>
    <mergeCell ref="H26:H27"/>
    <mergeCell ref="I61:I65"/>
    <mergeCell ref="J61:J65"/>
    <mergeCell ref="K61:K65"/>
    <mergeCell ref="L47:L51"/>
    <mergeCell ref="M45:Q45"/>
    <mergeCell ref="M46:Q46"/>
    <mergeCell ref="M47:Q47"/>
    <mergeCell ref="M48:Q48"/>
    <mergeCell ref="M49:Q49"/>
    <mergeCell ref="B4:H4"/>
    <mergeCell ref="C38:H38"/>
    <mergeCell ref="F75:H75"/>
    <mergeCell ref="L61:L65"/>
  </mergeCells>
  <hyperlinks>
    <hyperlink ref="C1:J1" location="'spis treści'!A1" display="SPIS TREŚCI" xr:uid="{00000000-0004-0000-2600-000000000000}"/>
  </hyperlinks>
  <printOptions horizontalCentered="1"/>
  <pageMargins left="0.39370078740157483" right="0.39370078740157483" top="0.35433070866141736" bottom="0.98425196850393704" header="0.27559055118110237" footer="0.27559055118110237"/>
  <pageSetup paperSize="9" fitToHeight="0" orientation="portrait" blackAndWhite="1" r:id="rId1"/>
  <headerFooter>
    <oddFooter>&amp;Lnota 1.11.-1.15</oddFooter>
  </headerFooter>
  <rowBreaks count="2" manualBreakCount="2">
    <brk id="96" min="1" max="7" man="1"/>
    <brk id="118" min="1" max="7"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19">
    <pageSetUpPr fitToPage="1"/>
  </sheetPr>
  <dimension ref="A1:O57"/>
  <sheetViews>
    <sheetView showGridLines="0" view="pageBreakPreview" zoomScaleNormal="100" zoomScaleSheetLayoutView="100" workbookViewId="0">
      <selection sqref="A1:A1048576"/>
    </sheetView>
  </sheetViews>
  <sheetFormatPr defaultColWidth="9.140625" defaultRowHeight="12.75"/>
  <cols>
    <col min="1" max="1" width="21.140625" style="162" bestFit="1" customWidth="1"/>
    <col min="2" max="2" width="6.140625" style="168" bestFit="1" customWidth="1"/>
    <col min="3" max="5" width="15.42578125" style="162" customWidth="1"/>
    <col min="6" max="6" width="4.5703125" style="162" customWidth="1"/>
    <col min="7" max="7" width="3.5703125" style="162" customWidth="1"/>
    <col min="8" max="9" width="18.7109375" style="162" customWidth="1"/>
    <col min="10" max="11" width="12.28515625" style="162" customWidth="1"/>
    <col min="12" max="16384" width="9.140625" style="162"/>
  </cols>
  <sheetData>
    <row r="1" spans="1:15">
      <c r="B1" s="858" t="s">
        <v>3202</v>
      </c>
      <c r="C1" s="858"/>
      <c r="D1" s="858"/>
      <c r="E1" s="858"/>
      <c r="F1" s="858"/>
      <c r="G1" s="858"/>
      <c r="H1" s="858"/>
      <c r="I1" s="858"/>
    </row>
    <row r="2" spans="1:15">
      <c r="B2" s="386" t="str">
        <f>nazwa_spolki</f>
        <v>Rhenus Digital Workforce Sp. z o.o.</v>
      </c>
      <c r="C2" s="402"/>
      <c r="D2" s="402"/>
      <c r="E2" s="402"/>
      <c r="F2" s="402"/>
      <c r="G2" s="402"/>
      <c r="H2" s="402"/>
      <c r="I2" s="402"/>
    </row>
    <row r="3" spans="1:15" ht="45.95" customHeight="1">
      <c r="B3" s="129" t="str">
        <f>tytul</f>
        <v>Sprawozdanie finansowe sporządzone za rok obrotowy 2024</v>
      </c>
      <c r="C3" s="402"/>
      <c r="D3" s="402"/>
      <c r="E3" s="402"/>
      <c r="F3" s="402"/>
      <c r="G3" s="402"/>
      <c r="H3" s="402"/>
      <c r="I3" s="402"/>
    </row>
    <row r="4" spans="1:15" s="157" customFormat="1" ht="20.25">
      <c r="B4" s="789" t="str">
        <f>"1.16 - 1.19 "&amp;CHOOSE(jezyk,n!A613,n!B613,n!C613,n!D611)</f>
        <v>1.16 - 1.19 DODATKOWE INFORMACJE I OBJAŚNIENIA</v>
      </c>
      <c r="C4" s="789"/>
      <c r="D4" s="789"/>
      <c r="E4" s="789"/>
      <c r="F4" s="789"/>
      <c r="G4" s="789"/>
      <c r="H4" s="789"/>
      <c r="I4" s="789"/>
      <c r="J4" s="158"/>
      <c r="K4" s="158"/>
      <c r="L4" s="158"/>
      <c r="N4" s="158"/>
    </row>
    <row r="5" spans="1:15" s="157" customFormat="1" ht="23.25" customHeight="1">
      <c r="B5" s="159"/>
      <c r="C5" s="361"/>
      <c r="D5" s="361"/>
      <c r="E5" s="361"/>
      <c r="F5" s="361"/>
      <c r="G5" s="361"/>
      <c r="H5" s="361"/>
      <c r="I5" s="361"/>
      <c r="J5" s="361"/>
      <c r="K5" s="361"/>
      <c r="L5" s="361"/>
    </row>
    <row r="6" spans="1:15" s="157" customFormat="1" ht="38.25" customHeight="1">
      <c r="A6" s="72"/>
      <c r="B6" s="111" t="s">
        <v>6822</v>
      </c>
      <c r="C6" s="725" t="str">
        <f>CHOOSE(jezyk,n!A832,n!B832,n!C832,n!D830)</f>
        <v>Łączna kwota zobowiązań warunkowych, w tym również udzielonych przez jednostkę gwarancji i poręczeń, także wekslowych, niewykazanych w bilansie, ze wskazaniem zobowiązań zabezpieczonych na majątku jednostki oraz charakteru i formy tych zabezpieczeń</v>
      </c>
      <c r="D6" s="725"/>
      <c r="E6" s="725"/>
      <c r="F6" s="725"/>
      <c r="G6" s="725"/>
      <c r="H6" s="725"/>
      <c r="I6" s="725"/>
      <c r="J6" s="66"/>
      <c r="K6" s="361"/>
      <c r="L6" s="361"/>
    </row>
    <row r="7" spans="1:15">
      <c r="B7" s="111"/>
      <c r="C7" s="725"/>
      <c r="D7" s="725"/>
      <c r="E7" s="725"/>
      <c r="F7" s="725"/>
      <c r="G7" s="725"/>
      <c r="H7" s="725"/>
      <c r="I7" s="725"/>
      <c r="J7" s="66"/>
    </row>
    <row r="8" spans="1:15">
      <c r="B8" s="111"/>
      <c r="C8" s="723" t="str">
        <f>CHOOSE(jezyk,n!A833,n!B833,n!C833,n!D831)</f>
        <v>Spółka na dzień bilansowy nie posiada zobowiązań warunkowych.</v>
      </c>
      <c r="D8" s="723"/>
      <c r="E8" s="723"/>
      <c r="F8" s="723"/>
      <c r="G8" s="723"/>
      <c r="H8" s="723"/>
      <c r="I8" s="723"/>
      <c r="J8" s="130" t="s">
        <v>6785</v>
      </c>
    </row>
    <row r="9" spans="1:15" ht="12.75" customHeight="1">
      <c r="B9" s="111"/>
      <c r="C9" s="160"/>
      <c r="D9" s="66"/>
      <c r="E9" s="66"/>
      <c r="F9" s="66"/>
      <c r="G9" s="66"/>
      <c r="H9" s="66"/>
      <c r="I9" s="66"/>
      <c r="J9" s="66"/>
    </row>
    <row r="10" spans="1:15" ht="12.75" customHeight="1">
      <c r="B10" s="72"/>
      <c r="C10" s="149"/>
      <c r="D10" s="66"/>
      <c r="E10" s="66"/>
      <c r="H10" s="161" t="str">
        <f>dzb</f>
        <v>31.12.2024</v>
      </c>
      <c r="I10" s="161" t="str">
        <f>pdz</f>
        <v>31.12.2023</v>
      </c>
      <c r="J10" s="66"/>
    </row>
    <row r="11" spans="1:15">
      <c r="B11" s="72"/>
      <c r="C11" s="888" t="str">
        <f>CHOOSE(jezyk,n!A1599,n!B1599,n!C1599,n!D1592)</f>
        <v>Zobowiązania warunkowe wobec jednostek powiązanych:</v>
      </c>
      <c r="D11" s="889"/>
      <c r="E11" s="889"/>
      <c r="F11" s="889"/>
      <c r="G11" s="890"/>
      <c r="H11" s="397">
        <f>SUM(H12:H15)</f>
        <v>0</v>
      </c>
      <c r="I11" s="397">
        <f>SUM(I12:I15)</f>
        <v>0</v>
      </c>
      <c r="J11" s="66"/>
    </row>
    <row r="12" spans="1:15">
      <c r="B12" s="72"/>
      <c r="C12" s="817"/>
      <c r="D12" s="818"/>
      <c r="E12" s="818"/>
      <c r="F12" s="818"/>
      <c r="G12" s="819"/>
      <c r="H12" s="398"/>
      <c r="I12" s="398"/>
      <c r="J12" s="66"/>
      <c r="L12" s="1199"/>
      <c r="M12" s="1199"/>
      <c r="N12" s="1199"/>
      <c r="O12" s="1199"/>
    </row>
    <row r="13" spans="1:15">
      <c r="B13" s="72"/>
      <c r="C13" s="1200"/>
      <c r="D13" s="893"/>
      <c r="E13" s="893"/>
      <c r="F13" s="893"/>
      <c r="G13" s="894"/>
      <c r="H13" s="163"/>
      <c r="I13" s="163"/>
      <c r="J13" s="66"/>
    </row>
    <row r="14" spans="1:15" ht="27" customHeight="1">
      <c r="B14" s="72"/>
      <c r="C14" s="891" t="str">
        <f>CHOOSE(jezyk,n!A1606,n!B1606,n!C1606,n!D1602)</f>
        <v>w tym: dotyczące zobowiązań warunkowych w zakresie emerytur i podobnych świadczeń:</v>
      </c>
      <c r="D14" s="892"/>
      <c r="E14" s="892"/>
      <c r="F14" s="892"/>
      <c r="G14" s="892"/>
      <c r="H14" s="164"/>
      <c r="I14" s="165"/>
      <c r="J14" s="66"/>
    </row>
    <row r="15" spans="1:15">
      <c r="B15" s="72"/>
      <c r="C15" s="1200"/>
      <c r="D15" s="893"/>
      <c r="E15" s="893"/>
      <c r="F15" s="893"/>
      <c r="G15" s="894"/>
      <c r="H15" s="166"/>
      <c r="I15" s="166"/>
      <c r="J15" s="66"/>
    </row>
    <row r="16" spans="1:15" ht="27" customHeight="1">
      <c r="B16" s="72"/>
      <c r="C16" s="895" t="str">
        <f>CHOOSE(jezyk,n!A1605,n!B1605,n!C1605,n!D1601)</f>
        <v>Zobowiązania warunkowe wobec pozostałych jednostek, w których jednostka posiada zaangażowanie w kapitale:</v>
      </c>
      <c r="D16" s="896"/>
      <c r="E16" s="896"/>
      <c r="F16" s="896"/>
      <c r="G16" s="897"/>
      <c r="H16" s="397">
        <f>SUM(H17:H20)</f>
        <v>0</v>
      </c>
      <c r="I16" s="397">
        <f>SUM(I17:I20)</f>
        <v>0</v>
      </c>
      <c r="J16" s="66"/>
    </row>
    <row r="17" spans="1:10" s="167" customFormat="1">
      <c r="A17" s="275"/>
      <c r="B17" s="72"/>
      <c r="C17" s="898"/>
      <c r="D17" s="899"/>
      <c r="E17" s="899"/>
      <c r="F17" s="899"/>
      <c r="G17" s="900"/>
      <c r="H17" s="398"/>
      <c r="I17" s="398"/>
      <c r="J17" s="66"/>
    </row>
    <row r="18" spans="1:10">
      <c r="B18" s="72"/>
      <c r="C18" s="1201"/>
      <c r="D18" s="886"/>
      <c r="E18" s="886"/>
      <c r="F18" s="886"/>
      <c r="G18" s="887"/>
      <c r="H18" s="163"/>
      <c r="I18" s="163"/>
      <c r="J18" s="66"/>
    </row>
    <row r="19" spans="1:10" ht="29.25" customHeight="1">
      <c r="B19" s="72"/>
      <c r="C19" s="891" t="str">
        <f>CHOOSE(jezyk,n!A1606,n!B1606,n!C1606,n!D1602)</f>
        <v>w tym: dotyczące zobowiązań warunkowych w zakresie emerytur i podobnych świadczeń:</v>
      </c>
      <c r="D19" s="892"/>
      <c r="E19" s="892"/>
      <c r="F19" s="892"/>
      <c r="G19" s="892"/>
      <c r="H19" s="164"/>
      <c r="I19" s="165"/>
      <c r="J19" s="66"/>
    </row>
    <row r="20" spans="1:10">
      <c r="B20" s="72"/>
      <c r="C20" s="1201"/>
      <c r="D20" s="886"/>
      <c r="E20" s="886"/>
      <c r="F20" s="886"/>
      <c r="G20" s="887"/>
      <c r="H20" s="166"/>
      <c r="I20" s="166"/>
      <c r="J20" s="66"/>
    </row>
    <row r="21" spans="1:10">
      <c r="B21" s="72"/>
      <c r="C21" s="888" t="str">
        <f>CHOOSE(jezyk,n!A1607,n!B1607,n!C1607,n!D1603)</f>
        <v>Zobowiązania warunkowe wobec jednostek pozostałych:</v>
      </c>
      <c r="D21" s="889"/>
      <c r="E21" s="889"/>
      <c r="F21" s="889"/>
      <c r="G21" s="890"/>
      <c r="H21" s="397">
        <f>SUM(H22:H25)</f>
        <v>0</v>
      </c>
      <c r="I21" s="397">
        <f>SUM(I22:I25)</f>
        <v>0</v>
      </c>
      <c r="J21" s="66"/>
    </row>
    <row r="22" spans="1:10">
      <c r="C22" s="898"/>
      <c r="D22" s="899"/>
      <c r="E22" s="899"/>
      <c r="F22" s="899"/>
      <c r="G22" s="900"/>
      <c r="H22" s="398"/>
      <c r="I22" s="398"/>
    </row>
    <row r="23" spans="1:10">
      <c r="C23" s="898"/>
      <c r="D23" s="899"/>
      <c r="E23" s="899"/>
      <c r="F23" s="899"/>
      <c r="G23" s="900"/>
      <c r="H23" s="163"/>
      <c r="I23" s="163"/>
    </row>
    <row r="24" spans="1:10" ht="27.75" customHeight="1">
      <c r="C24" s="902" t="str">
        <f>CHOOSE(jezyk,n!A1606,n!B1606,n!C1606,n!D1602)</f>
        <v>w tym: dotyczące zobowiązań warunkowych w zakresie emerytur i podobnych świadczeń:</v>
      </c>
      <c r="D24" s="903"/>
      <c r="E24" s="903"/>
      <c r="F24" s="903"/>
      <c r="G24" s="903"/>
      <c r="H24" s="164"/>
      <c r="I24" s="165"/>
    </row>
    <row r="25" spans="1:10">
      <c r="B25" s="169"/>
      <c r="C25" s="1201"/>
      <c r="D25" s="886"/>
      <c r="E25" s="886"/>
      <c r="F25" s="886"/>
      <c r="G25" s="887"/>
      <c r="H25" s="166"/>
      <c r="I25" s="166"/>
    </row>
    <row r="26" spans="1:10">
      <c r="C26" s="799" t="str">
        <f>CHOOSE(jezyk,n!A1608,n!B1608,n!C1608,n!D1604)</f>
        <v>Ogółem</v>
      </c>
      <c r="D26" s="800"/>
      <c r="E26" s="800"/>
      <c r="F26" s="800"/>
      <c r="G26" s="801"/>
      <c r="H26" s="397">
        <f>H21+H11</f>
        <v>0</v>
      </c>
      <c r="I26" s="397">
        <f>I21+I11</f>
        <v>0</v>
      </c>
    </row>
    <row r="28" spans="1:10" ht="12.75" customHeight="1">
      <c r="B28" s="111" t="s">
        <v>6823</v>
      </c>
      <c r="C28" s="808" t="str">
        <f>CHOOSE(jezyk,n!A835,n!B835,n!C835,n!D832)</f>
        <v>Aktywa niebędące instrumentami finansowymi, wyceniane wg wartości godziwej</v>
      </c>
      <c r="D28" s="808"/>
      <c r="E28" s="808"/>
      <c r="F28" s="808"/>
      <c r="G28" s="808"/>
      <c r="H28" s="808"/>
      <c r="I28" s="808"/>
    </row>
    <row r="29" spans="1:10" ht="12.75" customHeight="1">
      <c r="B29" s="111"/>
      <c r="C29" s="403"/>
      <c r="D29" s="403"/>
      <c r="E29" s="403"/>
      <c r="F29" s="403"/>
      <c r="G29" s="403"/>
      <c r="H29" s="403"/>
      <c r="I29" s="403"/>
    </row>
    <row r="30" spans="1:10">
      <c r="C30" s="777" t="str">
        <f>CHOOSE(jezyk,n!A643,n!B643,n!C643,n!D641)</f>
        <v>Pozycja nie wystąpiła zarówno w roku obrotowym 2024, jak i w roku poprzednim.</v>
      </c>
      <c r="D30" s="777"/>
      <c r="E30" s="777"/>
      <c r="F30" s="777"/>
      <c r="G30" s="777"/>
      <c r="H30" s="777"/>
      <c r="I30" s="777"/>
      <c r="J30" s="130" t="s">
        <v>6785</v>
      </c>
    </row>
    <row r="31" spans="1:10">
      <c r="C31" s="170"/>
      <c r="D31" s="170"/>
      <c r="E31" s="170"/>
      <c r="F31" s="170"/>
      <c r="G31" s="170"/>
    </row>
    <row r="32" spans="1:10" ht="29.25" customHeight="1">
      <c r="B32" s="613" t="s">
        <v>6824</v>
      </c>
      <c r="C32" s="905" t="str">
        <f>CHOOSE(jezyk,n!A836,n!B836,n!C836,n!D836)</f>
        <v>Informacje o dochodach z tytułu ukrytych zysków w rozumieniu art. 28m ust. 1 pkt 2 ustawy z dnia 15.02.1992 r. o podatku dochodowym od osób prawnych - w przypadku spółek opodatkowanych ryczałtem od dochodów spółek</v>
      </c>
      <c r="D32" s="905"/>
      <c r="E32" s="905"/>
      <c r="F32" s="905"/>
      <c r="G32" s="905"/>
      <c r="H32" s="905"/>
      <c r="I32" s="905"/>
      <c r="J32" s="618"/>
    </row>
    <row r="33" spans="1:9">
      <c r="C33" s="170"/>
      <c r="D33" s="170"/>
      <c r="E33" s="170"/>
      <c r="F33" s="170"/>
      <c r="G33" s="170"/>
    </row>
    <row r="34" spans="1:9">
      <c r="C34" s="721" t="str">
        <f>CHOOSE(jezyk,n!A1131,n!B1131,n!C1131,n!D1129)</f>
        <v>Nie dotyczy</v>
      </c>
      <c r="D34" s="721"/>
      <c r="E34" s="721"/>
      <c r="F34" s="721"/>
      <c r="G34" s="721"/>
      <c r="H34" s="721"/>
      <c r="I34" s="721"/>
    </row>
    <row r="35" spans="1:9">
      <c r="C35" s="170"/>
      <c r="D35" s="170"/>
      <c r="E35" s="170"/>
      <c r="F35" s="170"/>
      <c r="G35" s="170"/>
    </row>
    <row r="36" spans="1:9">
      <c r="C36" s="170"/>
      <c r="D36" s="170"/>
      <c r="E36" s="170"/>
      <c r="F36" s="170"/>
      <c r="G36" s="170"/>
      <c r="H36" s="612" t="str">
        <f>dzb</f>
        <v>31.12.2024</v>
      </c>
      <c r="I36" s="611" t="str">
        <f>pdz</f>
        <v>31.12.2023</v>
      </c>
    </row>
    <row r="37" spans="1:9" ht="39" customHeight="1">
      <c r="A37" s="168"/>
      <c r="C37" s="906" t="str">
        <f>IF(GA!H16=2,CHOOSE(jezyk,n!A838,n!B838,n!C838,n!D838),CHOOSE(jezyk,n!A837,n!B837,n!C837,n!D837))</f>
        <v>Kwota pożyczki (kredytu) udzielonej udziałowcowi lub podmiotowi powiązanemu z udziałowcem oraz odsetki, prowizje, wynagrodzenia i opłaty od pożyczki (kredytu) udzielonej przez te podmioty</v>
      </c>
      <c r="D37" s="907"/>
      <c r="E37" s="907"/>
      <c r="F37" s="907"/>
      <c r="G37" s="908"/>
      <c r="H37" s="398"/>
      <c r="I37" s="398"/>
    </row>
    <row r="38" spans="1:9" s="363" customFormat="1" ht="15" customHeight="1">
      <c r="C38" s="878" t="str">
        <f>CHOOSE(jezyk,n!A839,n!B839,n!C839,n!D839)</f>
        <v>Świadczenia wykonane na rzecz:</v>
      </c>
      <c r="D38" s="904"/>
      <c r="E38" s="904"/>
      <c r="F38" s="904"/>
      <c r="G38" s="879"/>
      <c r="H38" s="397">
        <f>H39+H40</f>
        <v>0</v>
      </c>
      <c r="I38" s="397">
        <f>I39+I40</f>
        <v>0</v>
      </c>
    </row>
    <row r="39" spans="1:9" ht="38.25" customHeight="1">
      <c r="A39" s="168"/>
      <c r="C39" s="906" t="str">
        <f>CHOOSE(jezyk,n!A840,n!B840,n!C840,n!D840)</f>
        <v xml:space="preserve">   fundacji prywatnej lub rodzinnej, podmiotu równoważnego takiej 
   fundacji lub przedsiębiorstwa prowadzonego przez taką fundację 
   albo taki podmiot, lub na rzecz ich beneficjentów</v>
      </c>
      <c r="D39" s="907"/>
      <c r="E39" s="907"/>
      <c r="F39" s="907"/>
      <c r="G39" s="908"/>
      <c r="H39" s="398"/>
      <c r="I39" s="398"/>
    </row>
    <row r="40" spans="1:9" ht="25.5" customHeight="1">
      <c r="C40" s="906" t="str">
        <f>CHOOSE(jezyk,n!A841,n!B841,n!C841,n!D841)</f>
        <v xml:space="preserve">   trustu lub innego podmiotu albo stosunku prawnego o charakterze powierniczym</v>
      </c>
      <c r="D40" s="907"/>
      <c r="E40" s="907"/>
      <c r="F40" s="907"/>
      <c r="G40" s="908"/>
      <c r="H40" s="398"/>
      <c r="I40" s="398"/>
    </row>
    <row r="41" spans="1:9" ht="25.5" customHeight="1">
      <c r="A41" s="168"/>
      <c r="C41" s="906" t="str">
        <f>CHOOSE(jezyk,n!A842,n!B842,n!C842,n!D842)</f>
        <v>Nadwyżka wartości rynkowej transakcji określonej zgodnie z art. 11c ponad ustaloną cenę tej transakcji</v>
      </c>
      <c r="D41" s="907"/>
      <c r="E41" s="907"/>
      <c r="F41" s="907"/>
      <c r="G41" s="908"/>
      <c r="H41" s="398"/>
      <c r="I41" s="398"/>
    </row>
    <row r="42" spans="1:9" ht="25.5" customHeight="1">
      <c r="A42" s="168"/>
      <c r="C42" s="906" t="str">
        <f>CHOOSE(jezyk,n!A843,n!B843,n!C843,n!D843)</f>
        <v>Nadwyżka zwróconej kwoty dopłaty, wniesionej do spółki zgodnie z odrębnymi przepisami, ponad kwotę wniesionej dopłaty</v>
      </c>
      <c r="D42" s="907"/>
      <c r="E42" s="907"/>
      <c r="F42" s="907"/>
      <c r="G42" s="908"/>
      <c r="H42" s="398"/>
      <c r="I42" s="398"/>
    </row>
    <row r="43" spans="1:9" ht="25.5" customHeight="1">
      <c r="C43" s="906" t="str">
        <f>IF(GA!H16=2,CHOOSE(jezyk,n!A845,n!B845,n!C845,n!D845),CHOOSE(jezyk,n!A844,n!B844,n!C844,n!D844))</f>
        <v>Wypłacone z zysku wynagrodzenie z tytułu umorzenia udziałów lub ze zmniejszenia ich wartości</v>
      </c>
      <c r="D43" s="907"/>
      <c r="E43" s="907"/>
      <c r="F43" s="907"/>
      <c r="G43" s="908"/>
      <c r="H43" s="398"/>
      <c r="I43" s="398"/>
    </row>
    <row r="44" spans="1:9" ht="25.5" customHeight="1">
      <c r="C44" s="906" t="str">
        <f>CHOOSE(jezyk,n!A846,n!B846,n!C846,n!D846)</f>
        <v>Równowartość zysku przeznaczonego na podwyższenie kapitału zakładowego</v>
      </c>
      <c r="D44" s="907"/>
      <c r="E44" s="907"/>
      <c r="F44" s="907"/>
      <c r="G44" s="908"/>
      <c r="H44" s="398"/>
      <c r="I44" s="398"/>
    </row>
    <row r="45" spans="1:9" s="363" customFormat="1" ht="20.100000000000001" customHeight="1">
      <c r="C45" s="878" t="str">
        <f>CHOOSE(jezyk,n!A847,n!B847,n!C847,n!D847)</f>
        <v>Darowizny, w tym prezenty i ofiary wszelkiego rodzaju</v>
      </c>
      <c r="D45" s="904"/>
      <c r="E45" s="904"/>
      <c r="F45" s="904"/>
      <c r="G45" s="879"/>
      <c r="H45" s="398"/>
      <c r="I45" s="398"/>
    </row>
    <row r="46" spans="1:9" s="363" customFormat="1" ht="20.100000000000001" customHeight="1">
      <c r="C46" s="878" t="str">
        <f>CHOOSE(jezyk,n!A848,n!B848,n!C848,n!D848)</f>
        <v>Wydatki na reprezentację</v>
      </c>
      <c r="D46" s="904"/>
      <c r="E46" s="904"/>
      <c r="F46" s="904"/>
      <c r="G46" s="879"/>
      <c r="H46" s="398"/>
      <c r="I46" s="398"/>
    </row>
    <row r="47" spans="1:9">
      <c r="C47" s="170"/>
      <c r="D47" s="170"/>
      <c r="E47" s="170"/>
      <c r="F47" s="170"/>
      <c r="G47" s="170"/>
    </row>
    <row r="48" spans="1:9" ht="24.75" customHeight="1">
      <c r="B48" s="171" t="s">
        <v>6825</v>
      </c>
      <c r="C48" s="808" t="str">
        <f>CHOOSE(jezyk,n!A849,n!B849,n!C849,n!D833)</f>
        <v>Środki pieniężne zgromadzone na rachunku VAT, o którym mowa w art. 62a ust.1 ustawy z dn. 29.08.1997 - Prawo bankowe</v>
      </c>
      <c r="D48" s="808"/>
      <c r="E48" s="808"/>
      <c r="F48" s="808"/>
      <c r="G48" s="808"/>
      <c r="H48" s="808"/>
      <c r="I48" s="808"/>
    </row>
    <row r="49" spans="1:10">
      <c r="B49" s="171"/>
      <c r="C49" s="808"/>
      <c r="D49" s="808"/>
      <c r="E49" s="808"/>
      <c r="F49" s="808"/>
      <c r="G49" s="808"/>
      <c r="H49" s="808"/>
      <c r="I49" s="808"/>
    </row>
    <row r="50" spans="1:10" ht="12.75" customHeight="1">
      <c r="A50" s="168"/>
      <c r="C50" s="721" t="str">
        <f>CHOOSE(jezyk,n!A850,n!B850,n!C850,n!D835)</f>
        <v>Spółka nie posiada na dzień bilansowy środków pieniężnych zgromadzonych na rachunku VAT.</v>
      </c>
      <c r="D50" s="721"/>
      <c r="E50" s="721"/>
      <c r="F50" s="721"/>
      <c r="G50" s="721"/>
      <c r="H50" s="721"/>
      <c r="I50" s="721"/>
      <c r="J50" s="130" t="s">
        <v>6785</v>
      </c>
    </row>
    <row r="51" spans="1:10" s="172" customFormat="1">
      <c r="B51" s="173"/>
      <c r="C51" s="174"/>
      <c r="D51" s="174"/>
      <c r="E51" s="174"/>
      <c r="F51" s="174"/>
      <c r="G51" s="174"/>
      <c r="H51" s="174"/>
      <c r="I51" s="174"/>
      <c r="J51" s="175"/>
    </row>
    <row r="52" spans="1:10">
      <c r="C52" s="149"/>
      <c r="D52" s="66"/>
      <c r="E52" s="66"/>
      <c r="H52" s="161" t="str">
        <f>dzb</f>
        <v>31.12.2024</v>
      </c>
      <c r="I52" s="161" t="str">
        <f>pdz</f>
        <v>31.12.2023</v>
      </c>
    </row>
    <row r="53" spans="1:10" ht="24" customHeight="1">
      <c r="C53" s="895" t="str">
        <f>CHOOSE(jezyk,n!A852,n!B852,n!C852,n!D849)</f>
        <v>Stan środków pieniężnych zgromadzonych na rachunku VAT</v>
      </c>
      <c r="D53" s="896"/>
      <c r="E53" s="896"/>
      <c r="F53" s="896"/>
      <c r="G53" s="897"/>
      <c r="H53" s="404"/>
      <c r="I53" s="404"/>
    </row>
    <row r="54" spans="1:10">
      <c r="C54" s="901"/>
      <c r="D54" s="901"/>
      <c r="E54" s="901"/>
      <c r="F54" s="901"/>
      <c r="G54" s="901"/>
    </row>
    <row r="55" spans="1:10" ht="28.5" customHeight="1">
      <c r="A55" s="168"/>
      <c r="B55" s="176" t="s">
        <v>6826</v>
      </c>
      <c r="C55" s="808" t="str">
        <f>CHOOSE(jezyk,n!A853,n!B853,n!C853,n!D850)</f>
        <v>Liczba akcji obejmowanych przez akcjonariuszy w prostej spółce akcyjnej w zamian za wkłady niepieniężne, których przedmiotem jest prawo niezbywalne lub swiadczenie pracy, lub usług.</v>
      </c>
      <c r="D55" s="808"/>
      <c r="E55" s="808"/>
      <c r="F55" s="808"/>
      <c r="G55" s="808"/>
      <c r="H55" s="808"/>
      <c r="I55" s="808"/>
    </row>
    <row r="56" spans="1:10">
      <c r="B56" s="171"/>
      <c r="C56" s="177"/>
      <c r="D56" s="177"/>
      <c r="E56" s="177"/>
      <c r="F56" s="177"/>
      <c r="G56" s="177"/>
      <c r="H56" s="177"/>
      <c r="I56" s="177"/>
    </row>
    <row r="57" spans="1:10">
      <c r="C57" s="721" t="str">
        <f>CHOOSE(jezyk,n!A1131,n!B1131,n!C1131,n!D1129)</f>
        <v>Nie dotyczy</v>
      </c>
      <c r="D57" s="721"/>
      <c r="E57" s="721"/>
      <c r="F57" s="721"/>
      <c r="G57" s="721"/>
      <c r="H57" s="721"/>
      <c r="I57" s="721"/>
    </row>
  </sheetData>
  <mergeCells count="43">
    <mergeCell ref="C41:G41"/>
    <mergeCell ref="C42:G42"/>
    <mergeCell ref="C43:G43"/>
    <mergeCell ref="C44:G44"/>
    <mergeCell ref="C45:G45"/>
    <mergeCell ref="C32:I32"/>
    <mergeCell ref="C37:G37"/>
    <mergeCell ref="C38:G38"/>
    <mergeCell ref="C39:G39"/>
    <mergeCell ref="C40:G40"/>
    <mergeCell ref="C34:I34"/>
    <mergeCell ref="C7:I7"/>
    <mergeCell ref="C49:I49"/>
    <mergeCell ref="C55:I55"/>
    <mergeCell ref="C57:I57"/>
    <mergeCell ref="C54:G54"/>
    <mergeCell ref="C53:G53"/>
    <mergeCell ref="C48:I48"/>
    <mergeCell ref="C50:I50"/>
    <mergeCell ref="C21:G21"/>
    <mergeCell ref="C22:G22"/>
    <mergeCell ref="C18:G18"/>
    <mergeCell ref="C24:G24"/>
    <mergeCell ref="C28:I28"/>
    <mergeCell ref="C30:I30"/>
    <mergeCell ref="C26:G26"/>
    <mergeCell ref="C46:G46"/>
    <mergeCell ref="B1:I1"/>
    <mergeCell ref="L12:O12"/>
    <mergeCell ref="B4:I4"/>
    <mergeCell ref="C6:I6"/>
    <mergeCell ref="C25:G25"/>
    <mergeCell ref="C11:G11"/>
    <mergeCell ref="C14:G14"/>
    <mergeCell ref="C13:G13"/>
    <mergeCell ref="C12:G12"/>
    <mergeCell ref="C15:G15"/>
    <mergeCell ref="C16:G16"/>
    <mergeCell ref="C17:G17"/>
    <mergeCell ref="C23:G23"/>
    <mergeCell ref="C8:I8"/>
    <mergeCell ref="C19:G19"/>
    <mergeCell ref="C20:G20"/>
  </mergeCells>
  <phoneticPr fontId="0" type="noConversion"/>
  <hyperlinks>
    <hyperlink ref="B1:I1" location="'spis treści'!A1" display="SPIS TREŚCI" xr:uid="{00000000-0004-0000-2700-000000000000}"/>
  </hyperlinks>
  <printOptions horizontalCentered="1"/>
  <pageMargins left="0.39370078740157483" right="0.39370078740157483" top="0.35433070866141736" bottom="0.98425196850393704" header="0.27559055118110237" footer="0.27559055118110237"/>
  <pageSetup fitToHeight="0" orientation="portrait" blackAndWhite="1" r:id="rId1"/>
  <headerFooter>
    <oddFooter>&amp;Lnota 1.16.-1.19</oddFooter>
  </headerFooter>
  <rowBreaks count="1" manualBreakCount="1">
    <brk id="31" min="1" max="8"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23">
    <pageSetUpPr fitToPage="1"/>
  </sheetPr>
  <dimension ref="A1:P395"/>
  <sheetViews>
    <sheetView showGridLines="0" view="pageBreakPreview" zoomScaleNormal="100" zoomScaleSheetLayoutView="100" workbookViewId="0">
      <selection sqref="A1:A1048576"/>
    </sheetView>
  </sheetViews>
  <sheetFormatPr defaultColWidth="9.140625" defaultRowHeight="12.75"/>
  <cols>
    <col min="1" max="1" width="21.140625" style="106" bestFit="1" customWidth="1"/>
    <col min="2" max="2" width="4.42578125" style="72" customWidth="1"/>
    <col min="3" max="3" width="9.7109375" style="66" bestFit="1" customWidth="1"/>
    <col min="4" max="4" width="9.140625" style="66" customWidth="1"/>
    <col min="5" max="5" width="8.28515625" style="66" customWidth="1"/>
    <col min="6" max="6" width="9.140625" style="66"/>
    <col min="7" max="7" width="9.85546875" style="66" customWidth="1"/>
    <col min="8" max="8" width="8.140625" style="66" customWidth="1"/>
    <col min="9" max="9" width="13.42578125" style="66" customWidth="1"/>
    <col min="10" max="10" width="12.85546875" style="66" customWidth="1"/>
    <col min="11" max="11" width="16.28515625" style="66" customWidth="1"/>
    <col min="12" max="12" width="13" style="66" customWidth="1"/>
    <col min="13" max="13" width="16" style="66" customWidth="1"/>
    <col min="14" max="14" width="9.140625" style="66"/>
    <col min="15" max="15" width="10.140625" style="66" bestFit="1" customWidth="1"/>
    <col min="16" max="16384" width="9.140625" style="66"/>
  </cols>
  <sheetData>
    <row r="1" spans="1:12">
      <c r="B1" s="749" t="s">
        <v>3202</v>
      </c>
      <c r="C1" s="749"/>
      <c r="D1" s="749"/>
      <c r="E1" s="749"/>
      <c r="F1" s="749"/>
      <c r="G1" s="749"/>
      <c r="H1" s="749"/>
      <c r="I1" s="749"/>
      <c r="J1" s="749"/>
      <c r="K1" s="749"/>
    </row>
    <row r="2" spans="1:12">
      <c r="B2" s="386" t="str">
        <f>nazwa_spolki</f>
        <v>Rhenus Digital Workforce Sp. z o.o.</v>
      </c>
      <c r="C2" s="390"/>
      <c r="D2" s="390"/>
      <c r="E2" s="390"/>
      <c r="F2" s="390"/>
      <c r="G2" s="390"/>
      <c r="H2" s="390"/>
      <c r="I2" s="390"/>
      <c r="J2" s="390"/>
      <c r="K2" s="390"/>
    </row>
    <row r="3" spans="1:12" ht="45.95" customHeight="1">
      <c r="B3" s="129" t="str">
        <f>tytul</f>
        <v>Sprawozdanie finansowe sporządzone za rok obrotowy 2024</v>
      </c>
      <c r="C3" s="390"/>
      <c r="D3" s="390"/>
      <c r="E3" s="390"/>
      <c r="F3" s="390"/>
      <c r="G3" s="390"/>
      <c r="H3" s="390"/>
      <c r="I3" s="390"/>
      <c r="J3" s="390"/>
      <c r="K3" s="390"/>
    </row>
    <row r="4" spans="1:12" s="178" customFormat="1" ht="20.25">
      <c r="A4" s="274"/>
      <c r="B4" s="789" t="str">
        <f>"2. "&amp;CHOOSE(jezyk,n!A613,n!B613,n!C613,n!D611)</f>
        <v>2. DODATKOWE INFORMACJE I OBJAŚNIENIA</v>
      </c>
      <c r="C4" s="789"/>
      <c r="D4" s="789"/>
      <c r="E4" s="789"/>
      <c r="F4" s="789"/>
      <c r="G4" s="789"/>
      <c r="H4" s="789"/>
      <c r="I4" s="789"/>
      <c r="J4" s="789"/>
      <c r="K4" s="789"/>
    </row>
    <row r="6" spans="1:12">
      <c r="A6" s="737"/>
      <c r="B6" s="111" t="s">
        <v>6649</v>
      </c>
      <c r="C6" s="725" t="str">
        <f>CHOOSE(jezyk,n!A855,n!B855,n!C855,n!D853)</f>
        <v>Struktura rzeczowa (rodzaje działalności) i terytorialna (rynki geograficzne) przychodów netto ze sprzedaży towarów i produktów, w zakresie, w jakim te rodzaje i rynki istotnie różnią się od siebie, z uwzględnieniem zasad organizacji sprzedaży produktów i świadczenia usług</v>
      </c>
      <c r="D6" s="725"/>
      <c r="E6" s="725"/>
      <c r="F6" s="725"/>
      <c r="G6" s="725"/>
      <c r="H6" s="725"/>
      <c r="I6" s="725"/>
      <c r="J6" s="725"/>
      <c r="K6" s="725"/>
    </row>
    <row r="7" spans="1:12">
      <c r="A7" s="737"/>
      <c r="B7" s="111"/>
      <c r="C7" s="725"/>
      <c r="D7" s="725"/>
      <c r="E7" s="725"/>
      <c r="F7" s="725"/>
      <c r="G7" s="725"/>
      <c r="H7" s="725"/>
      <c r="I7" s="725"/>
      <c r="J7" s="725"/>
      <c r="K7" s="725"/>
    </row>
    <row r="8" spans="1:12">
      <c r="A8" s="737"/>
      <c r="B8" s="111"/>
      <c r="C8" s="725"/>
      <c r="D8" s="725"/>
      <c r="E8" s="725"/>
      <c r="F8" s="725"/>
      <c r="G8" s="725"/>
      <c r="H8" s="725"/>
      <c r="I8" s="725"/>
      <c r="J8" s="725"/>
      <c r="K8" s="725"/>
    </row>
    <row r="9" spans="1:12" ht="11.25" customHeight="1"/>
    <row r="10" spans="1:12" s="149" customFormat="1" ht="15" customHeight="1">
      <c r="A10" s="250"/>
      <c r="C10" s="940" t="str">
        <f>CHOOSE(jezyk,n!A616,n!B616,n!C616,n!D614)</f>
        <v>Rok obrotowy 2024</v>
      </c>
      <c r="D10" s="940"/>
    </row>
    <row r="12" spans="1:12" ht="25.5" customHeight="1">
      <c r="C12" s="945" t="str">
        <f>CHOOSE(jezyk,n!A860,n!B860,n!C860,n!D855)</f>
        <v>Pozycja</v>
      </c>
      <c r="D12" s="946"/>
      <c r="E12" s="945" t="str">
        <f>CHOOSE(jezyk,n!A863,n!B863,n!C863,n!D861)</f>
        <v>Kraj</v>
      </c>
      <c r="F12" s="946"/>
      <c r="G12" s="945" t="str">
        <f>CHOOSE(jezyk,n!A865,n!B865,n!C865,n!D863)</f>
        <v>Kraje UE</v>
      </c>
      <c r="H12" s="946"/>
      <c r="I12" s="945" t="str">
        <f>CHOOSE(jezyk,n!A864,n!B864,n!C864,n!D862)</f>
        <v>Eksport</v>
      </c>
      <c r="J12" s="946"/>
      <c r="K12" s="400" t="str">
        <f>CHOOSE(jezyk,n!A866,n!B866,n!C866,n!D864)</f>
        <v>Razem:</v>
      </c>
    </row>
    <row r="13" spans="1:12" ht="36" customHeight="1">
      <c r="A13" s="84"/>
      <c r="C13" s="895" t="str">
        <f>CHOOSE(jezyk,n!A861,n!B861,n!C861,n!D856)</f>
        <v>Przychody ze sprzedaży produktów</v>
      </c>
      <c r="D13" s="897"/>
      <c r="E13" s="956">
        <v>0</v>
      </c>
      <c r="F13" s="957"/>
      <c r="G13" s="956">
        <v>0</v>
      </c>
      <c r="H13" s="957"/>
      <c r="I13" s="956">
        <v>0</v>
      </c>
      <c r="J13" s="957"/>
      <c r="K13" s="421">
        <f>SUM(E13:J13)</f>
        <v>0</v>
      </c>
      <c r="L13" s="179">
        <f>IF(wrach=1,ROUND(K13-'RZiS Por. '!E15,2),ROUND(K13-'RZiS Kal.'!F15,2))</f>
        <v>-7234361.1900000004</v>
      </c>
    </row>
    <row r="14" spans="1:12" ht="37.5" customHeight="1">
      <c r="A14" s="84"/>
      <c r="C14" s="895" t="str">
        <f>CHOOSE(jezyk,n!A862,n!B862,n!C862,n!D860)</f>
        <v>Przychody ze sprzedaży towarów</v>
      </c>
      <c r="D14" s="897"/>
      <c r="E14" s="941">
        <v>0</v>
      </c>
      <c r="F14" s="942"/>
      <c r="G14" s="941">
        <v>0</v>
      </c>
      <c r="H14" s="942"/>
      <c r="I14" s="941">
        <v>0</v>
      </c>
      <c r="J14" s="942"/>
      <c r="K14" s="421">
        <f>SUM(E14:J14)</f>
        <v>0</v>
      </c>
      <c r="L14" s="179">
        <f>IF(wrach=1,ROUND(K14-'RZiS Por. '!E18,2),ROUND(K14-'RZiS Kal.'!F16,2))</f>
        <v>0</v>
      </c>
    </row>
    <row r="15" spans="1:12" ht="15" customHeight="1">
      <c r="A15" s="84"/>
      <c r="E15" s="943">
        <f>SUM(E13:F14)</f>
        <v>0</v>
      </c>
      <c r="F15" s="944"/>
      <c r="G15" s="943">
        <f>SUM(G13:H14)</f>
        <v>0</v>
      </c>
      <c r="H15" s="944"/>
      <c r="I15" s="943">
        <f>SUM(I13:J14)</f>
        <v>0</v>
      </c>
      <c r="J15" s="944"/>
      <c r="K15" s="421">
        <f>SUM(K13:K14)</f>
        <v>0</v>
      </c>
      <c r="L15" s="179">
        <f>SUM(L13:L14)</f>
        <v>-7234361.1900000004</v>
      </c>
    </row>
    <row r="16" spans="1:12" ht="9.75" customHeight="1"/>
    <row r="17" spans="1:12" s="149" customFormat="1" ht="15" customHeight="1">
      <c r="A17" s="250"/>
      <c r="C17" s="940" t="str">
        <f>CHOOSE(jezyk,n!A617,n!B617,n!C617,n!D615)</f>
        <v>Rok obrotowy 2023</v>
      </c>
      <c r="D17" s="940"/>
    </row>
    <row r="19" spans="1:12" ht="25.5" customHeight="1">
      <c r="C19" s="945" t="str">
        <f>C12</f>
        <v>Pozycja</v>
      </c>
      <c r="D19" s="946"/>
      <c r="E19" s="945" t="str">
        <f>E12</f>
        <v>Kraj</v>
      </c>
      <c r="F19" s="946"/>
      <c r="G19" s="945" t="str">
        <f>G12</f>
        <v>Kraje UE</v>
      </c>
      <c r="H19" s="946"/>
      <c r="I19" s="945" t="str">
        <f>I12</f>
        <v>Eksport</v>
      </c>
      <c r="J19" s="946"/>
      <c r="K19" s="400" t="str">
        <f>K12</f>
        <v>Razem:</v>
      </c>
    </row>
    <row r="20" spans="1:12" ht="36" customHeight="1">
      <c r="A20" s="84"/>
      <c r="C20" s="895" t="str">
        <f>C13</f>
        <v>Przychody ze sprzedaży produktów</v>
      </c>
      <c r="D20" s="897"/>
      <c r="E20" s="947">
        <v>0</v>
      </c>
      <c r="F20" s="948"/>
      <c r="G20" s="947">
        <v>0</v>
      </c>
      <c r="H20" s="948"/>
      <c r="I20" s="947">
        <v>0</v>
      </c>
      <c r="J20" s="948"/>
      <c r="K20" s="421">
        <f>SUM(E20:J20)</f>
        <v>0</v>
      </c>
      <c r="L20" s="179">
        <f>IF(wrach=1,ROUND(K20-'RZiS Por. '!F15,2),ROUND(K20-'RZiS Kal.'!G15,2))</f>
        <v>0</v>
      </c>
    </row>
    <row r="21" spans="1:12" ht="42.75" customHeight="1">
      <c r="A21" s="84"/>
      <c r="C21" s="895" t="str">
        <f>C14</f>
        <v>Przychody ze sprzedaży towarów</v>
      </c>
      <c r="D21" s="897"/>
      <c r="E21" s="958">
        <v>0</v>
      </c>
      <c r="F21" s="959"/>
      <c r="G21" s="958">
        <v>0</v>
      </c>
      <c r="H21" s="959"/>
      <c r="I21" s="958">
        <v>0</v>
      </c>
      <c r="J21" s="959"/>
      <c r="K21" s="421">
        <f>SUM(E21:J21)</f>
        <v>0</v>
      </c>
      <c r="L21" s="179">
        <f>IF(wrach=1,ROUND(K21-'RZiS Por. '!F18,2),ROUND(K21-'RZiS Kal.'!G16,2))</f>
        <v>0</v>
      </c>
    </row>
    <row r="22" spans="1:12" ht="15" customHeight="1">
      <c r="A22" s="84"/>
      <c r="E22" s="943">
        <f>SUM(E20:F21)</f>
        <v>0</v>
      </c>
      <c r="F22" s="944"/>
      <c r="G22" s="943">
        <f>SUM(G20:H21)</f>
        <v>0</v>
      </c>
      <c r="H22" s="944"/>
      <c r="I22" s="943">
        <f>SUM(I20:J21)</f>
        <v>0</v>
      </c>
      <c r="J22" s="944"/>
      <c r="K22" s="421">
        <f>SUM(K20:K21)</f>
        <v>0</v>
      </c>
      <c r="L22" s="179">
        <f>SUM(L20:L21)</f>
        <v>0</v>
      </c>
    </row>
    <row r="23" spans="1:12">
      <c r="E23" s="180"/>
      <c r="F23" s="180"/>
      <c r="G23" s="180"/>
      <c r="H23" s="180"/>
      <c r="I23" s="180"/>
      <c r="J23" s="180"/>
      <c r="K23" s="180"/>
    </row>
    <row r="24" spans="1:12">
      <c r="C24" s="960" t="str">
        <f>IF(GA!F75&lt;&gt;"nie",IF(GA!F73&lt;&gt;"nie",CHOOSE(jezyk,n!A856,n!B856,n!C856,n!D854),CHOOSE(jezyk,n!A858,n!B858,n!C858,n!D855)),IF(GA!F73&lt;&gt;"nie",CHOOSE(jezyk,n!A857,n!B857,n!C857,n!D857),CHOOSE(jezyk,n!A859,n!B859,n!C859,n!D859)))</f>
        <v>Spółka nie osiągnęła przychodów ze sprzedaży zarówno w bieżącym roku obrotowym, jak i w roku poprzednim.</v>
      </c>
      <c r="D24" s="960"/>
      <c r="E24" s="960"/>
      <c r="F24" s="960"/>
      <c r="G24" s="960"/>
      <c r="H24" s="960"/>
      <c r="I24" s="960"/>
      <c r="J24" s="960"/>
      <c r="K24" s="960"/>
      <c r="L24" s="130" t="s">
        <v>6785</v>
      </c>
    </row>
    <row r="25" spans="1:12" ht="12.75" customHeight="1">
      <c r="C25" s="951"/>
      <c r="D25" s="951"/>
      <c r="E25" s="951"/>
      <c r="F25" s="951"/>
      <c r="G25" s="951"/>
      <c r="H25" s="951"/>
      <c r="I25" s="951"/>
      <c r="J25" s="951"/>
      <c r="K25" s="951"/>
    </row>
    <row r="26" spans="1:12" ht="25.5" customHeight="1">
      <c r="B26" s="111" t="s">
        <v>6684</v>
      </c>
      <c r="C26" s="725" t="str">
        <f>CHOOSE(jezyk,n!A923,n!B923,n!C923,n!D921)</f>
        <v>Koszt wytworzenia produktów na własne potrzeby oraz koszty rodzajowe (tylko w przypadku, gdy jednostka sporządza rachunek zysków i strat w wariancie kalkulacyjnym)</v>
      </c>
      <c r="D26" s="725"/>
      <c r="E26" s="725"/>
      <c r="F26" s="725"/>
      <c r="G26" s="725"/>
      <c r="H26" s="725"/>
      <c r="I26" s="725"/>
      <c r="J26" s="725"/>
      <c r="K26" s="725"/>
    </row>
    <row r="28" spans="1:12">
      <c r="C28" s="824" t="str">
        <f>IF(GA!F75&lt;&gt;"nie",CHOOSE(jezyk,n!A924,n!B924,n!C924,n!D922),CHOOSE(jezyk,n!A925,n!B925,n!C925,n!D925))</f>
        <v>Spółka sporządza rachunek zysków i strat w wariancie porównawczym.</v>
      </c>
      <c r="D28" s="824"/>
      <c r="E28" s="824"/>
      <c r="F28" s="824"/>
      <c r="G28" s="824"/>
      <c r="H28" s="824"/>
      <c r="I28" s="824"/>
      <c r="J28" s="824"/>
      <c r="K28" s="824"/>
      <c r="L28" s="130" t="s">
        <v>6785</v>
      </c>
    </row>
    <row r="29" spans="1:12">
      <c r="C29" s="721" t="str">
        <f>IF(GA!F75&lt;&gt;"nie",IF(GA!F73&lt;&gt;"nie",CHOOSE(jezyk,n!A926,n!B926,n!C926,n!D923),CHOOSE(jezyk,n!A928,n!B928,n!C928,n!D924)),IF(GA!F73&lt;&gt;"nie",CHOOSE(jezyk,n!A927,n!B927,n!C927,n!D927),CHOOSE(jezyk,n!A929,n!B929,n!C929,n!D929)))</f>
        <v>Spółka nie wytworzyła produktów na własne potrzeby, zarówno w bieżącym roku obrotowym jak i w roku poprzednim.</v>
      </c>
      <c r="D29" s="721"/>
      <c r="E29" s="721"/>
      <c r="F29" s="721"/>
      <c r="G29" s="721"/>
      <c r="H29" s="721"/>
      <c r="I29" s="721"/>
      <c r="J29" s="721"/>
      <c r="K29" s="721"/>
      <c r="L29" s="130"/>
    </row>
    <row r="30" spans="1:12" ht="9" customHeight="1">
      <c r="C30" s="724"/>
      <c r="D30" s="724"/>
      <c r="E30" s="724"/>
      <c r="F30" s="724"/>
      <c r="G30" s="724"/>
      <c r="H30" s="724"/>
      <c r="I30" s="724"/>
      <c r="J30" s="724"/>
      <c r="K30" s="724"/>
      <c r="L30" s="130"/>
    </row>
    <row r="31" spans="1:12" ht="3.75" customHeight="1">
      <c r="H31" s="952">
        <f>ro</f>
        <v>2024</v>
      </c>
      <c r="I31" s="952"/>
      <c r="J31" s="952">
        <f>IF(LEN(ro)&gt;4,_xlfn.TEXTBEFORE(ro,"/")-1&amp;"/"&amp;_xlfn.TEXTAFTER(ro,"/")-1,ro-1)</f>
        <v>2023</v>
      </c>
      <c r="K31" s="952"/>
    </row>
    <row r="32" spans="1:12">
      <c r="H32" s="952"/>
      <c r="I32" s="952"/>
      <c r="J32" s="952"/>
      <c r="K32" s="952"/>
    </row>
    <row r="33" spans="1:12" ht="18" customHeight="1">
      <c r="C33" s="895" t="str">
        <f>CHOOSE(jezyk,n!A930,n!B930,n!C930,n!D924)</f>
        <v>Koszty wytworzenia produktów na własne potrzeby</v>
      </c>
      <c r="D33" s="896"/>
      <c r="E33" s="896"/>
      <c r="F33" s="896"/>
      <c r="G33" s="897"/>
      <c r="H33" s="950"/>
      <c r="I33" s="950"/>
      <c r="J33" s="950"/>
      <c r="K33" s="950"/>
    </row>
    <row r="34" spans="1:12" ht="12.75" customHeight="1">
      <c r="C34" s="822" t="str">
        <f>CHOOSE(jezyk,n!A931,n!B931,n!C931,n!D926)</f>
        <v>Koszty rodzajowe</v>
      </c>
      <c r="D34" s="822"/>
      <c r="E34" s="822"/>
      <c r="F34" s="822"/>
      <c r="G34" s="822"/>
      <c r="H34" s="822"/>
      <c r="I34" s="822"/>
      <c r="J34" s="822"/>
      <c r="K34" s="822"/>
    </row>
    <row r="35" spans="1:12" ht="6.75" customHeight="1">
      <c r="C35" s="822"/>
      <c r="D35" s="822"/>
      <c r="E35" s="822"/>
      <c r="F35" s="822"/>
      <c r="G35" s="822"/>
      <c r="H35" s="822"/>
      <c r="I35" s="822"/>
      <c r="J35" s="822"/>
      <c r="K35" s="822"/>
    </row>
    <row r="36" spans="1:12" ht="18" customHeight="1">
      <c r="C36" s="895" t="str">
        <f>CHOOSE(jezyk,n!A932,n!B932,n!C932,n!D930)</f>
        <v>a) amortyzacja</v>
      </c>
      <c r="D36" s="896"/>
      <c r="E36" s="896"/>
      <c r="F36" s="896"/>
      <c r="G36" s="897"/>
      <c r="H36" s="949"/>
      <c r="I36" s="949"/>
      <c r="J36" s="949"/>
      <c r="K36" s="949"/>
    </row>
    <row r="37" spans="1:12" ht="18" customHeight="1">
      <c r="A37" s="84"/>
      <c r="C37" s="895" t="str">
        <f>CHOOSE(jezyk,n!A933,n!B933,n!C933,n!D931)</f>
        <v>b) zużycie materiałów i energii</v>
      </c>
      <c r="D37" s="896"/>
      <c r="E37" s="896"/>
      <c r="F37" s="896"/>
      <c r="G37" s="897"/>
      <c r="H37" s="949"/>
      <c r="I37" s="949"/>
      <c r="J37" s="949"/>
      <c r="K37" s="949"/>
    </row>
    <row r="38" spans="1:12" ht="18" customHeight="1">
      <c r="C38" s="895" t="str">
        <f>CHOOSE(jezyk,n!A934,n!B934,n!C934,n!D932)</f>
        <v>c) usługi obce</v>
      </c>
      <c r="D38" s="896"/>
      <c r="E38" s="896"/>
      <c r="F38" s="896"/>
      <c r="G38" s="897"/>
      <c r="H38" s="949"/>
      <c r="I38" s="949"/>
      <c r="J38" s="949"/>
      <c r="K38" s="949"/>
    </row>
    <row r="39" spans="1:12" ht="18" customHeight="1">
      <c r="C39" s="895" t="str">
        <f>CHOOSE(jezyk,n!A935,n!B935,n!C935,n!D933)</f>
        <v>d) podatki i opłaty</v>
      </c>
      <c r="D39" s="896"/>
      <c r="E39" s="896"/>
      <c r="F39" s="896"/>
      <c r="G39" s="897"/>
      <c r="H39" s="949"/>
      <c r="I39" s="949"/>
      <c r="J39" s="949"/>
      <c r="K39" s="949"/>
    </row>
    <row r="40" spans="1:12" ht="18" customHeight="1">
      <c r="C40" s="895" t="str">
        <f>CHOOSE(jezyk,n!A936,n!B936,n!C936,n!D934)</f>
        <v>e) wynagrodzenia</v>
      </c>
      <c r="D40" s="896"/>
      <c r="E40" s="896"/>
      <c r="F40" s="896"/>
      <c r="G40" s="897"/>
      <c r="H40" s="949"/>
      <c r="I40" s="949"/>
      <c r="J40" s="949"/>
      <c r="K40" s="949"/>
    </row>
    <row r="41" spans="1:12" ht="18" customHeight="1">
      <c r="C41" s="895" t="str">
        <f>CHOOSE(jezyk,n!A937,n!B937,n!C937,n!D935)</f>
        <v>f) ubezpieczenia społeczne i inne świadczenia, w tym:</v>
      </c>
      <c r="D41" s="896"/>
      <c r="E41" s="896"/>
      <c r="F41" s="896"/>
      <c r="G41" s="897"/>
      <c r="H41" s="949"/>
      <c r="I41" s="949"/>
      <c r="J41" s="949"/>
      <c r="K41" s="949"/>
    </row>
    <row r="42" spans="1:12" ht="18" customHeight="1">
      <c r="C42" s="181"/>
      <c r="D42" s="922" t="str">
        <f>"- "&amp;CHOOSE(jezyk,n!A434,n!B434,n!C434,n!D434)</f>
        <v>- emerytalne</v>
      </c>
      <c r="E42" s="922"/>
      <c r="F42" s="922"/>
      <c r="H42" s="949"/>
      <c r="I42" s="949"/>
      <c r="J42" s="949"/>
      <c r="K42" s="949"/>
    </row>
    <row r="43" spans="1:12" ht="18" customHeight="1">
      <c r="C43" s="895" t="str">
        <f>CHOOSE(jezyk,n!A938,n!B938,n!C938,n!D936)</f>
        <v>g) pozostałe koszty rodzajowe</v>
      </c>
      <c r="D43" s="896"/>
      <c r="E43" s="896"/>
      <c r="F43" s="896"/>
      <c r="G43" s="897"/>
      <c r="H43" s="949"/>
      <c r="I43" s="949"/>
      <c r="J43" s="949"/>
      <c r="K43" s="949"/>
    </row>
    <row r="44" spans="1:12" ht="20.25" customHeight="1">
      <c r="C44" s="106"/>
      <c r="D44" s="106"/>
      <c r="E44" s="106"/>
      <c r="F44" s="106"/>
      <c r="H44" s="917">
        <f>SUM(H36:I43)-H42</f>
        <v>0</v>
      </c>
      <c r="I44" s="918"/>
      <c r="J44" s="917">
        <f>SUM(J36:K43)-J42</f>
        <v>0</v>
      </c>
      <c r="K44" s="918"/>
    </row>
    <row r="46" spans="1:12">
      <c r="B46" s="111" t="s">
        <v>6708</v>
      </c>
      <c r="C46" s="725" t="str">
        <f>CHOOSE(jezyk,n!A867,n!B867,n!C867,n!D865)</f>
        <v>Wysokość i wyjaśnienie przyczyn odpisów aktualizujących środki trwałe</v>
      </c>
      <c r="D46" s="725"/>
      <c r="E46" s="725"/>
      <c r="F46" s="725"/>
      <c r="G46" s="725"/>
      <c r="H46" s="725"/>
      <c r="I46" s="725"/>
      <c r="J46" s="725"/>
      <c r="K46" s="725"/>
    </row>
    <row r="47" spans="1:12">
      <c r="C47" s="725"/>
      <c r="D47" s="725"/>
      <c r="E47" s="725"/>
      <c r="F47" s="725"/>
      <c r="G47" s="725"/>
      <c r="H47" s="725"/>
      <c r="I47" s="725"/>
      <c r="J47" s="725"/>
      <c r="K47" s="725"/>
    </row>
    <row r="48" spans="1:12" ht="24.75" customHeight="1">
      <c r="A48" s="84"/>
      <c r="C48" s="731" t="str">
        <f>IF(GA!F75&lt;&gt;"nie",IF(GA!F73&lt;&gt;"nie",CHOOSE(jezyk,n!A868,n!B868,n!C868,n!D866),CHOOSE(jezyk,n!A870,n!B870,n!C870,n!D867)),IF(GA!F73&lt;&gt;"nie",CHOOSE(jezyk,n!A869,n!B869,n!C869,n!D869),CHOOSE(jezyk,n!A871,n!B871,n!C871,n!D871)))</f>
        <v>Spółka nie dokonywała odpisów aktualizujących środki trwałe zarówno w bieżącym roku obrotowym, jak i w roku poprzednim.</v>
      </c>
      <c r="D48" s="731"/>
      <c r="E48" s="731"/>
      <c r="F48" s="731"/>
      <c r="G48" s="731"/>
      <c r="H48" s="731"/>
      <c r="I48" s="731"/>
      <c r="J48" s="731"/>
      <c r="K48" s="731"/>
      <c r="L48" s="130" t="s">
        <v>6785</v>
      </c>
    </row>
    <row r="49" spans="1:12" s="184" customFormat="1" ht="10.5" customHeight="1">
      <c r="A49" s="174"/>
      <c r="B49" s="96"/>
      <c r="C49" s="724"/>
      <c r="D49" s="724"/>
      <c r="E49" s="724"/>
      <c r="F49" s="724"/>
      <c r="G49" s="724"/>
      <c r="H49" s="724"/>
      <c r="I49" s="724"/>
      <c r="J49" s="724"/>
      <c r="K49" s="724"/>
      <c r="L49" s="175"/>
    </row>
    <row r="50" spans="1:12" s="184" customFormat="1" ht="15" customHeight="1">
      <c r="A50" s="174"/>
      <c r="B50" s="96"/>
      <c r="C50" s="940" t="str">
        <f>CHOOSE(jezyk,n!A616,n!B616,n!C616,n!D614)</f>
        <v>Rok obrotowy 2024</v>
      </c>
      <c r="D50" s="940"/>
      <c r="E50" s="182"/>
      <c r="F50" s="182"/>
      <c r="G50" s="182"/>
      <c r="H50" s="182"/>
      <c r="I50" s="182"/>
      <c r="J50" s="182"/>
      <c r="K50" s="182"/>
      <c r="L50" s="175"/>
    </row>
    <row r="51" spans="1:12" s="184" customFormat="1" ht="10.5" customHeight="1">
      <c r="A51" s="174"/>
      <c r="B51" s="96"/>
      <c r="C51" s="183"/>
      <c r="D51" s="182"/>
      <c r="E51" s="182"/>
      <c r="F51" s="182"/>
      <c r="G51" s="182"/>
      <c r="H51" s="182"/>
      <c r="I51" s="182"/>
      <c r="J51" s="182"/>
      <c r="K51" s="182"/>
      <c r="L51" s="175"/>
    </row>
    <row r="52" spans="1:12" ht="12.75" customHeight="1">
      <c r="C52" s="936" t="str">
        <f>CHOOSE(jezyk,n!A626,n!B626,n!C626,n!D623)</f>
        <v>Stan na 
01.01.2024</v>
      </c>
      <c r="D52" s="937"/>
      <c r="E52" s="935" t="str">
        <f>CHOOSE(jezyk,n!A764,n!B764,n!C764,n!D762)</f>
        <v>Zwiększenia</v>
      </c>
      <c r="F52" s="935"/>
      <c r="G52" s="935" t="str">
        <f>CHOOSE(jezyk,n!A765,n!B765,n!C765,n!D763)</f>
        <v>Wykorzystanie</v>
      </c>
      <c r="H52" s="935"/>
      <c r="I52" s="935" t="str">
        <f>CHOOSE(jezyk,n!A766,n!B766,n!C766,n!D764)</f>
        <v>Rozwiązanie</v>
      </c>
      <c r="J52" s="935"/>
      <c r="K52" s="935" t="str">
        <f>CHOOSE(jezyk,n!A639,n!B639,n!C639,n!D635)</f>
        <v>Stan na 
31.12.2024</v>
      </c>
      <c r="L52" s="130"/>
    </row>
    <row r="53" spans="1:12" ht="29.25" customHeight="1">
      <c r="C53" s="938"/>
      <c r="D53" s="939"/>
      <c r="E53" s="935"/>
      <c r="F53" s="935"/>
      <c r="G53" s="935"/>
      <c r="H53" s="935"/>
      <c r="I53" s="935"/>
      <c r="J53" s="935"/>
      <c r="K53" s="935"/>
    </row>
    <row r="54" spans="1:12" ht="12.75" customHeight="1">
      <c r="C54" s="871">
        <v>0</v>
      </c>
      <c r="D54" s="871"/>
      <c r="E54" s="871">
        <v>0</v>
      </c>
      <c r="F54" s="871"/>
      <c r="G54" s="871">
        <v>0</v>
      </c>
      <c r="H54" s="871"/>
      <c r="I54" s="871">
        <v>0</v>
      </c>
      <c r="J54" s="871"/>
      <c r="K54" s="953">
        <f>C54+E54-G54-I54</f>
        <v>0</v>
      </c>
      <c r="L54" s="130" t="s">
        <v>6827</v>
      </c>
    </row>
    <row r="55" spans="1:12">
      <c r="C55" s="871"/>
      <c r="D55" s="871"/>
      <c r="E55" s="871"/>
      <c r="F55" s="871"/>
      <c r="G55" s="871"/>
      <c r="H55" s="871"/>
      <c r="I55" s="871"/>
      <c r="J55" s="871"/>
      <c r="K55" s="954"/>
    </row>
    <row r="56" spans="1:12">
      <c r="C56" s="167"/>
      <c r="D56" s="167"/>
      <c r="E56" s="167"/>
      <c r="F56" s="167"/>
      <c r="G56" s="167"/>
      <c r="H56" s="167"/>
    </row>
    <row r="57" spans="1:12" ht="15" customHeight="1">
      <c r="C57" s="940" t="str">
        <f>CHOOSE(jezyk,n!A617,n!B617,n!C617,n!D615)</f>
        <v>Rok obrotowy 2023</v>
      </c>
      <c r="D57" s="940"/>
      <c r="E57" s="167"/>
      <c r="F57" s="167"/>
      <c r="G57" s="167"/>
      <c r="H57" s="167"/>
    </row>
    <row r="58" spans="1:12">
      <c r="C58" s="167"/>
      <c r="D58" s="167"/>
      <c r="E58" s="167"/>
      <c r="F58" s="167"/>
      <c r="G58" s="167"/>
      <c r="H58" s="167"/>
    </row>
    <row r="59" spans="1:12" ht="30" customHeight="1">
      <c r="C59" s="936" t="str">
        <f>CHOOSE(jezyk,n!A627,n!B627,n!C627,n!D627)</f>
        <v>Stan na 
01.01.2023</v>
      </c>
      <c r="D59" s="937"/>
      <c r="E59" s="935" t="str">
        <f>E52</f>
        <v>Zwiększenia</v>
      </c>
      <c r="F59" s="935"/>
      <c r="G59" s="935" t="str">
        <f>G52</f>
        <v>Wykorzystanie</v>
      </c>
      <c r="H59" s="935"/>
      <c r="I59" s="935" t="str">
        <f>I52</f>
        <v>Rozwiązanie</v>
      </c>
      <c r="J59" s="935"/>
      <c r="K59" s="935" t="str">
        <f>CHOOSE(jezyk,n!A638,n!B638,n!C638,n!D638)</f>
        <v>Stan na 
31.12.2023</v>
      </c>
    </row>
    <row r="60" spans="1:12">
      <c r="C60" s="938"/>
      <c r="D60" s="939"/>
      <c r="E60" s="935"/>
      <c r="F60" s="935"/>
      <c r="G60" s="935"/>
      <c r="H60" s="935"/>
      <c r="I60" s="935"/>
      <c r="J60" s="935"/>
      <c r="K60" s="935"/>
    </row>
    <row r="61" spans="1:12">
      <c r="C61" s="871">
        <v>0</v>
      </c>
      <c r="D61" s="871"/>
      <c r="E61" s="871">
        <v>0</v>
      </c>
      <c r="F61" s="871"/>
      <c r="G61" s="871">
        <v>0</v>
      </c>
      <c r="H61" s="871"/>
      <c r="I61" s="871">
        <v>0</v>
      </c>
      <c r="J61" s="871"/>
      <c r="K61" s="953">
        <f>C61+E61-G61-I61</f>
        <v>0</v>
      </c>
    </row>
    <row r="62" spans="1:12">
      <c r="C62" s="871"/>
      <c r="D62" s="871"/>
      <c r="E62" s="871"/>
      <c r="F62" s="871"/>
      <c r="G62" s="871"/>
      <c r="H62" s="871"/>
      <c r="I62" s="871"/>
      <c r="J62" s="871"/>
      <c r="K62" s="954"/>
    </row>
    <row r="63" spans="1:12">
      <c r="C63" s="167"/>
      <c r="D63" s="167"/>
      <c r="E63" s="167"/>
      <c r="F63" s="167"/>
      <c r="G63" s="167"/>
      <c r="H63" s="167"/>
    </row>
    <row r="64" spans="1:12">
      <c r="B64" s="111" t="s">
        <v>6828</v>
      </c>
      <c r="C64" s="725" t="str">
        <f>CHOOSE(jezyk,n!A872,n!B872,n!C872,n!D867)</f>
        <v>Wysokość odpisów aktualizujących wartość zapasów</v>
      </c>
      <c r="D64" s="725"/>
      <c r="E64" s="725"/>
      <c r="F64" s="725"/>
      <c r="G64" s="725"/>
      <c r="H64" s="725"/>
      <c r="I64" s="725"/>
      <c r="J64" s="725"/>
      <c r="K64" s="725"/>
    </row>
    <row r="65" spans="1:16">
      <c r="C65" s="725"/>
      <c r="D65" s="725"/>
      <c r="E65" s="725"/>
      <c r="F65" s="725"/>
      <c r="G65" s="725"/>
      <c r="H65" s="725"/>
      <c r="I65" s="725"/>
      <c r="J65" s="725"/>
      <c r="K65" s="725"/>
    </row>
    <row r="66" spans="1:16" ht="25.5" customHeight="1">
      <c r="A66" s="84"/>
      <c r="C66" s="731" t="str">
        <f>IF(GA!F75&lt;&gt;"nie",IF(GA!F73&lt;&gt;"nie",CHOOSE(jezyk,n!A873,n!B873,n!C873,n!A885),CHOOSE(jezyk,n!A875,n!B875,n!C875,n!A875)),IF(GA!F73&lt;&gt;"nie",CHOOSE(jezyk,n!A874,n!B874,n!C874,n!A874),CHOOSE(jezyk,n!A876,n!B876,n!C876,n!A876)))</f>
        <v>Spółka nie dokonywała odpisów aktualizujących zapasy zarówno w bieżącym roku obrotowym, jak i w roku poprzednim.</v>
      </c>
      <c r="D66" s="731"/>
      <c r="E66" s="731"/>
      <c r="F66" s="731"/>
      <c r="G66" s="731"/>
      <c r="H66" s="731"/>
      <c r="I66" s="731"/>
      <c r="J66" s="731"/>
      <c r="K66" s="731"/>
      <c r="L66" s="130" t="s">
        <v>6785</v>
      </c>
    </row>
    <row r="67" spans="1:16" ht="9" customHeight="1">
      <c r="C67" s="722"/>
      <c r="D67" s="722"/>
      <c r="E67" s="722"/>
      <c r="F67" s="722"/>
      <c r="G67" s="722"/>
      <c r="H67" s="722"/>
      <c r="I67" s="722"/>
      <c r="J67" s="722"/>
      <c r="K67" s="722"/>
      <c r="L67" s="130"/>
    </row>
    <row r="68" spans="1:16">
      <c r="C68" s="722" t="str">
        <f>CHOOSE(jezyk,n!A885,n!B885,n!C885,n!A886)</f>
        <v>Zmiany stanu odpisów aktualizujących zapasy w ciągu roku obrotowego 2024</v>
      </c>
      <c r="D68" s="722"/>
      <c r="E68" s="722"/>
      <c r="F68" s="722"/>
      <c r="G68" s="722"/>
      <c r="H68" s="722"/>
      <c r="I68" s="722"/>
      <c r="J68" s="722"/>
      <c r="K68" s="722"/>
      <c r="L68" s="130"/>
    </row>
    <row r="69" spans="1:16">
      <c r="L69" s="130"/>
      <c r="M69" s="974"/>
      <c r="N69" s="974"/>
    </row>
    <row r="70" spans="1:16" s="149" customFormat="1" ht="33.950000000000003" customHeight="1">
      <c r="A70" s="250"/>
      <c r="C70" s="945"/>
      <c r="D70" s="946"/>
      <c r="E70" s="805" t="str">
        <f>CHOOSE(jezyk,n!A329,n!B329,n!C329,n!D329)</f>
        <v>Materiały</v>
      </c>
      <c r="F70" s="805"/>
      <c r="G70" s="805" t="str">
        <f>CHOOSE(jezyk,n!A330,n!B330,n!C330,n!D330)</f>
        <v>Półprodukty i produkty w toku</v>
      </c>
      <c r="H70" s="805"/>
      <c r="I70" s="395" t="str">
        <f>CHOOSE(jezyk,n!A331,n!B331,n!C331,n!D331)</f>
        <v>Produkty gotowe</v>
      </c>
      <c r="J70" s="400" t="str">
        <f>CHOOSE(jezyk,n!A332,n!B332,n!C332,n!D332)</f>
        <v>Towary</v>
      </c>
      <c r="K70" s="400" t="str">
        <f>CHOOSE(jezyk,n!A911,n!B911,n!C911,n!D909)</f>
        <v>Łącznie:</v>
      </c>
      <c r="L70" s="147"/>
      <c r="M70" s="413"/>
      <c r="N70" s="413"/>
    </row>
    <row r="71" spans="1:16" ht="27.95" customHeight="1">
      <c r="A71" s="84"/>
      <c r="C71" s="955" t="str">
        <f>CHOOSE(jezyk,n!A879,n!B879,n!C879,n!A886)</f>
        <v>Stan odpisów na 01.01.2024</v>
      </c>
      <c r="D71" s="955"/>
      <c r="E71" s="917">
        <f>E86</f>
        <v>0</v>
      </c>
      <c r="F71" s="918"/>
      <c r="G71" s="917">
        <f>G86</f>
        <v>0</v>
      </c>
      <c r="H71" s="918"/>
      <c r="I71" s="421">
        <f>I86</f>
        <v>0</v>
      </c>
      <c r="J71" s="421">
        <f>J86</f>
        <v>0</v>
      </c>
      <c r="K71" s="421">
        <f>SUM(E71:J71)</f>
        <v>0</v>
      </c>
      <c r="L71" s="130"/>
      <c r="M71" s="413"/>
      <c r="N71" s="413"/>
    </row>
    <row r="72" spans="1:16" ht="18" customHeight="1">
      <c r="C72" s="955" t="str">
        <f>E52</f>
        <v>Zwiększenia</v>
      </c>
      <c r="D72" s="955"/>
      <c r="E72" s="820">
        <v>0</v>
      </c>
      <c r="F72" s="820"/>
      <c r="G72" s="820">
        <v>0</v>
      </c>
      <c r="H72" s="820"/>
      <c r="I72" s="398">
        <v>0</v>
      </c>
      <c r="J72" s="398">
        <v>0</v>
      </c>
      <c r="K72" s="421">
        <f t="shared" ref="K72:K77" si="0">SUM(E72:J72)</f>
        <v>0</v>
      </c>
      <c r="L72" s="130"/>
      <c r="M72" s="413"/>
      <c r="N72" s="413"/>
    </row>
    <row r="73" spans="1:16" ht="18" customHeight="1">
      <c r="C73" s="955" t="str">
        <f>G52</f>
        <v>Wykorzystanie</v>
      </c>
      <c r="D73" s="955"/>
      <c r="E73" s="820">
        <v>0</v>
      </c>
      <c r="F73" s="820"/>
      <c r="G73" s="820">
        <v>0</v>
      </c>
      <c r="H73" s="820"/>
      <c r="I73" s="398">
        <v>0</v>
      </c>
      <c r="J73" s="398">
        <v>0</v>
      </c>
      <c r="K73" s="421">
        <f t="shared" si="0"/>
        <v>0</v>
      </c>
      <c r="L73" s="130"/>
      <c r="M73" s="413"/>
      <c r="N73" s="413"/>
    </row>
    <row r="74" spans="1:16" ht="18" customHeight="1">
      <c r="C74" s="955" t="str">
        <f>I52</f>
        <v>Rozwiązanie</v>
      </c>
      <c r="D74" s="955"/>
      <c r="E74" s="820">
        <v>0</v>
      </c>
      <c r="F74" s="820"/>
      <c r="G74" s="820">
        <v>0</v>
      </c>
      <c r="H74" s="820"/>
      <c r="I74" s="398">
        <v>0</v>
      </c>
      <c r="J74" s="398">
        <v>0</v>
      </c>
      <c r="K74" s="421">
        <f t="shared" si="0"/>
        <v>0</v>
      </c>
      <c r="L74" s="130"/>
      <c r="M74" s="413"/>
      <c r="N74" s="413"/>
    </row>
    <row r="75" spans="1:16" ht="27.95" customHeight="1">
      <c r="A75" s="84"/>
      <c r="C75" s="955" t="str">
        <f>CHOOSE(jezyk,n!A880,n!B880,n!C880,n!A887)</f>
        <v>Stan odpisów na 31.12.2024</v>
      </c>
      <c r="D75" s="955"/>
      <c r="E75" s="917">
        <f>E71+E72-E73-E74</f>
        <v>0</v>
      </c>
      <c r="F75" s="918"/>
      <c r="G75" s="917">
        <f>G71+G72-G73-G74</f>
        <v>0</v>
      </c>
      <c r="H75" s="918"/>
      <c r="I75" s="409">
        <f>I71+I72-I73-I74</f>
        <v>0</v>
      </c>
      <c r="J75" s="409">
        <f>J71+J72-J73-J74</f>
        <v>0</v>
      </c>
      <c r="K75" s="421">
        <f t="shared" si="0"/>
        <v>0</v>
      </c>
      <c r="L75" s="130"/>
    </row>
    <row r="76" spans="1:16" ht="27.95" customHeight="1">
      <c r="C76" s="955" t="str">
        <f>CHOOSE(jezyk,n!A877,n!B877,n!C877,n!A878)</f>
        <v>Zapasy brutto na 31.12.2024</v>
      </c>
      <c r="D76" s="955"/>
      <c r="E76" s="917">
        <f>E77+E75</f>
        <v>0</v>
      </c>
      <c r="F76" s="918"/>
      <c r="G76" s="917">
        <f>G77+G75</f>
        <v>0</v>
      </c>
      <c r="H76" s="918"/>
      <c r="I76" s="421">
        <f>I77+I75</f>
        <v>0</v>
      </c>
      <c r="J76" s="421">
        <f>J77+J75</f>
        <v>0</v>
      </c>
      <c r="K76" s="421">
        <f t="shared" si="0"/>
        <v>0</v>
      </c>
      <c r="L76" s="142" t="str">
        <f>dzb</f>
        <v>31.12.2024</v>
      </c>
    </row>
    <row r="77" spans="1:16" ht="27.95" customHeight="1">
      <c r="C77" s="955" t="str">
        <f>CHOOSE(jezyk,n!A878,n!B878,n!C878,n!A885)</f>
        <v>Zapasy netto na 31.12.2024</v>
      </c>
      <c r="D77" s="955"/>
      <c r="E77" s="917">
        <f>Bilans!J74</f>
        <v>0</v>
      </c>
      <c r="F77" s="918"/>
      <c r="G77" s="917">
        <f>Bilans!J75</f>
        <v>0</v>
      </c>
      <c r="H77" s="918"/>
      <c r="I77" s="421">
        <f>Bilans!J76</f>
        <v>0</v>
      </c>
      <c r="J77" s="421">
        <f>Bilans!J77</f>
        <v>0</v>
      </c>
      <c r="K77" s="421">
        <f t="shared" si="0"/>
        <v>0</v>
      </c>
      <c r="L77" s="146">
        <f>ROUND(K77-Bilans!J74-Bilans!J75-Bilans!J76-Bilans!J77,2)</f>
        <v>0</v>
      </c>
    </row>
    <row r="78" spans="1:16">
      <c r="E78" s="186"/>
      <c r="F78" s="186"/>
      <c r="G78" s="186"/>
      <c r="H78" s="186"/>
      <c r="I78" s="186"/>
      <c r="J78" s="186"/>
      <c r="K78" s="187"/>
    </row>
    <row r="79" spans="1:16">
      <c r="C79" s="722" t="str">
        <f>CHOOSE(jezyk,n!A886,n!B886,n!C886,n!A887)</f>
        <v>Zmiany stanu odpisów aktualizujących zapasy w ciągu roku obrotowego 2023</v>
      </c>
      <c r="D79" s="722"/>
      <c r="E79" s="722"/>
      <c r="F79" s="722"/>
      <c r="G79" s="722"/>
      <c r="H79" s="722"/>
      <c r="I79" s="722"/>
      <c r="J79" s="722"/>
      <c r="K79" s="722"/>
      <c r="P79" s="702"/>
    </row>
    <row r="80" spans="1:16">
      <c r="C80" s="186"/>
      <c r="D80" s="186"/>
      <c r="E80" s="186"/>
      <c r="F80" s="186"/>
      <c r="G80" s="186"/>
      <c r="H80" s="186"/>
      <c r="I80" s="186"/>
      <c r="J80" s="186"/>
      <c r="K80" s="187"/>
      <c r="P80" s="702"/>
    </row>
    <row r="81" spans="1:16" ht="33.950000000000003" customHeight="1">
      <c r="C81" s="945"/>
      <c r="D81" s="946"/>
      <c r="E81" s="805" t="str">
        <f>E70</f>
        <v>Materiały</v>
      </c>
      <c r="F81" s="805"/>
      <c r="G81" s="805" t="str">
        <f>G70</f>
        <v>Półprodukty i produkty w toku</v>
      </c>
      <c r="H81" s="805"/>
      <c r="I81" s="395" t="str">
        <f>I70</f>
        <v>Produkty gotowe</v>
      </c>
      <c r="J81" s="400" t="str">
        <f>J70</f>
        <v>Towary</v>
      </c>
      <c r="K81" s="400" t="str">
        <f>K70</f>
        <v>Łącznie:</v>
      </c>
      <c r="P81" s="702"/>
    </row>
    <row r="82" spans="1:16" ht="27.95" customHeight="1">
      <c r="A82" s="84"/>
      <c r="C82" s="955" t="str">
        <f>CHOOSE(jezyk,n!A881,n!B881,n!C881,n!A888)</f>
        <v>Stan odpisów na 01.01.2023</v>
      </c>
      <c r="D82" s="955"/>
      <c r="E82" s="820">
        <v>0</v>
      </c>
      <c r="F82" s="820"/>
      <c r="G82" s="820">
        <v>0</v>
      </c>
      <c r="H82" s="820"/>
      <c r="I82" s="398">
        <v>0</v>
      </c>
      <c r="J82" s="398">
        <v>0</v>
      </c>
      <c r="K82" s="421">
        <f t="shared" ref="K82:K88" si="1">SUM(E82:J82)</f>
        <v>0</v>
      </c>
    </row>
    <row r="83" spans="1:16" ht="18" customHeight="1">
      <c r="C83" s="955" t="str">
        <f>C72</f>
        <v>Zwiększenia</v>
      </c>
      <c r="D83" s="955"/>
      <c r="E83" s="820">
        <v>0</v>
      </c>
      <c r="F83" s="820"/>
      <c r="G83" s="820">
        <v>0</v>
      </c>
      <c r="H83" s="820"/>
      <c r="I83" s="398">
        <v>0</v>
      </c>
      <c r="J83" s="398">
        <v>0</v>
      </c>
      <c r="K83" s="421">
        <f t="shared" si="1"/>
        <v>0</v>
      </c>
    </row>
    <row r="84" spans="1:16" ht="18" customHeight="1">
      <c r="C84" s="955" t="str">
        <f>C73</f>
        <v>Wykorzystanie</v>
      </c>
      <c r="D84" s="955"/>
      <c r="E84" s="820">
        <v>0</v>
      </c>
      <c r="F84" s="820"/>
      <c r="G84" s="820">
        <v>0</v>
      </c>
      <c r="H84" s="820"/>
      <c r="I84" s="398">
        <v>0</v>
      </c>
      <c r="J84" s="398">
        <v>0</v>
      </c>
      <c r="K84" s="421">
        <f t="shared" si="1"/>
        <v>0</v>
      </c>
    </row>
    <row r="85" spans="1:16" ht="18" customHeight="1">
      <c r="C85" s="955" t="str">
        <f>C74</f>
        <v>Rozwiązanie</v>
      </c>
      <c r="D85" s="955"/>
      <c r="E85" s="820">
        <v>0</v>
      </c>
      <c r="F85" s="820"/>
      <c r="G85" s="820">
        <v>0</v>
      </c>
      <c r="H85" s="820"/>
      <c r="I85" s="398">
        <v>0</v>
      </c>
      <c r="J85" s="398">
        <v>0</v>
      </c>
      <c r="K85" s="421">
        <f t="shared" si="1"/>
        <v>0</v>
      </c>
    </row>
    <row r="86" spans="1:16" ht="27.95" customHeight="1">
      <c r="A86" s="84"/>
      <c r="C86" s="955" t="str">
        <f>CHOOSE(jezyk,n!A882,n!B882,n!C882,n!A889)</f>
        <v>Stan odpisów na 31.12.2023</v>
      </c>
      <c r="D86" s="955"/>
      <c r="E86" s="917">
        <f>E82+E83-E84-E85</f>
        <v>0</v>
      </c>
      <c r="F86" s="918"/>
      <c r="G86" s="917">
        <f>G82+G83-G84-G85</f>
        <v>0</v>
      </c>
      <c r="H86" s="918"/>
      <c r="I86" s="409">
        <f>I82+I83-I84-I85</f>
        <v>0</v>
      </c>
      <c r="J86" s="409">
        <f>J82+J83-J84-J85</f>
        <v>0</v>
      </c>
      <c r="K86" s="421">
        <f t="shared" si="1"/>
        <v>0</v>
      </c>
    </row>
    <row r="87" spans="1:16" ht="27.95" customHeight="1">
      <c r="C87" s="955" t="str">
        <f>CHOOSE(jezyk,n!A883,n!B883,n!C883,n!A890)</f>
        <v>Zapasy brutto na 31.12.2023</v>
      </c>
      <c r="D87" s="955"/>
      <c r="E87" s="917">
        <f>E88+E86</f>
        <v>0</v>
      </c>
      <c r="F87" s="918"/>
      <c r="G87" s="917">
        <f>G88+G86</f>
        <v>0</v>
      </c>
      <c r="H87" s="918"/>
      <c r="I87" s="421">
        <f>I88+I86</f>
        <v>0</v>
      </c>
      <c r="J87" s="421">
        <f>J88+J86</f>
        <v>0</v>
      </c>
      <c r="K87" s="421">
        <f t="shared" si="1"/>
        <v>0</v>
      </c>
      <c r="L87" s="142" t="str">
        <f>pdz</f>
        <v>31.12.2023</v>
      </c>
    </row>
    <row r="88" spans="1:16" ht="27.95" customHeight="1">
      <c r="C88" s="955" t="str">
        <f>CHOOSE(jezyk,n!A884,n!B884,n!C884,n!A891)</f>
        <v>Zapasy netto na 31.12.2023</v>
      </c>
      <c r="D88" s="955"/>
      <c r="E88" s="917">
        <f>Bilans!K74</f>
        <v>0</v>
      </c>
      <c r="F88" s="918"/>
      <c r="G88" s="917">
        <f>Bilans!K75</f>
        <v>0</v>
      </c>
      <c r="H88" s="918"/>
      <c r="I88" s="421">
        <f>Bilans!K76</f>
        <v>0</v>
      </c>
      <c r="J88" s="421">
        <f>Bilans!K77</f>
        <v>0</v>
      </c>
      <c r="K88" s="421">
        <f t="shared" si="1"/>
        <v>0</v>
      </c>
      <c r="L88" s="146">
        <f>ROUND(K88-Bilans!K74-Bilans!K75-Bilans!K76-Bilans!K77,2)</f>
        <v>0</v>
      </c>
    </row>
    <row r="89" spans="1:16">
      <c r="C89" s="188"/>
      <c r="D89" s="188"/>
      <c r="E89" s="188"/>
      <c r="F89" s="188"/>
      <c r="G89" s="188"/>
      <c r="H89" s="188"/>
      <c r="I89" s="188"/>
      <c r="J89" s="188"/>
      <c r="K89" s="189"/>
    </row>
    <row r="90" spans="1:16">
      <c r="B90" s="111" t="s">
        <v>6829</v>
      </c>
      <c r="C90" s="725" t="str">
        <f>CHOOSE(jezyk,n!A887,n!B887,n!C887,n!D885)</f>
        <v>Informacje o przychodach, kosztach i wynikach działalności zaniechanej w roku obrotowym lub przewidzianej do zaniechania w roku następnym</v>
      </c>
      <c r="D90" s="725"/>
      <c r="E90" s="725"/>
      <c r="F90" s="725"/>
      <c r="G90" s="725"/>
      <c r="H90" s="725"/>
      <c r="I90" s="725"/>
      <c r="J90" s="725"/>
      <c r="K90" s="725"/>
    </row>
    <row r="91" spans="1:16">
      <c r="C91" s="725"/>
      <c r="D91" s="725"/>
      <c r="E91" s="725"/>
      <c r="F91" s="725"/>
      <c r="G91" s="725"/>
      <c r="H91" s="725"/>
      <c r="I91" s="725"/>
      <c r="J91" s="725"/>
      <c r="K91" s="725"/>
    </row>
    <row r="93" spans="1:16" ht="12.75" customHeight="1">
      <c r="C93" s="721" t="str">
        <f>CHOOSE(jezyk,n!A888,n!B888,n!C888,n!D886)</f>
        <v>W roku obrotowym 2024 nie zaniechano części działalności oraz nie planuje się jej zaniechania w roku kolejnym.</v>
      </c>
      <c r="D93" s="721"/>
      <c r="E93" s="721"/>
      <c r="F93" s="721"/>
      <c r="G93" s="721"/>
      <c r="H93" s="721"/>
      <c r="I93" s="721"/>
      <c r="J93" s="721"/>
      <c r="K93" s="721"/>
      <c r="L93" s="130" t="s">
        <v>6785</v>
      </c>
    </row>
    <row r="94" spans="1:16">
      <c r="C94" s="99"/>
      <c r="D94" s="99"/>
      <c r="E94" s="99"/>
      <c r="F94" s="99"/>
      <c r="G94" s="99"/>
      <c r="H94" s="99"/>
      <c r="I94" s="99"/>
      <c r="J94" s="99"/>
      <c r="K94" s="99"/>
      <c r="L94" s="130"/>
    </row>
    <row r="95" spans="1:16">
      <c r="C95" s="106" t="str">
        <f>CHOOSE(jezyk,n!A889,n!B889,n!C889,n!D887)</f>
        <v>Działalność zaniechana w roku obrotowym</v>
      </c>
      <c r="D95" s="399"/>
      <c r="E95" s="399"/>
      <c r="F95" s="399"/>
      <c r="G95" s="399"/>
      <c r="H95" s="399"/>
      <c r="I95" s="399"/>
      <c r="J95" s="399"/>
      <c r="K95" s="399"/>
      <c r="L95" s="130"/>
    </row>
    <row r="96" spans="1:16">
      <c r="C96" s="399"/>
      <c r="D96" s="399"/>
      <c r="E96" s="399"/>
      <c r="F96" s="399"/>
      <c r="G96" s="399"/>
      <c r="H96" s="399"/>
      <c r="I96" s="399"/>
      <c r="J96" s="399"/>
      <c r="K96" s="399"/>
      <c r="L96" s="130"/>
    </row>
    <row r="97" spans="3:12" ht="12.75" customHeight="1">
      <c r="C97" s="935" t="str">
        <f>CHOOSE(jezyk,n!A890,n!B890,n!C890,n!D888)</f>
        <v>Rodzaj działalności</v>
      </c>
      <c r="D97" s="935"/>
      <c r="E97" s="935"/>
      <c r="F97" s="935" t="str">
        <f>CHOOSE(jezyk,n!A891,n!B891,n!C891,n!D889)</f>
        <v>Przychody</v>
      </c>
      <c r="G97" s="935"/>
      <c r="H97" s="935" t="str">
        <f>CHOOSE(jezyk,n!A892,n!B892,n!C892,n!D890)</f>
        <v>Koszty</v>
      </c>
      <c r="I97" s="935"/>
      <c r="J97" s="935" t="str">
        <f>CHOOSE(jezyk,n!A893,n!B893,n!C893,n!D891)</f>
        <v>Wynik na działalności</v>
      </c>
      <c r="K97" s="935"/>
      <c r="L97" s="130"/>
    </row>
    <row r="98" spans="3:12">
      <c r="C98" s="935"/>
      <c r="D98" s="935"/>
      <c r="E98" s="935"/>
      <c r="F98" s="935"/>
      <c r="G98" s="935"/>
      <c r="H98" s="935"/>
      <c r="I98" s="935"/>
      <c r="J98" s="935"/>
      <c r="K98" s="935"/>
      <c r="L98" s="130"/>
    </row>
    <row r="99" spans="3:12">
      <c r="C99" s="972"/>
      <c r="D99" s="972"/>
      <c r="E99" s="972"/>
      <c r="F99" s="871"/>
      <c r="G99" s="871"/>
      <c r="H99" s="871"/>
      <c r="I99" s="871"/>
      <c r="J99" s="970">
        <f>F99-H99</f>
        <v>0</v>
      </c>
      <c r="K99" s="971"/>
      <c r="L99" s="130"/>
    </row>
    <row r="100" spans="3:12">
      <c r="C100" s="972"/>
      <c r="D100" s="972"/>
      <c r="E100" s="972"/>
      <c r="F100" s="871"/>
      <c r="G100" s="871"/>
      <c r="H100" s="871"/>
      <c r="I100" s="871"/>
      <c r="J100" s="931"/>
      <c r="K100" s="932"/>
      <c r="L100" s="130"/>
    </row>
    <row r="101" spans="3:12">
      <c r="C101" s="186"/>
      <c r="D101" s="186"/>
      <c r="E101" s="186"/>
      <c r="F101" s="186"/>
      <c r="G101" s="186"/>
      <c r="H101" s="186"/>
      <c r="I101" s="186"/>
      <c r="J101" s="186"/>
      <c r="K101" s="187"/>
      <c r="L101" s="130"/>
    </row>
    <row r="102" spans="3:12">
      <c r="C102" s="960"/>
      <c r="D102" s="960"/>
      <c r="E102" s="960"/>
      <c r="F102" s="960"/>
      <c r="G102" s="960"/>
      <c r="H102" s="960"/>
      <c r="I102" s="960"/>
      <c r="J102" s="960"/>
      <c r="K102" s="960"/>
      <c r="L102" s="130"/>
    </row>
    <row r="103" spans="3:12">
      <c r="C103" s="186"/>
      <c r="D103" s="186"/>
      <c r="E103" s="186"/>
      <c r="F103" s="186"/>
      <c r="G103" s="186"/>
      <c r="H103" s="186"/>
      <c r="I103" s="186"/>
      <c r="J103" s="186"/>
      <c r="K103" s="187"/>
      <c r="L103" s="130"/>
    </row>
    <row r="104" spans="3:12">
      <c r="C104" s="106" t="str">
        <f>CHOOSE(jezyk,n!A894,n!B894,n!C894,n!D892)</f>
        <v>Działalność przewidziana do zaniechania w następnym roku obrotowym</v>
      </c>
      <c r="D104" s="399"/>
      <c r="E104" s="399"/>
      <c r="F104" s="399"/>
      <c r="G104" s="399"/>
      <c r="H104" s="399"/>
      <c r="I104" s="399"/>
      <c r="J104" s="399"/>
      <c r="K104" s="399"/>
      <c r="L104" s="130"/>
    </row>
    <row r="105" spans="3:12">
      <c r="C105" s="399"/>
      <c r="D105" s="399"/>
      <c r="E105" s="399"/>
      <c r="F105" s="399"/>
      <c r="G105" s="399"/>
      <c r="H105" s="399"/>
      <c r="I105" s="399"/>
      <c r="J105" s="399"/>
      <c r="K105" s="399"/>
      <c r="L105" s="130"/>
    </row>
    <row r="106" spans="3:12">
      <c r="C106" s="935" t="str">
        <f>C97</f>
        <v>Rodzaj działalności</v>
      </c>
      <c r="D106" s="935"/>
      <c r="E106" s="935"/>
      <c r="F106" s="935" t="str">
        <f>F97</f>
        <v>Przychody</v>
      </c>
      <c r="G106" s="935"/>
      <c r="H106" s="935" t="str">
        <f>H97</f>
        <v>Koszty</v>
      </c>
      <c r="I106" s="935"/>
      <c r="J106" s="935" t="str">
        <f>J97</f>
        <v>Wynik na działalności</v>
      </c>
      <c r="K106" s="935"/>
      <c r="L106" s="130"/>
    </row>
    <row r="107" spans="3:12">
      <c r="C107" s="935"/>
      <c r="D107" s="935"/>
      <c r="E107" s="935"/>
      <c r="F107" s="935"/>
      <c r="G107" s="935"/>
      <c r="H107" s="935"/>
      <c r="I107" s="935"/>
      <c r="J107" s="935"/>
      <c r="K107" s="935"/>
      <c r="L107" s="130"/>
    </row>
    <row r="108" spans="3:12">
      <c r="C108" s="972"/>
      <c r="D108" s="972"/>
      <c r="E108" s="972"/>
      <c r="F108" s="871"/>
      <c r="G108" s="871"/>
      <c r="H108" s="871"/>
      <c r="I108" s="871"/>
      <c r="J108" s="970">
        <f>F108-H108</f>
        <v>0</v>
      </c>
      <c r="K108" s="971"/>
      <c r="L108" s="130"/>
    </row>
    <row r="109" spans="3:12">
      <c r="C109" s="972"/>
      <c r="D109" s="972"/>
      <c r="E109" s="972"/>
      <c r="F109" s="871"/>
      <c r="G109" s="871"/>
      <c r="H109" s="871"/>
      <c r="I109" s="871"/>
      <c r="J109" s="931"/>
      <c r="K109" s="932"/>
      <c r="L109" s="130"/>
    </row>
    <row r="110" spans="3:12">
      <c r="C110" s="186"/>
      <c r="D110" s="186"/>
      <c r="E110" s="186"/>
      <c r="F110" s="186"/>
      <c r="G110" s="186"/>
      <c r="H110" s="186"/>
      <c r="I110" s="187"/>
      <c r="J110" s="187"/>
      <c r="K110" s="187"/>
      <c r="L110" s="130"/>
    </row>
    <row r="111" spans="3:12">
      <c r="C111" s="731"/>
      <c r="D111" s="731"/>
      <c r="E111" s="731"/>
      <c r="F111" s="731"/>
      <c r="G111" s="731"/>
      <c r="H111" s="731"/>
      <c r="I111" s="731"/>
      <c r="J111" s="731"/>
      <c r="K111" s="731"/>
      <c r="L111" s="130"/>
    </row>
    <row r="114" spans="2:14" ht="12.75" customHeight="1">
      <c r="B114" s="111" t="s">
        <v>6830</v>
      </c>
      <c r="C114" s="725" t="str">
        <f>CHOOSE(jezyk,n!A895,n!B895,n!C895,n!D893)</f>
        <v>Rozliczenie głównych pozycji różniących podstawę opodatkowania podatkiem dochodowym od wyniku finansowego (zysku, straty) brutto</v>
      </c>
      <c r="D114" s="725"/>
      <c r="E114" s="725"/>
      <c r="F114" s="725"/>
      <c r="G114" s="725"/>
      <c r="H114" s="725"/>
      <c r="I114" s="725"/>
      <c r="J114" s="725"/>
      <c r="K114" s="725"/>
    </row>
    <row r="115" spans="2:14">
      <c r="C115" s="725"/>
      <c r="D115" s="725"/>
      <c r="E115" s="725"/>
      <c r="F115" s="725"/>
      <c r="G115" s="725"/>
      <c r="H115" s="725"/>
      <c r="I115" s="725"/>
      <c r="J115" s="725"/>
      <c r="K115" s="725"/>
    </row>
    <row r="116" spans="2:14">
      <c r="C116" s="405"/>
      <c r="D116" s="405"/>
      <c r="E116" s="405"/>
      <c r="F116" s="405"/>
      <c r="G116" s="405"/>
      <c r="H116" s="405"/>
      <c r="I116" s="405"/>
      <c r="J116" s="405"/>
      <c r="K116" s="405"/>
    </row>
    <row r="117" spans="2:14">
      <c r="C117" s="961" t="str">
        <f>"2.6.a "&amp;CHOOSE(jezyk,n!A896,n!B896,n!C896,n!D894)</f>
        <v>2.6.a Podatek dochodowy</v>
      </c>
      <c r="D117" s="961"/>
      <c r="E117" s="961"/>
      <c r="F117" s="961"/>
      <c r="G117" s="961"/>
      <c r="H117" s="961"/>
      <c r="I117" s="961"/>
      <c r="J117" s="961"/>
      <c r="K117" s="961"/>
    </row>
    <row r="118" spans="2:14" ht="8.25" customHeight="1">
      <c r="C118" s="405"/>
      <c r="D118" s="405"/>
      <c r="E118" s="405"/>
      <c r="F118" s="405"/>
      <c r="G118" s="405"/>
      <c r="H118" s="405"/>
      <c r="I118" s="405"/>
      <c r="J118" s="405"/>
      <c r="K118" s="405"/>
    </row>
    <row r="119" spans="2:14" ht="15" customHeight="1">
      <c r="E119" s="405"/>
      <c r="F119" s="405"/>
      <c r="G119" s="405"/>
      <c r="H119" s="405"/>
      <c r="I119" s="962" t="str">
        <f>CHOOSE(jezyk,n!A616,n!B616,n!C616,n!D614)</f>
        <v>Rok obrotowy 2024</v>
      </c>
      <c r="J119" s="962"/>
      <c r="K119" s="962"/>
    </row>
    <row r="120" spans="2:14" ht="12.75" customHeight="1">
      <c r="C120" s="190"/>
      <c r="D120" s="190"/>
      <c r="E120" s="190"/>
      <c r="F120" s="190"/>
      <c r="G120" s="190"/>
      <c r="H120" s="72"/>
      <c r="I120" s="191" t="str">
        <f>CHOOSE(jezyk,n!A909,n!B909,n!C909,n!D907)</f>
        <v>Zysk kapit.</v>
      </c>
      <c r="J120" s="191" t="str">
        <f>CHOOSE(jezyk,n!A910,n!B910,n!C910,n!D908)</f>
        <v>Inne źródła</v>
      </c>
      <c r="K120" s="192" t="str">
        <f>CHOOSE(jezyk,n!A911,n!B911,n!C911,n!D909)</f>
        <v>Łącznie:</v>
      </c>
    </row>
    <row r="121" spans="2:14">
      <c r="B121" s="80"/>
      <c r="C121" s="193" t="str">
        <f>CHOOSE(jezyk,n!A898,n!B898,n!C898,n!D896)</f>
        <v>A. Zysk (strata) brutto za dany rok</v>
      </c>
      <c r="D121" s="194"/>
      <c r="E121" s="194"/>
      <c r="F121" s="195"/>
      <c r="G121" s="195"/>
      <c r="H121" s="195"/>
      <c r="I121" s="196">
        <v>0</v>
      </c>
      <c r="J121" s="196">
        <f>IF(wrach=1,'RZiS Por. '!E74,'RZiS Kal.'!F70)</f>
        <v>458187.37000000081</v>
      </c>
      <c r="K121" s="197">
        <f>I121+J121</f>
        <v>458187.37000000081</v>
      </c>
      <c r="L121" s="179">
        <f>IF(wrach=1,ROUND(K121-'RZiS Por. '!E74,2),ROUND(K121-'RZiS Kal.'!F70,2))</f>
        <v>0</v>
      </c>
    </row>
    <row r="122" spans="2:14" ht="9.9499999999999993" customHeight="1">
      <c r="B122" s="80"/>
      <c r="C122" s="194"/>
      <c r="D122" s="194"/>
      <c r="E122" s="198"/>
      <c r="F122" s="195"/>
      <c r="G122" s="195"/>
      <c r="H122" s="195"/>
      <c r="I122" s="726"/>
      <c r="J122" s="726"/>
      <c r="K122" s="199"/>
    </row>
    <row r="123" spans="2:14" ht="27" customHeight="1">
      <c r="B123" s="88" t="s">
        <v>6831</v>
      </c>
      <c r="C123" s="924" t="str">
        <f>CHOOSE(jezyk,n!A899,n!B899,n!C899,n!D897)</f>
        <v>B. Przychody zwolnione z opodatkowania (trwałe różnice), w tym:</v>
      </c>
      <c r="D123" s="924"/>
      <c r="E123" s="924"/>
      <c r="F123" s="924"/>
      <c r="G123" s="924"/>
      <c r="H123" s="925"/>
      <c r="I123" s="197">
        <f>SUM(I124:I128)</f>
        <v>0</v>
      </c>
      <c r="J123" s="197">
        <f>SUM(J124:J128)</f>
        <v>0</v>
      </c>
      <c r="K123" s="197">
        <f>I123+J123</f>
        <v>0</v>
      </c>
    </row>
    <row r="124" spans="2:14" ht="12.75" customHeight="1">
      <c r="B124" s="80"/>
      <c r="C124" s="909" t="str">
        <f>CHOOSE(jezyk,n!A1691,n!B1691,n!C1691,n!D1689)</f>
        <v>Dotacje, subwencje na zakup ŚT, WNiP</v>
      </c>
      <c r="D124" s="909"/>
      <c r="E124" s="909"/>
      <c r="F124" s="909"/>
      <c r="G124" s="909"/>
      <c r="H124" s="910"/>
      <c r="I124" s="200">
        <v>0</v>
      </c>
      <c r="J124" s="200">
        <v>0</v>
      </c>
      <c r="K124" s="201">
        <f>SUM(I124:J124)</f>
        <v>0</v>
      </c>
      <c r="L124" s="202"/>
    </row>
    <row r="125" spans="2:14">
      <c r="B125" s="80"/>
      <c r="C125" s="909" t="str">
        <f>CHOOSE(jezyk,n!A1692,n!B1692,n!C1692,n!D1690)</f>
        <v>Dywidenda</v>
      </c>
      <c r="D125" s="909"/>
      <c r="E125" s="909"/>
      <c r="F125" s="909"/>
      <c r="G125" s="909"/>
      <c r="H125" s="910"/>
      <c r="I125" s="200">
        <v>0</v>
      </c>
      <c r="J125" s="200">
        <v>0</v>
      </c>
      <c r="K125" s="201">
        <f>SUM(I125:J125)</f>
        <v>0</v>
      </c>
      <c r="L125" s="130"/>
      <c r="N125" s="38"/>
    </row>
    <row r="126" spans="2:14">
      <c r="B126" s="80"/>
      <c r="C126" s="909" t="str">
        <f>CHOOSE(jezyk,n!A1693,n!B1693,n!C1693,n!D1691)</f>
        <v>Rożnice kursowe od podatku VAT</v>
      </c>
      <c r="D126" s="909"/>
      <c r="E126" s="909"/>
      <c r="F126" s="909"/>
      <c r="G126" s="909"/>
      <c r="H126" s="910"/>
      <c r="I126" s="200">
        <v>0</v>
      </c>
      <c r="J126" s="200">
        <v>0</v>
      </c>
      <c r="K126" s="201">
        <f>SUM(I126:J126)</f>
        <v>0</v>
      </c>
      <c r="L126" s="130"/>
      <c r="N126" s="38"/>
    </row>
    <row r="127" spans="2:14" ht="24.75" customHeight="1">
      <c r="B127" s="80"/>
      <c r="C127" s="909" t="str">
        <f>CHOOSE(jezyk,n!A1694,n!B1694,n!C1694,n!D1692)</f>
        <v>Otrzymane odsetki budżetowe oraz od nadpłaconych zobowiązań podatkowych</v>
      </c>
      <c r="D127" s="909"/>
      <c r="E127" s="909"/>
      <c r="F127" s="909"/>
      <c r="G127" s="909"/>
      <c r="H127" s="910"/>
      <c r="I127" s="200">
        <v>0</v>
      </c>
      <c r="J127" s="200">
        <v>0</v>
      </c>
      <c r="K127" s="201">
        <f>SUM(I127:J127)</f>
        <v>0</v>
      </c>
    </row>
    <row r="128" spans="2:14">
      <c r="B128" s="80"/>
      <c r="C128" s="911" t="str">
        <f>CHOOSE(jezyk,n!A1747,n!B1747,n!C1747,n!D1745)</f>
        <v>Pozostałe</v>
      </c>
      <c r="D128" s="911"/>
      <c r="E128" s="911"/>
      <c r="F128" s="911"/>
      <c r="G128" s="911"/>
      <c r="H128" s="912"/>
      <c r="I128" s="200">
        <v>0</v>
      </c>
      <c r="J128" s="200">
        <v>0</v>
      </c>
      <c r="K128" s="201">
        <f>SUM(I128:J128)</f>
        <v>0</v>
      </c>
    </row>
    <row r="129" spans="2:12" ht="9.9499999999999993" customHeight="1">
      <c r="B129" s="80"/>
      <c r="C129" s="194"/>
      <c r="D129" s="194"/>
      <c r="E129" s="198"/>
      <c r="F129" s="195"/>
      <c r="G129" s="195"/>
      <c r="H129" s="195"/>
      <c r="I129" s="726"/>
      <c r="J129" s="726"/>
      <c r="K129" s="88"/>
    </row>
    <row r="130" spans="2:12" ht="26.25" customHeight="1">
      <c r="B130" s="88" t="s">
        <v>6831</v>
      </c>
      <c r="C130" s="924" t="str">
        <f>CHOOSE(jezyk,n!A900,n!B900,n!C900,n!D898)</f>
        <v>C. Przychody niepodlegające opodatkowaniu w roku bieżącym, w tym:</v>
      </c>
      <c r="D130" s="924"/>
      <c r="E130" s="924"/>
      <c r="F130" s="924"/>
      <c r="G130" s="924"/>
      <c r="H130" s="925"/>
      <c r="I130" s="197">
        <f>SUM(I131:I140)</f>
        <v>0</v>
      </c>
      <c r="J130" s="197">
        <f>SUM(J131:J140)</f>
        <v>0</v>
      </c>
      <c r="K130" s="197">
        <f>I130+J130</f>
        <v>0</v>
      </c>
      <c r="L130" s="130" t="s">
        <v>6832</v>
      </c>
    </row>
    <row r="131" spans="2:12" ht="12.75" customHeight="1">
      <c r="B131" s="80"/>
      <c r="C131" s="911" t="str">
        <f>CHOOSE(jezyk,n!A1696,n!B1696,n!C1696,n!D1694)</f>
        <v>Różnice kursowe dodatnie niezrealizowane</v>
      </c>
      <c r="D131" s="911"/>
      <c r="E131" s="911"/>
      <c r="F131" s="911"/>
      <c r="G131" s="911"/>
      <c r="H131" s="912"/>
      <c r="I131" s="200">
        <v>0</v>
      </c>
      <c r="J131" s="200">
        <v>0</v>
      </c>
      <c r="K131" s="201">
        <f t="shared" ref="K131:K140" si="2">SUM(I131:J131)</f>
        <v>0</v>
      </c>
    </row>
    <row r="132" spans="2:12" ht="12.75" customHeight="1">
      <c r="B132" s="80"/>
      <c r="C132" s="909" t="str">
        <f>CHOOSE(jezyk,n!A1697,n!B1697,n!C1697,n!D1695)</f>
        <v>Rozwiązane rezerwy na koszty utworzone w latach ubiegłych</v>
      </c>
      <c r="D132" s="909"/>
      <c r="E132" s="909"/>
      <c r="F132" s="909"/>
      <c r="G132" s="909"/>
      <c r="H132" s="910"/>
      <c r="I132" s="200">
        <v>0</v>
      </c>
      <c r="J132" s="200">
        <v>0</v>
      </c>
      <c r="K132" s="201">
        <f t="shared" si="2"/>
        <v>0</v>
      </c>
    </row>
    <row r="133" spans="2:12" ht="12.75" customHeight="1">
      <c r="B133" s="80"/>
      <c r="C133" s="911" t="str">
        <f>CHOOSE(jezyk,n!A1698,n!B1698,n!C1698,n!D1696)</f>
        <v>Faktury korygujące wystawione w następnym roku podatkowym</v>
      </c>
      <c r="D133" s="911"/>
      <c r="E133" s="911"/>
      <c r="F133" s="911"/>
      <c r="G133" s="911"/>
      <c r="H133" s="912"/>
      <c r="I133" s="200">
        <v>0</v>
      </c>
      <c r="J133" s="200">
        <v>0</v>
      </c>
      <c r="K133" s="201">
        <f t="shared" si="2"/>
        <v>0</v>
      </c>
    </row>
    <row r="134" spans="2:12" ht="12.75" customHeight="1">
      <c r="B134" s="80"/>
      <c r="C134" s="911" t="str">
        <f>CHOOSE(jezyk,n!A1699,n!B1699,n!C1699,n!D1697)</f>
        <v>Utworzone rezerwy na przychody</v>
      </c>
      <c r="D134" s="911"/>
      <c r="E134" s="911"/>
      <c r="F134" s="911"/>
      <c r="G134" s="911"/>
      <c r="H134" s="912"/>
      <c r="I134" s="200">
        <v>0</v>
      </c>
      <c r="J134" s="200">
        <v>0</v>
      </c>
      <c r="K134" s="201">
        <f t="shared" si="2"/>
        <v>0</v>
      </c>
    </row>
    <row r="135" spans="2:12" ht="12.75" customHeight="1">
      <c r="B135" s="80"/>
      <c r="C135" s="911" t="str">
        <f>CHOOSE(jezyk,n!A1700,n!B1700,n!C1700,n!D1698)</f>
        <v>Bilansowa aktualizacja wartośći aktywów trwałych</v>
      </c>
      <c r="D135" s="911"/>
      <c r="E135" s="911"/>
      <c r="F135" s="911"/>
      <c r="G135" s="911"/>
      <c r="H135" s="912"/>
      <c r="I135" s="200">
        <v>0</v>
      </c>
      <c r="J135" s="200">
        <v>0</v>
      </c>
      <c r="K135" s="201">
        <f t="shared" ref="K135:K136" si="3">SUM(I135:J135)</f>
        <v>0</v>
      </c>
    </row>
    <row r="136" spans="2:12" ht="12.75" customHeight="1">
      <c r="B136" s="80"/>
      <c r="C136" s="911" t="str">
        <f>CHOOSE(jezyk,n!A1701,n!B1701,n!C1701,n!D1699)</f>
        <v>Bilansowa aktualizacja wartośći aktywów finansowych</v>
      </c>
      <c r="D136" s="911"/>
      <c r="E136" s="911"/>
      <c r="F136" s="911"/>
      <c r="G136" s="911"/>
      <c r="H136" s="912"/>
      <c r="I136" s="200">
        <v>0</v>
      </c>
      <c r="J136" s="200">
        <v>0</v>
      </c>
      <c r="K136" s="201">
        <f t="shared" si="3"/>
        <v>0</v>
      </c>
    </row>
    <row r="137" spans="2:12" ht="39" customHeight="1">
      <c r="B137" s="80"/>
      <c r="C137" s="909" t="str">
        <f>CHOOSE(jezyk,n!A1702,n!B1702,n!C1702,n!D1698)</f>
        <v>Pobrane wpłaty lub zarachowane należności na poczet dostaw towarów i usług, które zostaną wykonane w następnych okresach sprawozdawczych, a także otrzymane lub zwrócone pożyczki (kredyty)</v>
      </c>
      <c r="D137" s="909"/>
      <c r="E137" s="909"/>
      <c r="F137" s="909"/>
      <c r="G137" s="909"/>
      <c r="H137" s="910"/>
      <c r="I137" s="200">
        <v>0</v>
      </c>
      <c r="J137" s="200">
        <v>0</v>
      </c>
      <c r="K137" s="201">
        <f t="shared" si="2"/>
        <v>0</v>
      </c>
    </row>
    <row r="138" spans="2:12" ht="12.75" customHeight="1">
      <c r="B138" s="80"/>
      <c r="C138" s="911" t="str">
        <f>CHOOSE(jezyk,n!A1703,n!B1703,n!C1703,n!D1699)</f>
        <v>Naliczone odsetki</v>
      </c>
      <c r="D138" s="911"/>
      <c r="E138" s="911"/>
      <c r="F138" s="911"/>
      <c r="G138" s="911"/>
      <c r="H138" s="912"/>
      <c r="I138" s="200">
        <v>0</v>
      </c>
      <c r="J138" s="200">
        <v>0</v>
      </c>
      <c r="K138" s="201">
        <f t="shared" si="2"/>
        <v>0</v>
      </c>
    </row>
    <row r="139" spans="2:12" ht="12.75" customHeight="1">
      <c r="B139" s="80"/>
      <c r="C139" s="909" t="str">
        <f>CHOOSE(jezyk,n!A1704,n!B1704,n!C1704,n!D1702)</f>
        <v>Rozwiązanie odpisu na należności</v>
      </c>
      <c r="D139" s="909"/>
      <c r="E139" s="909"/>
      <c r="F139" s="909"/>
      <c r="G139" s="909"/>
      <c r="H139" s="910"/>
      <c r="I139" s="200">
        <v>0</v>
      </c>
      <c r="J139" s="200">
        <v>0</v>
      </c>
      <c r="K139" s="201">
        <f t="shared" si="2"/>
        <v>0</v>
      </c>
    </row>
    <row r="140" spans="2:12">
      <c r="B140" s="80"/>
      <c r="C140" s="911" t="str">
        <f>CHOOSE(jezyk,n!A1747,n!B1747,n!C1747,n!D1745)</f>
        <v>Pozostałe</v>
      </c>
      <c r="D140" s="911"/>
      <c r="E140" s="911"/>
      <c r="F140" s="911"/>
      <c r="G140" s="911"/>
      <c r="H140" s="912"/>
      <c r="I140" s="200">
        <v>0</v>
      </c>
      <c r="J140" s="200">
        <v>0</v>
      </c>
      <c r="K140" s="201">
        <f t="shared" si="2"/>
        <v>0</v>
      </c>
    </row>
    <row r="141" spans="2:12" ht="9.9499999999999993" customHeight="1">
      <c r="B141" s="80"/>
      <c r="C141" s="194"/>
      <c r="D141" s="194"/>
      <c r="E141" s="198"/>
      <c r="F141" s="195"/>
      <c r="G141" s="195"/>
      <c r="H141" s="195"/>
      <c r="I141" s="101"/>
      <c r="J141" s="101"/>
      <c r="K141" s="88"/>
    </row>
    <row r="142" spans="2:12" ht="26.25" customHeight="1">
      <c r="B142" s="88" t="s">
        <v>6833</v>
      </c>
      <c r="C142" s="924" t="str">
        <f>CHOOSE(jezyk,n!A901,n!B901,n!C901,n!D899)</f>
        <v>D. Przychody podlegające opodatkowaniu w roku bieżącym, ujęte w księgach rachunkowych lat ubiegłych w tym:</v>
      </c>
      <c r="D142" s="924"/>
      <c r="E142" s="924"/>
      <c r="F142" s="924"/>
      <c r="G142" s="924"/>
      <c r="H142" s="925"/>
      <c r="I142" s="197">
        <f>SUM(I143:I147)</f>
        <v>0</v>
      </c>
      <c r="J142" s="197">
        <f>SUM(J143:J147)</f>
        <v>0</v>
      </c>
      <c r="K142" s="197">
        <f>I142+J142</f>
        <v>0</v>
      </c>
    </row>
    <row r="143" spans="2:12" ht="26.25" customHeight="1">
      <c r="B143" s="80"/>
      <c r="C143" s="909" t="str">
        <f>CHOOSE(jezyk,n!A1706,n!B1706,n!C1706,n!D1704)</f>
        <v>Faktury korygujące przychody wystawione w bieżącym roku obrotowym, a dotyczące roku poprzedniego</v>
      </c>
      <c r="D143" s="909"/>
      <c r="E143" s="909"/>
      <c r="F143" s="909"/>
      <c r="G143" s="909"/>
      <c r="H143" s="910"/>
      <c r="I143" s="200">
        <v>0</v>
      </c>
      <c r="J143" s="200">
        <v>0</v>
      </c>
      <c r="K143" s="201">
        <f>SUM(I143:J143)</f>
        <v>0</v>
      </c>
    </row>
    <row r="144" spans="2:12">
      <c r="B144" s="80"/>
      <c r="C144" s="909" t="str">
        <f>CHOOSE(jezyk,n!A1707,n!B1707,n!C1707,n!D1705)</f>
        <v>Odsetki naliczone w roku poprzednim otrzymane w roku bieżącym</v>
      </c>
      <c r="D144" s="909"/>
      <c r="E144" s="909"/>
      <c r="F144" s="909"/>
      <c r="G144" s="909"/>
      <c r="H144" s="910"/>
      <c r="I144" s="200">
        <v>0</v>
      </c>
      <c r="J144" s="200">
        <v>0</v>
      </c>
      <c r="K144" s="201">
        <f>SUM(I144:J144)</f>
        <v>0</v>
      </c>
    </row>
    <row r="145" spans="2:11">
      <c r="B145" s="80"/>
      <c r="C145" s="909" t="str">
        <f>CHOOSE(jezyk,n!A1708,n!B1708,n!C1708,n!D1706)</f>
        <v>Zafakturowane szacunki przychodów</v>
      </c>
      <c r="D145" s="909"/>
      <c r="E145" s="909"/>
      <c r="F145" s="909"/>
      <c r="G145" s="909"/>
      <c r="H145" s="910"/>
      <c r="I145" s="200">
        <v>0</v>
      </c>
      <c r="J145" s="200">
        <v>0</v>
      </c>
      <c r="K145" s="201">
        <f t="shared" ref="K145:K146" si="4">SUM(I145:J145)</f>
        <v>0</v>
      </c>
    </row>
    <row r="146" spans="2:11">
      <c r="B146" s="80"/>
      <c r="C146" s="909" t="str">
        <f>CHOOSE(jezyk,n!A1709,n!B1709,n!C1709,n!D1707)</f>
        <v>Otrzymane nieodpłatne świadczenia</v>
      </c>
      <c r="D146" s="909"/>
      <c r="E146" s="909"/>
      <c r="F146" s="909"/>
      <c r="G146" s="909"/>
      <c r="H146" s="910"/>
      <c r="I146" s="200">
        <v>0</v>
      </c>
      <c r="J146" s="200">
        <v>0</v>
      </c>
      <c r="K146" s="201">
        <f t="shared" si="4"/>
        <v>0</v>
      </c>
    </row>
    <row r="147" spans="2:11">
      <c r="B147" s="80"/>
      <c r="C147" s="909" t="str">
        <f>CHOOSE(jezyk,n!A1747,n!B1747,n!C1747,n!D1745)</f>
        <v>Pozostałe</v>
      </c>
      <c r="D147" s="909"/>
      <c r="E147" s="909"/>
      <c r="F147" s="909"/>
      <c r="G147" s="909"/>
      <c r="H147" s="910"/>
      <c r="I147" s="200">
        <v>0</v>
      </c>
      <c r="J147" s="200">
        <v>0</v>
      </c>
      <c r="K147" s="201">
        <f>SUM(I147:J147)</f>
        <v>0</v>
      </c>
    </row>
    <row r="148" spans="2:11" ht="9.9499999999999993" customHeight="1">
      <c r="B148" s="80"/>
      <c r="C148" s="203"/>
      <c r="D148" s="194"/>
      <c r="E148" s="198"/>
      <c r="F148" s="195"/>
      <c r="G148" s="195"/>
      <c r="H148" s="195"/>
      <c r="I148" s="726"/>
      <c r="J148" s="726"/>
      <c r="K148" s="88"/>
    </row>
    <row r="149" spans="2:11" ht="27.75" customHeight="1">
      <c r="B149" s="88" t="s">
        <v>6833</v>
      </c>
      <c r="C149" s="924" t="str">
        <f>CHOOSE(jezyk,n!A902,n!B902,n!C902,n!D900)</f>
        <v>E. Koszty niestanowiące kosztów uzyskania przychodów (trwałe różnice), w tym:</v>
      </c>
      <c r="D149" s="924"/>
      <c r="E149" s="924"/>
      <c r="F149" s="924"/>
      <c r="G149" s="924"/>
      <c r="H149" s="925"/>
      <c r="I149" s="197">
        <f>SUM(I150:I163)</f>
        <v>0</v>
      </c>
      <c r="J149" s="197">
        <f>SUM(J150:J163)</f>
        <v>0</v>
      </c>
      <c r="K149" s="197">
        <f>I149+J149</f>
        <v>0</v>
      </c>
    </row>
    <row r="150" spans="2:11" ht="12.75" customHeight="1">
      <c r="B150" s="80"/>
      <c r="C150" s="909" t="str">
        <f>CHOOSE(jezyk,n!A1711,n!B1711,n!C1711,n!D1707)</f>
        <v xml:space="preserve">Koszty dotyczące samochodów wynajmowanych powyżej limitu </v>
      </c>
      <c r="D150" s="909"/>
      <c r="E150" s="909"/>
      <c r="F150" s="909"/>
      <c r="G150" s="909"/>
      <c r="H150" s="910"/>
      <c r="I150" s="200">
        <v>0</v>
      </c>
      <c r="J150" s="200">
        <v>0</v>
      </c>
      <c r="K150" s="201">
        <f t="shared" ref="K150:K163" si="5">SUM(I150:J150)</f>
        <v>0</v>
      </c>
    </row>
    <row r="151" spans="2:11" ht="25.5" customHeight="1">
      <c r="B151" s="80"/>
      <c r="C151" s="909" t="str">
        <f>CHOOSE(jezyk,n!A1712,n!B1712,n!C1712,n!D1708)</f>
        <v>Koszty używania samochodów osobowych do celów mieszanych (25%)</v>
      </c>
      <c r="D151" s="909"/>
      <c r="E151" s="909"/>
      <c r="F151" s="909"/>
      <c r="G151" s="909"/>
      <c r="H151" s="910"/>
      <c r="I151" s="200">
        <v>0</v>
      </c>
      <c r="J151" s="200">
        <v>0</v>
      </c>
      <c r="K151" s="201">
        <f t="shared" ref="K151" si="6">SUM(I151:J151)</f>
        <v>0</v>
      </c>
    </row>
    <row r="152" spans="2:11" ht="12.75" customHeight="1">
      <c r="B152" s="80"/>
      <c r="C152" s="909" t="str">
        <f>CHOOSE(jezyk,n!A1713,n!B1713,n!C1713,n!D1709)</f>
        <v>PFRON</v>
      </c>
      <c r="D152" s="909"/>
      <c r="E152" s="909"/>
      <c r="F152" s="909"/>
      <c r="G152" s="909"/>
      <c r="H152" s="910"/>
      <c r="I152" s="200">
        <v>0</v>
      </c>
      <c r="J152" s="200">
        <v>0</v>
      </c>
      <c r="K152" s="201">
        <f t="shared" si="5"/>
        <v>0</v>
      </c>
    </row>
    <row r="153" spans="2:11" ht="12.75" customHeight="1">
      <c r="B153" s="80"/>
      <c r="C153" s="909" t="str">
        <f>CHOOSE(jezyk,n!A1714,n!B1714,n!C1714,n!D1710)</f>
        <v>Przekazane darowizny</v>
      </c>
      <c r="D153" s="909"/>
      <c r="E153" s="909"/>
      <c r="F153" s="909"/>
      <c r="G153" s="909"/>
      <c r="H153" s="910"/>
      <c r="I153" s="200">
        <v>0</v>
      </c>
      <c r="J153" s="200">
        <v>0</v>
      </c>
      <c r="K153" s="201">
        <f t="shared" si="5"/>
        <v>0</v>
      </c>
    </row>
    <row r="154" spans="2:11" ht="12.75" customHeight="1">
      <c r="B154" s="80"/>
      <c r="C154" s="909" t="str">
        <f>CHOOSE(jezyk,n!A1715,n!B1715,n!C1715,n!D1711)</f>
        <v>Składki członkowskie</v>
      </c>
      <c r="D154" s="909"/>
      <c r="E154" s="909"/>
      <c r="F154" s="909"/>
      <c r="G154" s="909"/>
      <c r="H154" s="910"/>
      <c r="I154" s="200">
        <v>0</v>
      </c>
      <c r="J154" s="200">
        <v>0</v>
      </c>
      <c r="K154" s="201">
        <f t="shared" si="5"/>
        <v>0</v>
      </c>
    </row>
    <row r="155" spans="2:11" ht="12.75" customHeight="1">
      <c r="B155" s="80"/>
      <c r="C155" s="909" t="str">
        <f>CHOOSE(jezyk,n!A1716,n!B1716,n!C1716,n!D1712)</f>
        <v>Diety powyżej limitów</v>
      </c>
      <c r="D155" s="909"/>
      <c r="E155" s="909"/>
      <c r="F155" s="909"/>
      <c r="G155" s="909"/>
      <c r="H155" s="910"/>
      <c r="I155" s="200">
        <v>0</v>
      </c>
      <c r="J155" s="200">
        <v>0</v>
      </c>
      <c r="K155" s="201">
        <f t="shared" si="5"/>
        <v>0</v>
      </c>
    </row>
    <row r="156" spans="2:11" ht="12.75" customHeight="1">
      <c r="B156" s="80"/>
      <c r="C156" s="909" t="str">
        <f>CHOOSE(jezyk,n!A1717,n!B1717,n!C1717,n!D1713)</f>
        <v>Ubezpieczenie samochodu o wartości powyżej 150 TPLN</v>
      </c>
      <c r="D156" s="909"/>
      <c r="E156" s="909"/>
      <c r="F156" s="909"/>
      <c r="G156" s="909"/>
      <c r="H156" s="910"/>
      <c r="I156" s="200">
        <v>0</v>
      </c>
      <c r="J156" s="200">
        <v>0</v>
      </c>
      <c r="K156" s="201">
        <f t="shared" ref="K156:K158" si="7">SUM(I156:J156)</f>
        <v>0</v>
      </c>
    </row>
    <row r="157" spans="2:11" ht="28.5" customHeight="1">
      <c r="B157" s="80"/>
      <c r="C157" s="909" t="str">
        <f>CHOOSE(jezyk,n!A1718,n!B1718,n!C1718,n!D1714)</f>
        <v>Amortyzacja samochodów osobowych o wartości powyżej 150 TPLN</v>
      </c>
      <c r="D157" s="909"/>
      <c r="E157" s="909"/>
      <c r="F157" s="909"/>
      <c r="G157" s="909"/>
      <c r="H157" s="910"/>
      <c r="I157" s="200">
        <v>0</v>
      </c>
      <c r="J157" s="200">
        <v>0</v>
      </c>
      <c r="K157" s="201">
        <f t="shared" si="7"/>
        <v>0</v>
      </c>
    </row>
    <row r="158" spans="2:11" ht="27.75" customHeight="1">
      <c r="B158" s="80"/>
      <c r="C158" s="909" t="str">
        <f>CHOOSE(jezyk,n!A1719,n!B1719,n!C1719,n!D1715)</f>
        <v>Amortyzacja bilansowa odmiennie rozliczana od amortyzacji podatkowej</v>
      </c>
      <c r="D158" s="909"/>
      <c r="E158" s="909"/>
      <c r="F158" s="909"/>
      <c r="G158" s="909"/>
      <c r="H158" s="910"/>
      <c r="I158" s="200">
        <v>0</v>
      </c>
      <c r="J158" s="200">
        <v>0</v>
      </c>
      <c r="K158" s="201">
        <f t="shared" si="7"/>
        <v>0</v>
      </c>
    </row>
    <row r="159" spans="2:11" ht="12.75" customHeight="1">
      <c r="B159" s="80"/>
      <c r="C159" s="909" t="str">
        <f>CHOOSE(jezyk,n!A1720,n!B1720,n!C1720,n!#REF!)</f>
        <v>Koszty reprezentacji</v>
      </c>
      <c r="D159" s="909"/>
      <c r="E159" s="909"/>
      <c r="F159" s="909"/>
      <c r="G159" s="909"/>
      <c r="H159" s="910"/>
      <c r="I159" s="200">
        <v>0</v>
      </c>
      <c r="J159" s="200">
        <v>0</v>
      </c>
      <c r="K159" s="201">
        <f t="shared" si="5"/>
        <v>0</v>
      </c>
    </row>
    <row r="160" spans="2:11" ht="12.75" customHeight="1">
      <c r="B160" s="80"/>
      <c r="C160" s="909" t="str">
        <f>CHOOSE(jezyk,n!A1721,n!B1721,n!C1721,n!#REF!)</f>
        <v>Kary umowne oraz odszkodowania za nieterminowe dostawy</v>
      </c>
      <c r="D160" s="909"/>
      <c r="E160" s="909"/>
      <c r="F160" s="909"/>
      <c r="G160" s="909"/>
      <c r="H160" s="910"/>
      <c r="I160" s="200">
        <v>0</v>
      </c>
      <c r="J160" s="200">
        <v>0</v>
      </c>
      <c r="K160" s="201">
        <f t="shared" si="5"/>
        <v>0</v>
      </c>
    </row>
    <row r="161" spans="2:12" ht="12.75" customHeight="1">
      <c r="B161" s="80"/>
      <c r="C161" s="909" t="str">
        <f>CHOOSE(jezyk,n!A1722,n!B1722,n!C1722,n!D1720)</f>
        <v>Odsetki budżetowe</v>
      </c>
      <c r="D161" s="909"/>
      <c r="E161" s="909"/>
      <c r="F161" s="909"/>
      <c r="G161" s="909"/>
      <c r="H161" s="910"/>
      <c r="I161" s="200">
        <v>0</v>
      </c>
      <c r="J161" s="200">
        <v>0</v>
      </c>
      <c r="K161" s="201">
        <f t="shared" si="5"/>
        <v>0</v>
      </c>
    </row>
    <row r="162" spans="2:12" ht="12.75" customHeight="1">
      <c r="B162" s="80"/>
      <c r="C162" s="909" t="str">
        <f>CHOOSE(jezyk,n!A1723,n!B1723,n!C1723,n!D1721)</f>
        <v>Koszty finansowania dłużnego</v>
      </c>
      <c r="D162" s="909"/>
      <c r="E162" s="909"/>
      <c r="F162" s="909"/>
      <c r="G162" s="909"/>
      <c r="H162" s="910"/>
      <c r="I162" s="200">
        <v>0</v>
      </c>
      <c r="J162" s="200">
        <v>0</v>
      </c>
      <c r="K162" s="201">
        <f t="shared" ref="K162" si="8">SUM(I162:J162)</f>
        <v>0</v>
      </c>
    </row>
    <row r="163" spans="2:12">
      <c r="B163" s="80"/>
      <c r="C163" s="909" t="str">
        <f>CHOOSE(jezyk,n!A1747,n!B1747,n!C1747,n!D1745)</f>
        <v>Pozostałe</v>
      </c>
      <c r="D163" s="909"/>
      <c r="E163" s="909"/>
      <c r="F163" s="909"/>
      <c r="G163" s="909"/>
      <c r="H163" s="910"/>
      <c r="I163" s="200">
        <v>0</v>
      </c>
      <c r="J163" s="200">
        <v>0</v>
      </c>
      <c r="K163" s="201">
        <f t="shared" si="5"/>
        <v>0</v>
      </c>
    </row>
    <row r="164" spans="2:12" ht="9" hidden="1" customHeight="1">
      <c r="B164" s="80"/>
      <c r="C164" s="203"/>
      <c r="D164" s="194"/>
      <c r="E164" s="198"/>
      <c r="F164" s="195"/>
      <c r="G164" s="195"/>
      <c r="H164" s="195"/>
      <c r="I164" s="101"/>
      <c r="J164" s="101"/>
      <c r="K164" s="88"/>
    </row>
    <row r="165" spans="2:12" ht="12.75" hidden="1" customHeight="1">
      <c r="B165" s="80"/>
      <c r="C165" s="203"/>
      <c r="D165" s="194"/>
      <c r="E165" s="198"/>
      <c r="F165" s="195"/>
      <c r="G165" s="195"/>
      <c r="H165" s="195"/>
      <c r="I165" s="191" t="str">
        <f>I120</f>
        <v>Zysk kapit.</v>
      </c>
      <c r="J165" s="191" t="str">
        <f>J120</f>
        <v>Inne źródła</v>
      </c>
      <c r="K165" s="204" t="str">
        <f>K120</f>
        <v>Łącznie:</v>
      </c>
      <c r="L165" s="212" t="s">
        <v>6834</v>
      </c>
    </row>
    <row r="166" spans="2:12" ht="9.9499999999999993" customHeight="1">
      <c r="B166" s="80"/>
      <c r="C166" s="203"/>
      <c r="D166" s="194"/>
      <c r="E166" s="198"/>
      <c r="F166" s="195"/>
      <c r="G166" s="195"/>
      <c r="H166" s="195"/>
      <c r="I166" s="72"/>
      <c r="J166" s="72"/>
      <c r="K166" s="72"/>
    </row>
    <row r="167" spans="2:12" ht="27" customHeight="1">
      <c r="B167" s="88" t="s">
        <v>6833</v>
      </c>
      <c r="C167" s="924" t="str">
        <f>CHOOSE(jezyk,n!A903,n!B903,n!C903,n!D901)</f>
        <v>F. Koszty nieuznawane za koszty uzyskania przychodów w bieżącym roku, w tym:</v>
      </c>
      <c r="D167" s="924"/>
      <c r="E167" s="924"/>
      <c r="F167" s="924"/>
      <c r="G167" s="924"/>
      <c r="H167" s="925"/>
      <c r="I167" s="197">
        <f>SUM(I168:I179)</f>
        <v>0</v>
      </c>
      <c r="J167" s="197">
        <f>SUM(J168:J179)</f>
        <v>0</v>
      </c>
      <c r="K167" s="197">
        <f>SUM(I168:J179)</f>
        <v>0</v>
      </c>
    </row>
    <row r="168" spans="2:12">
      <c r="B168" s="88"/>
      <c r="C168" s="909" t="str">
        <f>CHOOSE(jezyk,n!A1725,n!B1725,n!C1725,n!D1720)</f>
        <v>Odpisy aktualizujące aktywa trwałe</v>
      </c>
      <c r="D168" s="909"/>
      <c r="E168" s="909"/>
      <c r="F168" s="909"/>
      <c r="G168" s="909"/>
      <c r="H168" s="910"/>
      <c r="I168" s="200">
        <v>0</v>
      </c>
      <c r="J168" s="200">
        <v>0</v>
      </c>
      <c r="K168" s="201">
        <f t="shared" ref="K168:K169" si="9">SUM(I168:J168)</f>
        <v>0</v>
      </c>
    </row>
    <row r="169" spans="2:12">
      <c r="B169" s="88"/>
      <c r="C169" s="909" t="str">
        <f>CHOOSE(jezyk,n!A1726,n!B1726,n!C1726,n!D1721)</f>
        <v>Odpisy aktualizujące zapasy</v>
      </c>
      <c r="D169" s="909"/>
      <c r="E169" s="909"/>
      <c r="F169" s="909"/>
      <c r="G169" s="909"/>
      <c r="H169" s="910"/>
      <c r="I169" s="200">
        <v>0</v>
      </c>
      <c r="J169" s="200">
        <v>0</v>
      </c>
      <c r="K169" s="201">
        <f t="shared" si="9"/>
        <v>0</v>
      </c>
    </row>
    <row r="170" spans="2:12" ht="12.75" customHeight="1">
      <c r="B170" s="80"/>
      <c r="C170" s="909" t="str">
        <f>CHOOSE(jezyk,n!A1727,n!B1727,n!C1727,n!D1722)</f>
        <v>Odpisy aktualizujące należności</v>
      </c>
      <c r="D170" s="909"/>
      <c r="E170" s="909"/>
      <c r="F170" s="909"/>
      <c r="G170" s="909"/>
      <c r="H170" s="910"/>
      <c r="I170" s="200">
        <v>0</v>
      </c>
      <c r="J170" s="200">
        <v>0</v>
      </c>
      <c r="K170" s="201">
        <f t="shared" ref="K170:K179" si="10">SUM(I170:J170)</f>
        <v>0</v>
      </c>
    </row>
    <row r="171" spans="2:12" ht="12.75" customHeight="1">
      <c r="B171" s="80"/>
      <c r="C171" s="909" t="str">
        <f>CHOOSE(jezyk,n!A1728,n!B1728,n!C1728,n!D1723)</f>
        <v>Odpisy aktualizujące aktywa finansowe</v>
      </c>
      <c r="D171" s="909"/>
      <c r="E171" s="909"/>
      <c r="F171" s="909"/>
      <c r="G171" s="909"/>
      <c r="H171" s="910"/>
      <c r="I171" s="200">
        <v>0</v>
      </c>
      <c r="J171" s="200">
        <v>0</v>
      </c>
      <c r="K171" s="201">
        <f t="shared" ref="K171:K172" si="11">SUM(I171:J171)</f>
        <v>0</v>
      </c>
    </row>
    <row r="172" spans="2:12" ht="12.75" customHeight="1">
      <c r="B172" s="80"/>
      <c r="C172" s="909" t="str">
        <f>CHOOSE(jezyk,n!A1729,n!B1729,n!C1729,n!D1724)</f>
        <v>Amortyzacja bilansowa odmiennie rozliczana od amortyzacji podatkowej</v>
      </c>
      <c r="D172" s="909"/>
      <c r="E172" s="909"/>
      <c r="F172" s="909"/>
      <c r="G172" s="909"/>
      <c r="H172" s="910"/>
      <c r="I172" s="200">
        <v>0</v>
      </c>
      <c r="J172" s="200">
        <v>0</v>
      </c>
      <c r="K172" s="201">
        <f t="shared" si="11"/>
        <v>0</v>
      </c>
    </row>
    <row r="173" spans="2:12" ht="12.75" customHeight="1">
      <c r="B173" s="80"/>
      <c r="C173" s="909" t="str">
        <f>CHOOSE(jezyk,n!A1730,n!B1730,n!C1730,n!D1724)</f>
        <v>Różnice kursowe ujemne niezrealizowane</v>
      </c>
      <c r="D173" s="909"/>
      <c r="E173" s="909"/>
      <c r="F173" s="909"/>
      <c r="G173" s="909"/>
      <c r="H173" s="910"/>
      <c r="I173" s="200">
        <v>0</v>
      </c>
      <c r="J173" s="200">
        <v>0</v>
      </c>
      <c r="K173" s="201">
        <f t="shared" si="10"/>
        <v>0</v>
      </c>
    </row>
    <row r="174" spans="2:12">
      <c r="B174" s="80"/>
      <c r="C174" s="909" t="str">
        <f>CHOOSE(jezyk,n!A1731,n!B1731,n!C1731,n!D1727)</f>
        <v>Nieopłacone do ZUS składki - narzuty na wynagrodzenia</v>
      </c>
      <c r="D174" s="909"/>
      <c r="E174" s="909"/>
      <c r="F174" s="909"/>
      <c r="G174" s="909"/>
      <c r="H174" s="910"/>
      <c r="I174" s="200">
        <v>0</v>
      </c>
      <c r="J174" s="200">
        <v>0</v>
      </c>
      <c r="K174" s="201">
        <f t="shared" si="10"/>
        <v>0</v>
      </c>
    </row>
    <row r="175" spans="2:12" ht="12.75" customHeight="1">
      <c r="B175" s="80"/>
      <c r="C175" s="909" t="str">
        <f>CHOOSE(jezyk,n!A1732,n!B1732,n!C1732,n!D1730)</f>
        <v>Niewypłacone w terminie wynagrodzenia</v>
      </c>
      <c r="D175" s="909"/>
      <c r="E175" s="909"/>
      <c r="F175" s="909"/>
      <c r="G175" s="909"/>
      <c r="H175" s="910"/>
      <c r="I175" s="200">
        <v>0</v>
      </c>
      <c r="J175" s="200">
        <v>0</v>
      </c>
      <c r="K175" s="201">
        <f t="shared" si="10"/>
        <v>0</v>
      </c>
    </row>
    <row r="176" spans="2:12" ht="12.75" customHeight="1">
      <c r="B176" s="80"/>
      <c r="C176" s="909" t="str">
        <f>CHOOSE(jezyk,n!A1733,n!B1733,n!C1733,n!D1731)</f>
        <v>Utworzone rezerwy</v>
      </c>
      <c r="D176" s="909"/>
      <c r="E176" s="909"/>
      <c r="F176" s="909"/>
      <c r="G176" s="909"/>
      <c r="H176" s="910"/>
      <c r="I176" s="200">
        <v>0</v>
      </c>
      <c r="J176" s="200">
        <v>0</v>
      </c>
      <c r="K176" s="201">
        <f t="shared" si="10"/>
        <v>0</v>
      </c>
    </row>
    <row r="177" spans="2:11" ht="12.75" customHeight="1">
      <c r="B177" s="80"/>
      <c r="C177" s="909" t="str">
        <f>CHOOSE(jezyk,n!A1734,n!B1734,n!C1734,n!D1732)</f>
        <v>Niewypłacone diety</v>
      </c>
      <c r="D177" s="909"/>
      <c r="E177" s="909"/>
      <c r="F177" s="909"/>
      <c r="G177" s="909"/>
      <c r="H177" s="910"/>
      <c r="I177" s="200">
        <v>0</v>
      </c>
      <c r="J177" s="200">
        <v>0</v>
      </c>
      <c r="K177" s="201">
        <f t="shared" si="10"/>
        <v>0</v>
      </c>
    </row>
    <row r="178" spans="2:11" ht="12.75" customHeight="1">
      <c r="B178" s="80"/>
      <c r="C178" s="909" t="str">
        <f>CHOOSE(jezyk,n!A1735,n!B1735,n!C1735,n!D1733)</f>
        <v>Odsetki naliczone</v>
      </c>
      <c r="D178" s="909"/>
      <c r="E178" s="909"/>
      <c r="F178" s="909"/>
      <c r="G178" s="909"/>
      <c r="H178" s="910"/>
      <c r="I178" s="200">
        <v>0</v>
      </c>
      <c r="J178" s="200">
        <v>0</v>
      </c>
      <c r="K178" s="201">
        <f t="shared" si="10"/>
        <v>0</v>
      </c>
    </row>
    <row r="179" spans="2:11">
      <c r="B179" s="80"/>
      <c r="C179" s="909" t="str">
        <f>CHOOSE(jezyk,n!A1747,n!B1747,n!C1747,n!D1745)</f>
        <v>Pozostałe</v>
      </c>
      <c r="D179" s="909"/>
      <c r="E179" s="909"/>
      <c r="F179" s="909"/>
      <c r="G179" s="909"/>
      <c r="H179" s="910"/>
      <c r="I179" s="200">
        <v>0</v>
      </c>
      <c r="J179" s="200">
        <v>0</v>
      </c>
      <c r="K179" s="201">
        <f t="shared" si="10"/>
        <v>0</v>
      </c>
    </row>
    <row r="180" spans="2:11" ht="9.9499999999999993" customHeight="1">
      <c r="B180" s="80"/>
      <c r="C180" s="203"/>
      <c r="D180" s="194"/>
      <c r="E180" s="198"/>
      <c r="F180" s="195"/>
      <c r="G180" s="195"/>
      <c r="H180" s="195"/>
      <c r="I180" s="101"/>
      <c r="J180" s="101"/>
      <c r="K180" s="88"/>
    </row>
    <row r="181" spans="2:11" ht="28.5" customHeight="1">
      <c r="B181" s="88" t="s">
        <v>6831</v>
      </c>
      <c r="C181" s="924" t="str">
        <f>CHOOSE(jezyk,n!A904,n!B904,n!C904,n!D902)</f>
        <v>G. Koszty uznawane za koszty uzyskania przychodów w roku bieżącym ujęte w księgach lat ubiegłych, w tym:</v>
      </c>
      <c r="D181" s="924"/>
      <c r="E181" s="924"/>
      <c r="F181" s="924"/>
      <c r="G181" s="924"/>
      <c r="H181" s="925"/>
      <c r="I181" s="197">
        <f>SUM(I182:I187)</f>
        <v>0</v>
      </c>
      <c r="J181" s="197">
        <f>SUM(J182:J187)</f>
        <v>0</v>
      </c>
      <c r="K181" s="197">
        <f>I181+J181</f>
        <v>0</v>
      </c>
    </row>
    <row r="182" spans="2:11" ht="27" customHeight="1">
      <c r="B182" s="80"/>
      <c r="C182" s="909" t="str">
        <f>CHOOSE(jezyk,n!A1737,n!B1737,n!C1737,n!D1735)</f>
        <v>Niewypłacone składki ZUS w roku poprzednim zapłacone w roku bieżącym</v>
      </c>
      <c r="D182" s="909"/>
      <c r="E182" s="909"/>
      <c r="F182" s="909"/>
      <c r="G182" s="909"/>
      <c r="H182" s="910"/>
      <c r="I182" s="200">
        <v>0</v>
      </c>
      <c r="J182" s="200">
        <v>0</v>
      </c>
      <c r="K182" s="201">
        <f t="shared" ref="K182:K187" si="12">SUM(I182:J182)</f>
        <v>0</v>
      </c>
    </row>
    <row r="183" spans="2:11" ht="13.5" customHeight="1">
      <c r="B183" s="80"/>
      <c r="C183" s="909" t="str">
        <f>CHOOSE(jezyk,n!A1738,n!B1738,n!C1738,n!D1736)</f>
        <v>Wypłacone po terminie wynagrodzenia</v>
      </c>
      <c r="D183" s="909"/>
      <c r="E183" s="909"/>
      <c r="F183" s="909"/>
      <c r="G183" s="909"/>
      <c r="H183" s="910"/>
      <c r="I183" s="200">
        <v>0</v>
      </c>
      <c r="J183" s="200">
        <v>0</v>
      </c>
      <c r="K183" s="201">
        <f t="shared" si="12"/>
        <v>0</v>
      </c>
    </row>
    <row r="184" spans="2:11" ht="12.75" customHeight="1">
      <c r="B184" s="80"/>
      <c r="C184" s="909" t="str">
        <f>CHOOSE(jezyk,n!A1739,n!B1739,n!C1739,n!D1737)</f>
        <v>Wykorzystane rezerwy z roku poprzedniego</v>
      </c>
      <c r="D184" s="909"/>
      <c r="E184" s="909"/>
      <c r="F184" s="909"/>
      <c r="G184" s="909"/>
      <c r="H184" s="910"/>
      <c r="I184" s="200">
        <v>0</v>
      </c>
      <c r="J184" s="200">
        <v>0</v>
      </c>
      <c r="K184" s="201">
        <f t="shared" si="12"/>
        <v>0</v>
      </c>
    </row>
    <row r="185" spans="2:11" ht="27" customHeight="1">
      <c r="B185" s="80"/>
      <c r="C185" s="909" t="str">
        <f>CHOOSE(jezyk,n!A1740,n!B1740,n!C1740,n!D1738)</f>
        <v>Niewypłacone diety w roku poprzednim, zapłacone w roku bieżącym</v>
      </c>
      <c r="D185" s="909"/>
      <c r="E185" s="909"/>
      <c r="F185" s="909"/>
      <c r="G185" s="909"/>
      <c r="H185" s="910"/>
      <c r="I185" s="200">
        <v>0</v>
      </c>
      <c r="J185" s="200">
        <v>0</v>
      </c>
      <c r="K185" s="201">
        <f t="shared" si="12"/>
        <v>0</v>
      </c>
    </row>
    <row r="186" spans="2:11">
      <c r="B186" s="80"/>
      <c r="C186" s="909" t="str">
        <f>CHOOSE(jezyk,n!A1741,n!B1741,n!C1741,n!D1739)</f>
        <v>Odsetki naliczone w roku poprzednim zapłacone w roku bieżącym</v>
      </c>
      <c r="D186" s="909"/>
      <c r="E186" s="909"/>
      <c r="F186" s="909"/>
      <c r="G186" s="909"/>
      <c r="H186" s="910"/>
      <c r="I186" s="200">
        <v>0</v>
      </c>
      <c r="J186" s="200">
        <v>0</v>
      </c>
      <c r="K186" s="201">
        <f t="shared" si="12"/>
        <v>0</v>
      </c>
    </row>
    <row r="187" spans="2:11">
      <c r="B187" s="80"/>
      <c r="C187" s="909" t="str">
        <f>CHOOSE(jezyk,n!A1747,n!B1747,n!C1747,n!D1745)</f>
        <v>Pozostałe</v>
      </c>
      <c r="D187" s="909"/>
      <c r="E187" s="909"/>
      <c r="F187" s="909"/>
      <c r="G187" s="909"/>
      <c r="H187" s="910"/>
      <c r="I187" s="200">
        <v>0</v>
      </c>
      <c r="J187" s="200">
        <v>0</v>
      </c>
      <c r="K187" s="201">
        <f t="shared" si="12"/>
        <v>0</v>
      </c>
    </row>
    <row r="188" spans="2:11" ht="9.9499999999999993" customHeight="1">
      <c r="B188" s="80"/>
      <c r="C188" s="203"/>
      <c r="D188" s="194"/>
      <c r="E188" s="198"/>
      <c r="F188" s="195"/>
      <c r="G188" s="195"/>
      <c r="H188" s="195"/>
      <c r="I188" s="101"/>
      <c r="J188" s="101"/>
      <c r="K188" s="88"/>
    </row>
    <row r="189" spans="2:11" ht="12.75" customHeight="1">
      <c r="B189" s="80"/>
      <c r="C189" s="924" t="str">
        <f>CHOOSE(jezyk,n!A905,n!B905,n!C905,n!D903)</f>
        <v>H. Strata z lat ubiegłych, w tym:</v>
      </c>
      <c r="D189" s="924"/>
      <c r="E189" s="924"/>
      <c r="F189" s="924"/>
      <c r="G189" s="924"/>
      <c r="H189" s="925"/>
      <c r="I189" s="197">
        <f>SUM(I190:I191)</f>
        <v>0</v>
      </c>
      <c r="J189" s="197">
        <f>SUM(J190:J191)</f>
        <v>0</v>
      </c>
      <c r="K189" s="197">
        <f>I189+J189</f>
        <v>0</v>
      </c>
    </row>
    <row r="190" spans="2:11">
      <c r="B190" s="80"/>
      <c r="C190" s="909"/>
      <c r="D190" s="909"/>
      <c r="E190" s="909"/>
      <c r="F190" s="909"/>
      <c r="G190" s="909"/>
      <c r="H190" s="195"/>
      <c r="I190" s="200">
        <v>0</v>
      </c>
      <c r="J190" s="200">
        <v>0</v>
      </c>
      <c r="K190" s="201">
        <f>SUM(I190:J190)</f>
        <v>0</v>
      </c>
    </row>
    <row r="191" spans="2:11" ht="9.9499999999999993" customHeight="1">
      <c r="B191" s="80"/>
      <c r="C191" s="203"/>
      <c r="D191" s="194"/>
      <c r="E191" s="198"/>
      <c r="F191" s="195"/>
      <c r="G191" s="195"/>
      <c r="H191" s="195"/>
      <c r="I191" s="101"/>
      <c r="J191" s="101"/>
      <c r="K191" s="88"/>
    </row>
    <row r="192" spans="2:11" ht="12.75" customHeight="1">
      <c r="B192" s="80"/>
      <c r="C192" s="924" t="str">
        <f>CHOOSE(jezyk,n!A906,n!B906,n!C906,n!D904)</f>
        <v>I. Inne zmiany podstawy opodatkowania, w tym:</v>
      </c>
      <c r="D192" s="924"/>
      <c r="E192" s="924"/>
      <c r="F192" s="924"/>
      <c r="G192" s="924"/>
      <c r="H192" s="925"/>
      <c r="I192" s="197">
        <f>SUM(I193:I194)</f>
        <v>0</v>
      </c>
      <c r="J192" s="197">
        <f>SUM(J193:J194)</f>
        <v>0</v>
      </c>
      <c r="K192" s="197">
        <f>I192+J192</f>
        <v>0</v>
      </c>
    </row>
    <row r="193" spans="2:14">
      <c r="B193" s="80"/>
      <c r="C193" s="909" t="str">
        <f>CHOOSE(jezyk,n!A1618,n!B1618,n!C1618,n!D1616)</f>
        <v>darowizny</v>
      </c>
      <c r="D193" s="909"/>
      <c r="E193" s="909"/>
      <c r="F193" s="909"/>
      <c r="G193" s="909"/>
      <c r="H193" s="195"/>
      <c r="I193" s="200">
        <v>0</v>
      </c>
      <c r="J193" s="200">
        <v>0</v>
      </c>
      <c r="K193" s="201">
        <f>SUM(I193:J193)</f>
        <v>0</v>
      </c>
    </row>
    <row r="194" spans="2:14" ht="9.9499999999999993" customHeight="1">
      <c r="B194" s="80"/>
      <c r="C194" s="203"/>
      <c r="D194" s="194"/>
      <c r="E194" s="198"/>
      <c r="F194" s="195"/>
      <c r="G194" s="195"/>
      <c r="H194" s="195"/>
      <c r="I194" s="101"/>
      <c r="J194" s="101"/>
      <c r="K194" s="88"/>
    </row>
    <row r="195" spans="2:14" ht="12.75" customHeight="1">
      <c r="B195" s="80"/>
      <c r="C195" s="924" t="str">
        <f>CHOOSE(jezyk,n!A907,n!B907,n!C907,n!D905)</f>
        <v>J. Podstawa opodatkowania podatkiem dochodowym</v>
      </c>
      <c r="D195" s="924"/>
      <c r="E195" s="924"/>
      <c r="F195" s="924"/>
      <c r="G195" s="924"/>
      <c r="H195" s="924"/>
      <c r="I195" s="197">
        <f>I121-I123-I130+I142+I149+I167-I181-I189-I192</f>
        <v>0</v>
      </c>
      <c r="J195" s="197">
        <f>J121-J123-J130+J142+J149+J167-J181-J189+J192</f>
        <v>458187.37000000081</v>
      </c>
      <c r="K195" s="197">
        <f>K121-K123-K130+K142+K149+K167-K181-K189-K192</f>
        <v>458187.37000000081</v>
      </c>
    </row>
    <row r="196" spans="2:14" ht="9.9499999999999993" customHeight="1">
      <c r="B196" s="80"/>
      <c r="C196" s="194"/>
      <c r="D196" s="194"/>
      <c r="E196" s="198"/>
      <c r="F196" s="195"/>
      <c r="G196" s="195"/>
      <c r="H196" s="195"/>
      <c r="I196" s="88"/>
      <c r="J196" s="88"/>
      <c r="K196" s="88"/>
    </row>
    <row r="197" spans="2:14" ht="25.5" customHeight="1">
      <c r="B197" s="80"/>
      <c r="C197" s="967" t="str">
        <f>CHOOSE(jezyk,n!A919,n!B919,n!C919,n!D917)</f>
        <v>Podstawa PDOP (po zaokrągleniu)</v>
      </c>
      <c r="D197" s="967"/>
      <c r="E197" s="967"/>
      <c r="F197" s="967"/>
      <c r="G197" s="967"/>
      <c r="H197" s="968"/>
      <c r="I197" s="197">
        <f>ROUND(I195,0)</f>
        <v>0</v>
      </c>
      <c r="J197" s="197">
        <f>ROUND(J195,0)</f>
        <v>458187</v>
      </c>
      <c r="K197" s="197">
        <f>I197+J197</f>
        <v>458187</v>
      </c>
      <c r="L197" s="197">
        <f>ROUND(K195,0)-K197</f>
        <v>0</v>
      </c>
      <c r="M197" s="38"/>
      <c r="N197" s="38"/>
    </row>
    <row r="198" spans="2:14" ht="9.9499999999999993" customHeight="1">
      <c r="B198" s="80"/>
      <c r="C198" s="412"/>
      <c r="D198" s="412"/>
      <c r="E198" s="412"/>
      <c r="F198" s="412"/>
      <c r="G198" s="412"/>
      <c r="H198" s="412"/>
      <c r="I198" s="88"/>
      <c r="J198" s="88"/>
      <c r="K198" s="88"/>
    </row>
    <row r="199" spans="2:14" ht="12.75" customHeight="1">
      <c r="B199" s="80"/>
      <c r="C199" s="205" t="str">
        <f>CHOOSE(jezyk,n!A908,n!B908,n!C908,n!D906)</f>
        <v>K. Podatek dochodowy</v>
      </c>
      <c r="D199" s="205"/>
      <c r="E199" s="205"/>
      <c r="F199" s="205"/>
      <c r="G199" s="273">
        <v>0.19</v>
      </c>
      <c r="H199" s="205"/>
      <c r="I199" s="197">
        <f>IF((I197*G199)&gt;0,ROUND(I197*G199,0),0)</f>
        <v>0</v>
      </c>
      <c r="J199" s="197">
        <f>IF((J197*G199)&gt;0,ROUND(J197*G199,0),0)</f>
        <v>87056</v>
      </c>
      <c r="K199" s="197">
        <f>IF((K197*G199)&gt;0,ROUND(K197*G199,0),0)</f>
        <v>87056</v>
      </c>
      <c r="L199" s="197">
        <f>K199-J199-I199</f>
        <v>0</v>
      </c>
    </row>
    <row r="200" spans="2:14" ht="9.9499999999999993" customHeight="1">
      <c r="B200" s="111"/>
      <c r="C200" s="190"/>
      <c r="D200" s="206"/>
      <c r="E200" s="190"/>
      <c r="F200" s="72"/>
      <c r="G200" s="72"/>
      <c r="H200" s="72"/>
      <c r="I200" s="88"/>
      <c r="J200" s="88"/>
      <c r="K200" s="88"/>
    </row>
    <row r="201" spans="2:14" ht="12.75" customHeight="1">
      <c r="B201" s="111"/>
      <c r="C201" s="190"/>
      <c r="D201" s="673" t="str">
        <f>CHOOSE(jezyk,n!A921,n!B921,n!C921,n!D919)</f>
        <v>zmiana podatku odroczonego</v>
      </c>
      <c r="E201" s="72"/>
      <c r="F201" s="72"/>
      <c r="G201" s="72"/>
      <c r="H201" s="72"/>
      <c r="I201" s="208"/>
      <c r="J201" s="208"/>
      <c r="K201" s="201">
        <f>H326</f>
        <v>0</v>
      </c>
    </row>
    <row r="202" spans="2:14">
      <c r="B202" s="111"/>
      <c r="C202" s="190"/>
      <c r="D202" s="673" t="str">
        <f>CHOOSE(jezyk,n!A1744,n!B1744,n!C1744,n!D1742)</f>
        <v>korekta podatku dochodowego za lata ubiegłe</v>
      </c>
      <c r="E202" s="72"/>
      <c r="F202" s="72"/>
      <c r="G202" s="72"/>
      <c r="H202" s="72"/>
      <c r="I202" s="208"/>
      <c r="J202" s="208"/>
      <c r="K202" s="674">
        <v>0</v>
      </c>
    </row>
    <row r="203" spans="2:14" ht="9.9499999999999993" customHeight="1">
      <c r="B203" s="111"/>
      <c r="C203" s="190"/>
      <c r="D203" s="190"/>
      <c r="E203" s="190"/>
      <c r="F203" s="72"/>
      <c r="G203" s="72"/>
      <c r="H203" s="72"/>
      <c r="I203" s="208"/>
      <c r="J203" s="208"/>
      <c r="K203" s="208"/>
    </row>
    <row r="204" spans="2:14" ht="12.75" customHeight="1">
      <c r="B204" s="111"/>
      <c r="C204" s="207" t="str">
        <f>CHOOSE(jezyk,n!A922,n!B922,n!C922,n!D920)</f>
        <v>Razem podatek dochodowy</v>
      </c>
      <c r="D204" s="190"/>
      <c r="E204" s="190"/>
      <c r="F204" s="72"/>
      <c r="G204" s="72"/>
      <c r="H204" s="72"/>
      <c r="I204" s="208"/>
      <c r="J204" s="208"/>
      <c r="K204" s="197">
        <f>K199+K201+K202</f>
        <v>87056</v>
      </c>
      <c r="L204" s="179">
        <f>IF(wrach=1,ROUND(K204-'RZiS Por. '!E76,2),ROUND(K204-'RZiS Kal.'!F72,2))</f>
        <v>-6959</v>
      </c>
    </row>
    <row r="205" spans="2:14">
      <c r="C205" s="209"/>
      <c r="D205" s="209"/>
      <c r="E205" s="209"/>
      <c r="F205" s="210"/>
      <c r="G205" s="209"/>
      <c r="I205" s="969"/>
      <c r="J205" s="969"/>
      <c r="K205" s="251"/>
    </row>
    <row r="206" spans="2:14" ht="15" customHeight="1">
      <c r="E206" s="209"/>
      <c r="F206" s="210"/>
      <c r="G206" s="209"/>
      <c r="I206" s="251"/>
      <c r="J206" s="251"/>
      <c r="K206" s="251"/>
    </row>
    <row r="207" spans="2:14">
      <c r="C207" s="209"/>
      <c r="D207" s="209"/>
      <c r="E207" s="209"/>
      <c r="F207" s="210"/>
      <c r="G207" s="209"/>
      <c r="I207" s="963" t="str">
        <f>CHOOSE(jezyk,n!A617,n!B617,n!C617,n!D615)</f>
        <v>Rok obrotowy 2023</v>
      </c>
      <c r="J207" s="963"/>
      <c r="K207" s="963"/>
    </row>
    <row r="208" spans="2:14" ht="12.75" customHeight="1">
      <c r="C208" s="190"/>
      <c r="D208" s="190"/>
      <c r="E208" s="190"/>
      <c r="F208" s="190"/>
      <c r="G208" s="190"/>
      <c r="H208" s="72"/>
      <c r="I208" s="191" t="str">
        <f>I120</f>
        <v>Zysk kapit.</v>
      </c>
      <c r="J208" s="191" t="str">
        <f>J120</f>
        <v>Inne źródła</v>
      </c>
      <c r="K208" s="191" t="str">
        <f>K120</f>
        <v>Łącznie:</v>
      </c>
    </row>
    <row r="209" spans="2:12">
      <c r="B209" s="80"/>
      <c r="C209" s="193" t="str">
        <f>CHOOSE(jezyk,n!A898,n!B898,n!C898,n!D896)</f>
        <v>A. Zysk (strata) brutto za dany rok</v>
      </c>
      <c r="D209" s="194"/>
      <c r="E209" s="194"/>
      <c r="F209" s="195"/>
      <c r="G209" s="195"/>
      <c r="H209" s="195"/>
      <c r="I209" s="211">
        <v>0</v>
      </c>
      <c r="J209" s="201">
        <f>IF(wrach=1,'RZiS Por. '!F74,'RZiS Kal.'!G70)</f>
        <v>-313.38</v>
      </c>
      <c r="K209" s="197">
        <f>I209+J209</f>
        <v>-313.38</v>
      </c>
      <c r="L209" s="179">
        <f>IF(wrach=1,ROUND(K209-'RZiS Por. '!F74,2),ROUND(K209-'RZiS Kal.'!G70,2))</f>
        <v>0</v>
      </c>
    </row>
    <row r="210" spans="2:12">
      <c r="B210" s="80"/>
      <c r="C210" s="194"/>
      <c r="D210" s="194"/>
      <c r="E210" s="198"/>
      <c r="F210" s="195"/>
      <c r="G210" s="195"/>
      <c r="H210" s="195"/>
      <c r="I210" s="726"/>
      <c r="J210" s="726"/>
      <c r="K210" s="199"/>
    </row>
    <row r="211" spans="2:12" ht="26.25" customHeight="1">
      <c r="B211" s="88" t="s">
        <v>6831</v>
      </c>
      <c r="C211" s="924" t="str">
        <f>CHOOSE(jezyk,n!A899,n!B899,n!C899,n!D897)</f>
        <v>B. Przychody zwolnione z opodatkowania (trwałe różnice), w tym:</v>
      </c>
      <c r="D211" s="924"/>
      <c r="E211" s="924"/>
      <c r="F211" s="924"/>
      <c r="G211" s="924"/>
      <c r="H211" s="925"/>
      <c r="I211" s="197">
        <f>SUM(I212:I216)</f>
        <v>0</v>
      </c>
      <c r="J211" s="197">
        <f>SUM(J212:J216)</f>
        <v>0</v>
      </c>
      <c r="K211" s="197">
        <f>SUM(I212:J216)</f>
        <v>0</v>
      </c>
    </row>
    <row r="212" spans="2:12" ht="13.5" customHeight="1">
      <c r="B212" s="80"/>
      <c r="C212" s="909" t="str">
        <f>CHOOSE(jezyk,n!A1691,n!B1691,n!C1691,n!D1689)</f>
        <v>Dotacje, subwencje na zakup ŚT, WNiP</v>
      </c>
      <c r="D212" s="909"/>
      <c r="E212" s="909"/>
      <c r="F212" s="909"/>
      <c r="G212" s="909"/>
      <c r="H212" s="910"/>
      <c r="I212" s="200">
        <v>0</v>
      </c>
      <c r="J212" s="200">
        <v>0</v>
      </c>
      <c r="K212" s="201">
        <f>SUM(I212:J212)</f>
        <v>0</v>
      </c>
    </row>
    <row r="213" spans="2:12" ht="12.75" customHeight="1">
      <c r="B213" s="80"/>
      <c r="C213" s="909" t="str">
        <f>CHOOSE(jezyk,n!A1692,n!B1692,n!C1692,n!D1690)</f>
        <v>Dywidenda</v>
      </c>
      <c r="D213" s="909"/>
      <c r="E213" s="909"/>
      <c r="F213" s="909"/>
      <c r="G213" s="909"/>
      <c r="H213" s="910"/>
      <c r="I213" s="200">
        <v>0</v>
      </c>
      <c r="J213" s="200">
        <v>0</v>
      </c>
      <c r="K213" s="201">
        <f>SUM(I213:J213)</f>
        <v>0</v>
      </c>
    </row>
    <row r="214" spans="2:12" ht="12.75" customHeight="1">
      <c r="B214" s="80"/>
      <c r="C214" s="909" t="str">
        <f>CHOOSE(jezyk,n!A1693,n!B1693,n!C1693,n!D1691)</f>
        <v>Rożnice kursowe od podatku VAT</v>
      </c>
      <c r="D214" s="909"/>
      <c r="E214" s="909"/>
      <c r="F214" s="909"/>
      <c r="G214" s="909"/>
      <c r="H214" s="910"/>
      <c r="I214" s="200">
        <v>0</v>
      </c>
      <c r="J214" s="200">
        <v>0</v>
      </c>
      <c r="K214" s="201">
        <f>SUM(I214:J214)</f>
        <v>0</v>
      </c>
    </row>
    <row r="215" spans="2:12" ht="12.75" customHeight="1">
      <c r="B215" s="80"/>
      <c r="C215" s="909" t="str">
        <f>CHOOSE(jezyk,n!A1694,n!B1694,n!C1694,n!D1692)</f>
        <v>Otrzymane odsetki budżetowe oraz od nadpłaconych zobowiązań podatkowych</v>
      </c>
      <c r="D215" s="909"/>
      <c r="E215" s="909"/>
      <c r="F215" s="909"/>
      <c r="G215" s="909"/>
      <c r="H215" s="910"/>
      <c r="I215" s="200">
        <v>0</v>
      </c>
      <c r="J215" s="200">
        <v>0</v>
      </c>
      <c r="K215" s="201">
        <f>SUM(I215:J215)</f>
        <v>0</v>
      </c>
    </row>
    <row r="216" spans="2:12">
      <c r="B216" s="80"/>
      <c r="C216" s="909" t="str">
        <f>CHOOSE(jezyk,n!A1747,n!B1747,n!C1747,n!D1745)</f>
        <v>Pozostałe</v>
      </c>
      <c r="D216" s="909"/>
      <c r="E216" s="909"/>
      <c r="F216" s="909"/>
      <c r="G216" s="909"/>
      <c r="H216" s="910"/>
      <c r="I216" s="200">
        <v>0</v>
      </c>
      <c r="J216" s="200">
        <v>0</v>
      </c>
      <c r="K216" s="201">
        <f>SUM(I216:J216)</f>
        <v>0</v>
      </c>
    </row>
    <row r="217" spans="2:12">
      <c r="B217" s="80"/>
      <c r="C217" s="194"/>
      <c r="D217" s="194"/>
      <c r="E217" s="198"/>
      <c r="F217" s="195"/>
      <c r="G217" s="195"/>
      <c r="H217" s="195"/>
      <c r="I217" s="726"/>
      <c r="J217" s="726"/>
      <c r="K217" s="88"/>
    </row>
    <row r="218" spans="2:12" ht="28.5" customHeight="1">
      <c r="B218" s="88" t="s">
        <v>6831</v>
      </c>
      <c r="C218" s="924" t="str">
        <f>CHOOSE(jezyk,n!A900,n!B900,n!C900,n!D898)</f>
        <v>C. Przychody niepodlegające opodatkowaniu w roku bieżącym, w tym:</v>
      </c>
      <c r="D218" s="924"/>
      <c r="E218" s="924"/>
      <c r="F218" s="924"/>
      <c r="G218" s="924"/>
      <c r="H218" s="925"/>
      <c r="I218" s="197">
        <f>SUM(I219:I228)</f>
        <v>0</v>
      </c>
      <c r="J218" s="197">
        <f>SUM(J219:J228)</f>
        <v>0</v>
      </c>
      <c r="K218" s="197">
        <f>SUM(I219:J228)</f>
        <v>0</v>
      </c>
    </row>
    <row r="219" spans="2:12">
      <c r="B219" s="80"/>
      <c r="C219" s="909" t="str">
        <f>CHOOSE(jezyk,n!A1696,n!B1696,n!C1696,n!D1694)</f>
        <v>Różnice kursowe dodatnie niezrealizowane</v>
      </c>
      <c r="D219" s="909"/>
      <c r="E219" s="909"/>
      <c r="F219" s="909"/>
      <c r="G219" s="909"/>
      <c r="H219" s="910"/>
      <c r="I219" s="200">
        <v>0</v>
      </c>
      <c r="J219" s="200">
        <v>0</v>
      </c>
      <c r="K219" s="201">
        <f t="shared" ref="K219:K228" si="13">SUM(I219:J219)</f>
        <v>0</v>
      </c>
    </row>
    <row r="220" spans="2:12" ht="12.75" customHeight="1">
      <c r="B220" s="80"/>
      <c r="C220" s="909" t="str">
        <f>CHOOSE(jezyk,n!A1697,n!B1697,n!C1697,n!D1695)</f>
        <v>Rozwiązane rezerwy na koszty utworzone w latach ubiegłych</v>
      </c>
      <c r="D220" s="909"/>
      <c r="E220" s="909"/>
      <c r="F220" s="909"/>
      <c r="G220" s="909"/>
      <c r="H220" s="910"/>
      <c r="I220" s="200">
        <v>0</v>
      </c>
      <c r="J220" s="200">
        <v>0</v>
      </c>
      <c r="K220" s="201">
        <f t="shared" si="13"/>
        <v>0</v>
      </c>
    </row>
    <row r="221" spans="2:12" ht="12.75" customHeight="1">
      <c r="B221" s="80"/>
      <c r="C221" s="909" t="str">
        <f>CHOOSE(jezyk,n!A1698,n!B1698,n!C1698,n!D1696)</f>
        <v>Faktury korygujące wystawione w następnym roku podatkowym</v>
      </c>
      <c r="D221" s="909"/>
      <c r="E221" s="909"/>
      <c r="F221" s="909"/>
      <c r="G221" s="909"/>
      <c r="H221" s="910"/>
      <c r="I221" s="200">
        <v>0</v>
      </c>
      <c r="J221" s="200">
        <v>0</v>
      </c>
      <c r="K221" s="201">
        <f t="shared" si="13"/>
        <v>0</v>
      </c>
    </row>
    <row r="222" spans="2:12" ht="12.75" customHeight="1">
      <c r="B222" s="80"/>
      <c r="C222" s="909" t="str">
        <f>CHOOSE(jezyk,n!A1699,n!B1699,n!C1699,n!D1697)</f>
        <v>Utworzone rezerwy na przychody</v>
      </c>
      <c r="D222" s="909"/>
      <c r="E222" s="909"/>
      <c r="F222" s="909"/>
      <c r="G222" s="909"/>
      <c r="H222" s="910"/>
      <c r="I222" s="200">
        <v>0</v>
      </c>
      <c r="J222" s="200">
        <v>0</v>
      </c>
      <c r="K222" s="201">
        <f t="shared" si="13"/>
        <v>0</v>
      </c>
    </row>
    <row r="223" spans="2:12" ht="12.75" customHeight="1">
      <c r="B223" s="80"/>
      <c r="C223" s="909" t="str">
        <f>CHOOSE(jezyk,n!A1700,n!B1700,n!C1700,n!D1698)</f>
        <v>Bilansowa aktualizacja wartośći aktywów trwałych</v>
      </c>
      <c r="D223" s="909"/>
      <c r="E223" s="909"/>
      <c r="F223" s="909"/>
      <c r="G223" s="909"/>
      <c r="H223" s="910"/>
      <c r="I223" s="200">
        <v>0</v>
      </c>
      <c r="J223" s="200">
        <v>0</v>
      </c>
      <c r="K223" s="201">
        <f t="shared" ref="K223:K224" si="14">SUM(I223:J223)</f>
        <v>0</v>
      </c>
    </row>
    <row r="224" spans="2:12" ht="12.75" customHeight="1">
      <c r="B224" s="80"/>
      <c r="C224" s="909" t="str">
        <f>CHOOSE(jezyk,n!A1701,n!B1701,n!C1701,n!D1699)</f>
        <v>Bilansowa aktualizacja wartośći aktywów finansowych</v>
      </c>
      <c r="D224" s="909"/>
      <c r="E224" s="909"/>
      <c r="F224" s="909"/>
      <c r="G224" s="909"/>
      <c r="H224" s="910"/>
      <c r="I224" s="200">
        <v>0</v>
      </c>
      <c r="J224" s="200">
        <v>0</v>
      </c>
      <c r="K224" s="201">
        <f t="shared" si="14"/>
        <v>0</v>
      </c>
    </row>
    <row r="225" spans="2:11" ht="12.75" customHeight="1">
      <c r="B225" s="80"/>
      <c r="C225" s="909" t="str">
        <f>CHOOSE(jezyk,n!A1702,n!B1702,n!C1702,n!D1698)</f>
        <v>Pobrane wpłaty lub zarachowane należności na poczet dostaw towarów i usług, które zostaną wykonane w następnych okresach sprawozdawczych, a także otrzymane lub zwrócone pożyczki (kredyty)</v>
      </c>
      <c r="D225" s="909"/>
      <c r="E225" s="909"/>
      <c r="F225" s="909"/>
      <c r="G225" s="909"/>
      <c r="H225" s="910"/>
      <c r="I225" s="200">
        <v>0</v>
      </c>
      <c r="J225" s="200">
        <v>0</v>
      </c>
      <c r="K225" s="201">
        <f t="shared" si="13"/>
        <v>0</v>
      </c>
    </row>
    <row r="226" spans="2:11" ht="12.75" customHeight="1">
      <c r="B226" s="80"/>
      <c r="C226" s="909" t="str">
        <f>CHOOSE(jezyk,n!A1703,n!B1703,n!C1703,n!D1699)</f>
        <v>Naliczone odsetki</v>
      </c>
      <c r="D226" s="909"/>
      <c r="E226" s="909"/>
      <c r="F226" s="909"/>
      <c r="G226" s="909"/>
      <c r="H226" s="910"/>
      <c r="I226" s="200">
        <v>0</v>
      </c>
      <c r="J226" s="200">
        <v>0</v>
      </c>
      <c r="K226" s="201">
        <f t="shared" si="13"/>
        <v>0</v>
      </c>
    </row>
    <row r="227" spans="2:11" ht="12.75" customHeight="1">
      <c r="B227" s="80"/>
      <c r="C227" s="909" t="str">
        <f>CHOOSE(jezyk,n!A1704,n!B1704,n!C1704,n!D1702)</f>
        <v>Rozwiązanie odpisu na należności</v>
      </c>
      <c r="D227" s="909"/>
      <c r="E227" s="909"/>
      <c r="F227" s="909"/>
      <c r="G227" s="909"/>
      <c r="H227" s="910"/>
      <c r="I227" s="200">
        <v>0</v>
      </c>
      <c r="J227" s="200">
        <v>0</v>
      </c>
      <c r="K227" s="201">
        <f t="shared" si="13"/>
        <v>0</v>
      </c>
    </row>
    <row r="228" spans="2:11">
      <c r="B228" s="80"/>
      <c r="C228" s="909" t="str">
        <f>CHOOSE(jezyk,n!A1747,n!B1747,n!C1747,n!D1745)</f>
        <v>Pozostałe</v>
      </c>
      <c r="D228" s="909"/>
      <c r="E228" s="909"/>
      <c r="F228" s="909"/>
      <c r="G228" s="909"/>
      <c r="H228" s="910"/>
      <c r="I228" s="200">
        <v>0</v>
      </c>
      <c r="J228" s="200">
        <v>0</v>
      </c>
      <c r="K228" s="201">
        <f t="shared" si="13"/>
        <v>0</v>
      </c>
    </row>
    <row r="229" spans="2:11">
      <c r="B229" s="80"/>
      <c r="C229" s="194"/>
      <c r="D229" s="194"/>
      <c r="E229" s="198"/>
      <c r="F229" s="195"/>
      <c r="G229" s="195"/>
      <c r="H229" s="195"/>
      <c r="I229" s="101"/>
      <c r="J229" s="101"/>
      <c r="K229" s="88"/>
    </row>
    <row r="230" spans="2:11" ht="28.5" customHeight="1">
      <c r="B230" s="88" t="s">
        <v>6833</v>
      </c>
      <c r="C230" s="924" t="str">
        <f>CHOOSE(jezyk,n!A901,n!B901,n!C901,n!D899)</f>
        <v>D. Przychody podlegające opodatkowaniu w roku bieżącym, ujęte w księgach rachunkowych lat ubiegłych w tym:</v>
      </c>
      <c r="D230" s="924"/>
      <c r="E230" s="924"/>
      <c r="F230" s="924"/>
      <c r="G230" s="924"/>
      <c r="H230" s="925"/>
      <c r="I230" s="197">
        <f>SUM(I231:I235)</f>
        <v>0</v>
      </c>
      <c r="J230" s="197">
        <f>SUM(J231:J235)</f>
        <v>0</v>
      </c>
      <c r="K230" s="197">
        <f>SUM(I231:J235)</f>
        <v>0</v>
      </c>
    </row>
    <row r="231" spans="2:11" ht="12.75" customHeight="1">
      <c r="B231" s="80"/>
      <c r="C231" s="909" t="str">
        <f>CHOOSE(jezyk,n!A1706,n!B1706,n!C1706,n!D1704)</f>
        <v>Faktury korygujące przychody wystawione w bieżącym roku obrotowym, a dotyczące roku poprzedniego</v>
      </c>
      <c r="D231" s="909"/>
      <c r="E231" s="909"/>
      <c r="F231" s="909"/>
      <c r="G231" s="909"/>
      <c r="H231" s="910"/>
      <c r="I231" s="200">
        <v>0</v>
      </c>
      <c r="J231" s="200">
        <v>0</v>
      </c>
      <c r="K231" s="201">
        <f>SUM(I231:J231)</f>
        <v>0</v>
      </c>
    </row>
    <row r="232" spans="2:11" ht="12.75" customHeight="1">
      <c r="B232" s="80"/>
      <c r="C232" s="909" t="str">
        <f>CHOOSE(jezyk,n!A1707,n!B1707,n!C1707,n!D1705)</f>
        <v>Odsetki naliczone w roku poprzednim otrzymane w roku bieżącym</v>
      </c>
      <c r="D232" s="909"/>
      <c r="E232" s="909"/>
      <c r="F232" s="909"/>
      <c r="G232" s="909"/>
      <c r="H232" s="910"/>
      <c r="I232" s="200">
        <v>0</v>
      </c>
      <c r="J232" s="200">
        <v>0</v>
      </c>
      <c r="K232" s="201">
        <f>SUM(I232:J232)</f>
        <v>0</v>
      </c>
    </row>
    <row r="233" spans="2:11" ht="12.75" customHeight="1">
      <c r="B233" s="80"/>
      <c r="C233" s="909" t="str">
        <f>CHOOSE(jezyk,n!A1708,n!B1708,n!C1708,n!D1706)</f>
        <v>Zafakturowane szacunki przychodów</v>
      </c>
      <c r="D233" s="909"/>
      <c r="E233" s="909"/>
      <c r="F233" s="909"/>
      <c r="G233" s="909"/>
      <c r="H233" s="910"/>
      <c r="I233" s="200">
        <v>0</v>
      </c>
      <c r="J233" s="200">
        <v>0</v>
      </c>
      <c r="K233" s="201">
        <f t="shared" ref="K233:K234" si="15">SUM(I233:J233)</f>
        <v>0</v>
      </c>
    </row>
    <row r="234" spans="2:11" ht="12.75" customHeight="1">
      <c r="B234" s="80"/>
      <c r="C234" s="909" t="str">
        <f>CHOOSE(jezyk,n!A1709,n!B1709,n!C1709,n!D1707)</f>
        <v>Otrzymane nieodpłatne świadczenia</v>
      </c>
      <c r="D234" s="909"/>
      <c r="E234" s="909"/>
      <c r="F234" s="909"/>
      <c r="G234" s="909"/>
      <c r="H234" s="910"/>
      <c r="I234" s="200">
        <v>0</v>
      </c>
      <c r="J234" s="200">
        <v>0</v>
      </c>
      <c r="K234" s="201">
        <f t="shared" si="15"/>
        <v>0</v>
      </c>
    </row>
    <row r="235" spans="2:11">
      <c r="B235" s="80"/>
      <c r="C235" s="909" t="str">
        <f>CHOOSE(jezyk,n!A1747,n!B1747,n!C1747,n!D1745)</f>
        <v>Pozostałe</v>
      </c>
      <c r="D235" s="909"/>
      <c r="E235" s="909"/>
      <c r="F235" s="909"/>
      <c r="G235" s="909"/>
      <c r="H235" s="910"/>
      <c r="I235" s="200">
        <v>0</v>
      </c>
      <c r="J235" s="200">
        <v>0</v>
      </c>
      <c r="K235" s="201">
        <f>SUM(I235:J235)</f>
        <v>0</v>
      </c>
    </row>
    <row r="236" spans="2:11">
      <c r="B236" s="80"/>
      <c r="C236" s="203"/>
      <c r="D236" s="194"/>
      <c r="E236" s="198"/>
      <c r="F236" s="195"/>
      <c r="G236" s="195"/>
      <c r="H236" s="195"/>
      <c r="I236" s="726"/>
      <c r="J236" s="726"/>
      <c r="K236" s="88"/>
    </row>
    <row r="237" spans="2:11" ht="27" customHeight="1">
      <c r="B237" s="88" t="s">
        <v>6833</v>
      </c>
      <c r="C237" s="924" t="str">
        <f>CHOOSE(jezyk,n!A902,n!B902,n!C902,n!D900)</f>
        <v>E. Koszty niestanowiące kosztów uzyskania przychodów (trwałe różnice), w tym:</v>
      </c>
      <c r="D237" s="924"/>
      <c r="E237" s="924"/>
      <c r="F237" s="924"/>
      <c r="G237" s="924"/>
      <c r="H237" s="925"/>
      <c r="I237" s="197">
        <f>SUM(I238:I251)</f>
        <v>0</v>
      </c>
      <c r="J237" s="197">
        <f>SUM(J238:J251)</f>
        <v>0</v>
      </c>
      <c r="K237" s="197">
        <f>SUM(I238:J251)</f>
        <v>0</v>
      </c>
    </row>
    <row r="238" spans="2:11" ht="14.25" customHeight="1">
      <c r="B238" s="80"/>
      <c r="C238" s="909" t="str">
        <f>CHOOSE(jezyk,n!A1711,n!B1711,n!C1711,n!D1707)</f>
        <v xml:space="preserve">Koszty dotyczące samochodów wynajmowanych powyżej limitu </v>
      </c>
      <c r="D238" s="909"/>
      <c r="E238" s="909"/>
      <c r="F238" s="909"/>
      <c r="G238" s="909"/>
      <c r="H238" s="910"/>
      <c r="I238" s="200">
        <v>0</v>
      </c>
      <c r="J238" s="200">
        <v>0</v>
      </c>
      <c r="K238" s="201">
        <f>SUM(I238:J238)</f>
        <v>0</v>
      </c>
    </row>
    <row r="239" spans="2:11" ht="30" customHeight="1">
      <c r="B239" s="80"/>
      <c r="C239" s="909" t="str">
        <f>CHOOSE(jezyk,n!A1712,n!B1712,n!C1712,n!D1708)</f>
        <v>Koszty używania samochodów osobowych do celów mieszanych (25%)</v>
      </c>
      <c r="D239" s="909"/>
      <c r="E239" s="909"/>
      <c r="F239" s="909"/>
      <c r="G239" s="909"/>
      <c r="H239" s="910"/>
      <c r="I239" s="200">
        <v>0</v>
      </c>
      <c r="J239" s="200">
        <v>0</v>
      </c>
      <c r="K239" s="201">
        <f>SUM(I239:J239)</f>
        <v>0</v>
      </c>
    </row>
    <row r="240" spans="2:11" ht="15" customHeight="1">
      <c r="B240" s="80"/>
      <c r="C240" s="909" t="str">
        <f>CHOOSE(jezyk,n!A1713,n!B1713,n!C1713,n!D1710)</f>
        <v>PFRON</v>
      </c>
      <c r="D240" s="909"/>
      <c r="E240" s="909"/>
      <c r="F240" s="909"/>
      <c r="G240" s="909"/>
      <c r="H240" s="910"/>
      <c r="I240" s="200">
        <v>0</v>
      </c>
      <c r="J240" s="200">
        <v>0</v>
      </c>
      <c r="K240" s="201">
        <f t="shared" ref="K240:K248" si="16">SUM(I240:J240)</f>
        <v>0</v>
      </c>
    </row>
    <row r="241" spans="2:11" ht="12.75" customHeight="1">
      <c r="B241" s="80"/>
      <c r="C241" s="909" t="str">
        <f>CHOOSE(jezyk,n!A1714,n!B1714,n!C1714,n!D1711)</f>
        <v>Przekazane darowizny</v>
      </c>
      <c r="D241" s="909"/>
      <c r="E241" s="909"/>
      <c r="F241" s="909"/>
      <c r="G241" s="909"/>
      <c r="H241" s="910"/>
      <c r="I241" s="200">
        <v>0</v>
      </c>
      <c r="J241" s="200">
        <v>0</v>
      </c>
      <c r="K241" s="201">
        <f t="shared" si="16"/>
        <v>0</v>
      </c>
    </row>
    <row r="242" spans="2:11" ht="12.75" customHeight="1">
      <c r="B242" s="80"/>
      <c r="C242" s="909" t="str">
        <f>CHOOSE(jezyk,n!A1715,n!B1715,n!C1715,n!D1713)</f>
        <v>Składki członkowskie</v>
      </c>
      <c r="D242" s="909"/>
      <c r="E242" s="909"/>
      <c r="F242" s="909"/>
      <c r="G242" s="909"/>
      <c r="H242" s="910"/>
      <c r="I242" s="200">
        <v>0</v>
      </c>
      <c r="J242" s="200">
        <v>0</v>
      </c>
      <c r="K242" s="201">
        <f t="shared" si="16"/>
        <v>0</v>
      </c>
    </row>
    <row r="243" spans="2:11" ht="12.75" customHeight="1">
      <c r="B243" s="80"/>
      <c r="C243" s="909" t="str">
        <f>CHOOSE(jezyk,n!A1716,n!B1716,n!C1716,n!D1714)</f>
        <v>Diety powyżej limitów</v>
      </c>
      <c r="D243" s="909"/>
      <c r="E243" s="909"/>
      <c r="F243" s="909"/>
      <c r="G243" s="909"/>
      <c r="H243" s="910"/>
      <c r="I243" s="200">
        <v>0</v>
      </c>
      <c r="J243" s="200">
        <v>0</v>
      </c>
      <c r="K243" s="201">
        <f t="shared" si="16"/>
        <v>0</v>
      </c>
    </row>
    <row r="244" spans="2:11" ht="12.75" customHeight="1">
      <c r="B244" s="80"/>
      <c r="C244" s="909" t="str">
        <f>CHOOSE(jezyk,n!A1717,n!B1717,n!C1717,n!D1715)</f>
        <v>Ubezpieczenie samochodu o wartości powyżej 150 TPLN</v>
      </c>
      <c r="D244" s="909"/>
      <c r="E244" s="909"/>
      <c r="F244" s="909"/>
      <c r="G244" s="909"/>
      <c r="H244" s="910"/>
      <c r="I244" s="200">
        <v>0</v>
      </c>
      <c r="J244" s="200">
        <v>0</v>
      </c>
      <c r="K244" s="201">
        <f t="shared" si="16"/>
        <v>0</v>
      </c>
    </row>
    <row r="245" spans="2:11" ht="25.5" customHeight="1">
      <c r="B245" s="80"/>
      <c r="C245" s="909" t="str">
        <f>CHOOSE(jezyk,n!A1718,n!B1718,n!C1718,n!D1716)</f>
        <v>Amortyzacja samochodów osobowych o wartości powyżej 150 TPLN</v>
      </c>
      <c r="D245" s="909"/>
      <c r="E245" s="909"/>
      <c r="F245" s="909"/>
      <c r="G245" s="909"/>
      <c r="H245" s="910"/>
      <c r="I245" s="200">
        <v>0</v>
      </c>
      <c r="J245" s="200">
        <v>0</v>
      </c>
      <c r="K245" s="201">
        <f t="shared" si="16"/>
        <v>0</v>
      </c>
    </row>
    <row r="246" spans="2:11" ht="26.25" customHeight="1">
      <c r="B246" s="80"/>
      <c r="C246" s="909" t="str">
        <f>CHOOSE(jezyk,n!A1719,n!B1719,n!C1719,n!D1717)</f>
        <v>Amortyzacja bilansowa odmiennie rozliczana od amortyzacji podatkowej</v>
      </c>
      <c r="D246" s="909"/>
      <c r="E246" s="909"/>
      <c r="F246" s="909"/>
      <c r="G246" s="909"/>
      <c r="H246" s="910"/>
      <c r="I246" s="200">
        <v>0</v>
      </c>
      <c r="J246" s="200">
        <v>0</v>
      </c>
      <c r="K246" s="201">
        <f t="shared" ref="K246" si="17">SUM(I246:J246)</f>
        <v>0</v>
      </c>
    </row>
    <row r="247" spans="2:11" ht="12.75" customHeight="1">
      <c r="B247" s="80"/>
      <c r="C247" s="909" t="str">
        <f>CHOOSE(jezyk,n!A1720,n!B1720,n!C1720,n!#REF!)</f>
        <v>Koszty reprezentacji</v>
      </c>
      <c r="D247" s="909"/>
      <c r="E247" s="909"/>
      <c r="F247" s="909"/>
      <c r="G247" s="909"/>
      <c r="H247" s="910"/>
      <c r="I247" s="200">
        <v>0</v>
      </c>
      <c r="J247" s="200">
        <v>0</v>
      </c>
      <c r="K247" s="201">
        <f t="shared" si="16"/>
        <v>0</v>
      </c>
    </row>
    <row r="248" spans="2:11" ht="12.75" customHeight="1">
      <c r="B248" s="80"/>
      <c r="C248" s="909" t="str">
        <f>CHOOSE(jezyk,n!A1721,n!B1721,n!C1721,n!#REF!)</f>
        <v>Kary umowne oraz odszkodowania za nieterminowe dostawy</v>
      </c>
      <c r="D248" s="909"/>
      <c r="E248" s="909"/>
      <c r="F248" s="909"/>
      <c r="G248" s="909"/>
      <c r="H248" s="910"/>
      <c r="I248" s="200">
        <v>0</v>
      </c>
      <c r="J248" s="200">
        <v>0</v>
      </c>
      <c r="K248" s="201">
        <f t="shared" si="16"/>
        <v>0</v>
      </c>
    </row>
    <row r="249" spans="2:11" ht="12.75" customHeight="1">
      <c r="B249" s="80"/>
      <c r="C249" s="909" t="str">
        <f>CHOOSE(jezyk,n!A1722,n!B1722,n!C1722,n!D1720)</f>
        <v>Odsetki budżetowe</v>
      </c>
      <c r="D249" s="909"/>
      <c r="E249" s="909"/>
      <c r="F249" s="909"/>
      <c r="G249" s="909"/>
      <c r="H249" s="910"/>
      <c r="I249" s="200">
        <v>0</v>
      </c>
      <c r="J249" s="200">
        <v>0</v>
      </c>
      <c r="K249" s="201">
        <f>SUM(I249:J249)</f>
        <v>0</v>
      </c>
    </row>
    <row r="250" spans="2:11" ht="12.75" customHeight="1">
      <c r="B250" s="80"/>
      <c r="C250" s="909" t="str">
        <f>CHOOSE(jezyk,n!A1723,n!B1723,n!C1723,n!D1721)</f>
        <v>Koszty finansowania dłużnego</v>
      </c>
      <c r="D250" s="909"/>
      <c r="E250" s="909"/>
      <c r="F250" s="909"/>
      <c r="G250" s="909"/>
      <c r="H250" s="910"/>
      <c r="I250" s="200">
        <v>0</v>
      </c>
      <c r="J250" s="200">
        <v>0</v>
      </c>
      <c r="K250" s="201">
        <f>SUM(I250:J250)</f>
        <v>0</v>
      </c>
    </row>
    <row r="251" spans="2:11">
      <c r="B251" s="80"/>
      <c r="C251" s="909" t="str">
        <f>CHOOSE(jezyk,n!A1747,n!B1747,n!C1747,n!D1745)</f>
        <v>Pozostałe</v>
      </c>
      <c r="D251" s="909"/>
      <c r="E251" s="909"/>
      <c r="F251" s="909"/>
      <c r="G251" s="909"/>
      <c r="H251" s="910"/>
      <c r="I251" s="200">
        <v>0</v>
      </c>
      <c r="J251" s="200">
        <v>0</v>
      </c>
      <c r="K251" s="201">
        <f>SUM(I251:J251)</f>
        <v>0</v>
      </c>
    </row>
    <row r="252" spans="2:11" hidden="1">
      <c r="C252" s="209"/>
      <c r="D252" s="209"/>
      <c r="E252" s="209"/>
      <c r="F252" s="210"/>
      <c r="G252" s="209"/>
      <c r="I252" s="251"/>
      <c r="J252" s="251"/>
      <c r="K252" s="251"/>
    </row>
    <row r="253" spans="2:11" ht="12.75" hidden="1" customHeight="1">
      <c r="B253" s="80"/>
      <c r="C253" s="203"/>
      <c r="D253" s="194"/>
      <c r="E253" s="198"/>
      <c r="F253" s="195"/>
      <c r="G253" s="195"/>
      <c r="H253" s="195"/>
      <c r="I253" s="191" t="str">
        <f>I208</f>
        <v>Zysk kapit.</v>
      </c>
      <c r="J253" s="191" t="str">
        <f>J208</f>
        <v>Inne źródła</v>
      </c>
      <c r="K253" s="204" t="str">
        <f>K208</f>
        <v>Łącznie:</v>
      </c>
    </row>
    <row r="254" spans="2:11">
      <c r="B254" s="80"/>
      <c r="C254" s="203"/>
      <c r="D254" s="194"/>
      <c r="E254" s="198"/>
      <c r="F254" s="195"/>
      <c r="G254" s="195"/>
      <c r="H254" s="195"/>
      <c r="I254" s="72"/>
      <c r="J254" s="72"/>
      <c r="K254" s="72"/>
    </row>
    <row r="255" spans="2:11" ht="29.25" customHeight="1">
      <c r="B255" s="88" t="s">
        <v>6833</v>
      </c>
      <c r="C255" s="924" t="str">
        <f>CHOOSE(jezyk,n!A903,n!B903,n!C903,n!D901)</f>
        <v>F. Koszty nieuznawane za koszty uzyskania przychodów w bieżącym roku, w tym:</v>
      </c>
      <c r="D255" s="924"/>
      <c r="E255" s="924"/>
      <c r="F255" s="924"/>
      <c r="G255" s="924"/>
      <c r="H255" s="925"/>
      <c r="I255" s="197">
        <f>SUM(I256:I267)</f>
        <v>0</v>
      </c>
      <c r="J255" s="197">
        <f>SUM(J256:J267)</f>
        <v>0</v>
      </c>
      <c r="K255" s="197">
        <f>SUM(I256:J267)</f>
        <v>0</v>
      </c>
    </row>
    <row r="256" spans="2:11">
      <c r="B256" s="88"/>
      <c r="C256" s="909" t="str">
        <f>CHOOSE(jezyk,n!A1725,n!B1725,n!C1725,n!D1720)</f>
        <v>Odpisy aktualizujące aktywa trwałe</v>
      </c>
      <c r="D256" s="909"/>
      <c r="E256" s="909"/>
      <c r="F256" s="909"/>
      <c r="G256" s="909"/>
      <c r="H256" s="910"/>
      <c r="I256" s="200">
        <v>0</v>
      </c>
      <c r="J256" s="200">
        <v>0</v>
      </c>
      <c r="K256" s="201">
        <f t="shared" ref="K256:K257" si="18">SUM(I256:J256)</f>
        <v>0</v>
      </c>
    </row>
    <row r="257" spans="2:11">
      <c r="B257" s="88"/>
      <c r="C257" s="909" t="str">
        <f>CHOOSE(jezyk,n!A1726,n!B1726,n!C1726,n!D1721)</f>
        <v>Odpisy aktualizujące zapasy</v>
      </c>
      <c r="D257" s="909"/>
      <c r="E257" s="909"/>
      <c r="F257" s="909"/>
      <c r="G257" s="909"/>
      <c r="H257" s="910"/>
      <c r="I257" s="200">
        <v>0</v>
      </c>
      <c r="J257" s="200">
        <v>0</v>
      </c>
      <c r="K257" s="201">
        <f t="shared" si="18"/>
        <v>0</v>
      </c>
    </row>
    <row r="258" spans="2:11">
      <c r="B258" s="80"/>
      <c r="C258" s="909" t="str">
        <f>CHOOSE(jezyk,n!A1727,n!B1727,n!C1727,n!D1722)</f>
        <v>Odpisy aktualizujące należności</v>
      </c>
      <c r="D258" s="909"/>
      <c r="E258" s="909"/>
      <c r="F258" s="909"/>
      <c r="G258" s="909"/>
      <c r="H258" s="910"/>
      <c r="I258" s="200">
        <v>0</v>
      </c>
      <c r="J258" s="200">
        <v>0</v>
      </c>
      <c r="K258" s="201">
        <f t="shared" ref="K258:K267" si="19">SUM(I258:J258)</f>
        <v>0</v>
      </c>
    </row>
    <row r="259" spans="2:11" ht="15" customHeight="1">
      <c r="B259" s="80"/>
      <c r="C259" s="909" t="str">
        <f>CHOOSE(jezyk,n!A1728,n!B1728,n!C1728,n!D1723)</f>
        <v>Odpisy aktualizujące aktywa finansowe</v>
      </c>
      <c r="D259" s="909"/>
      <c r="E259" s="909"/>
      <c r="F259" s="909"/>
      <c r="G259" s="909"/>
      <c r="H259" s="910"/>
      <c r="I259" s="200">
        <v>0</v>
      </c>
      <c r="J259" s="200">
        <v>0</v>
      </c>
      <c r="K259" s="201">
        <f t="shared" ref="K259:K260" si="20">SUM(I259:J259)</f>
        <v>0</v>
      </c>
    </row>
    <row r="260" spans="2:11" ht="26.25" customHeight="1">
      <c r="B260" s="80"/>
      <c r="C260" s="909" t="str">
        <f>CHOOSE(jezyk,n!A1729,n!B1729,n!C1729,n!D1724)</f>
        <v>Amortyzacja bilansowa odmiennie rozliczana od amortyzacji podatkowej</v>
      </c>
      <c r="D260" s="909"/>
      <c r="E260" s="909"/>
      <c r="F260" s="909"/>
      <c r="G260" s="909"/>
      <c r="H260" s="910"/>
      <c r="I260" s="200">
        <v>0</v>
      </c>
      <c r="J260" s="200">
        <v>0</v>
      </c>
      <c r="K260" s="201">
        <f t="shared" si="20"/>
        <v>0</v>
      </c>
    </row>
    <row r="261" spans="2:11" ht="12.75" customHeight="1">
      <c r="B261" s="80"/>
      <c r="C261" s="909" t="str">
        <f>CHOOSE(jezyk,n!A1730,n!B1730,n!C1730,n!D1724)</f>
        <v>Różnice kursowe ujemne niezrealizowane</v>
      </c>
      <c r="D261" s="909"/>
      <c r="E261" s="909"/>
      <c r="F261" s="909"/>
      <c r="G261" s="909"/>
      <c r="H261" s="910"/>
      <c r="I261" s="200">
        <v>0</v>
      </c>
      <c r="J261" s="200">
        <v>0</v>
      </c>
      <c r="K261" s="201">
        <f t="shared" si="19"/>
        <v>0</v>
      </c>
    </row>
    <row r="262" spans="2:11" ht="12.75" customHeight="1">
      <c r="B262" s="80"/>
      <c r="C262" s="909" t="str">
        <f>CHOOSE(jezyk,n!A1731,n!B1731,n!C1731,n!D1727)</f>
        <v>Nieopłacone do ZUS składki - narzuty na wynagrodzenia</v>
      </c>
      <c r="D262" s="909"/>
      <c r="E262" s="909"/>
      <c r="F262" s="909"/>
      <c r="G262" s="909"/>
      <c r="H262" s="910"/>
      <c r="I262" s="200">
        <v>0</v>
      </c>
      <c r="J262" s="200">
        <v>0</v>
      </c>
      <c r="K262" s="201">
        <f t="shared" si="19"/>
        <v>0</v>
      </c>
    </row>
    <row r="263" spans="2:11" ht="12.75" customHeight="1">
      <c r="B263" s="80"/>
      <c r="C263" s="909" t="str">
        <f>CHOOSE(jezyk,n!A1732,n!B1732,n!C1732,n!D1730)</f>
        <v>Niewypłacone w terminie wynagrodzenia</v>
      </c>
      <c r="D263" s="909"/>
      <c r="E263" s="909"/>
      <c r="F263" s="909"/>
      <c r="G263" s="909"/>
      <c r="H263" s="910"/>
      <c r="I263" s="200">
        <v>0</v>
      </c>
      <c r="J263" s="200">
        <v>0</v>
      </c>
      <c r="K263" s="201">
        <f t="shared" si="19"/>
        <v>0</v>
      </c>
    </row>
    <row r="264" spans="2:11" ht="12.75" customHeight="1">
      <c r="B264" s="80"/>
      <c r="C264" s="909" t="str">
        <f>CHOOSE(jezyk,n!A1733,n!B1733,n!C1733,n!D1731)</f>
        <v>Utworzone rezerwy</v>
      </c>
      <c r="D264" s="909"/>
      <c r="E264" s="909"/>
      <c r="F264" s="909"/>
      <c r="G264" s="909"/>
      <c r="H264" s="910"/>
      <c r="I264" s="200">
        <v>0</v>
      </c>
      <c r="J264" s="200">
        <v>0</v>
      </c>
      <c r="K264" s="201">
        <f t="shared" si="19"/>
        <v>0</v>
      </c>
    </row>
    <row r="265" spans="2:11" ht="12.75" customHeight="1">
      <c r="B265" s="80"/>
      <c r="C265" s="909" t="str">
        <f>CHOOSE(jezyk,n!A1734,n!B1734,n!C1734,n!D1732)</f>
        <v>Niewypłacone diety</v>
      </c>
      <c r="D265" s="909"/>
      <c r="E265" s="909"/>
      <c r="F265" s="909"/>
      <c r="G265" s="909"/>
      <c r="H265" s="910"/>
      <c r="I265" s="200">
        <v>0</v>
      </c>
      <c r="J265" s="200">
        <v>0</v>
      </c>
      <c r="K265" s="201">
        <f t="shared" si="19"/>
        <v>0</v>
      </c>
    </row>
    <row r="266" spans="2:11" ht="12.75" customHeight="1">
      <c r="B266" s="80"/>
      <c r="C266" s="909" t="str">
        <f>CHOOSE(jezyk,n!A1735,n!B1735,n!C1735,n!D1733)</f>
        <v>Odsetki naliczone</v>
      </c>
      <c r="D266" s="909"/>
      <c r="E266" s="909"/>
      <c r="F266" s="909"/>
      <c r="G266" s="909"/>
      <c r="H266" s="910"/>
      <c r="I266" s="200">
        <v>0</v>
      </c>
      <c r="J266" s="200">
        <v>0</v>
      </c>
      <c r="K266" s="201">
        <f t="shared" si="19"/>
        <v>0</v>
      </c>
    </row>
    <row r="267" spans="2:11">
      <c r="B267" s="80"/>
      <c r="C267" s="909" t="str">
        <f>CHOOSE(jezyk,n!A1747,n!B1747,n!C1747,n!D1745)</f>
        <v>Pozostałe</v>
      </c>
      <c r="D267" s="909"/>
      <c r="E267" s="909"/>
      <c r="F267" s="909"/>
      <c r="G267" s="909"/>
      <c r="H267" s="910"/>
      <c r="I267" s="200">
        <v>0</v>
      </c>
      <c r="J267" s="200">
        <v>0</v>
      </c>
      <c r="K267" s="201">
        <f t="shared" si="19"/>
        <v>0</v>
      </c>
    </row>
    <row r="268" spans="2:11">
      <c r="B268" s="80"/>
      <c r="C268" s="203"/>
      <c r="D268" s="194"/>
      <c r="E268" s="198"/>
      <c r="F268" s="195"/>
      <c r="G268" s="195"/>
      <c r="H268" s="195"/>
      <c r="I268" s="101"/>
      <c r="J268" s="101"/>
      <c r="K268" s="88"/>
    </row>
    <row r="269" spans="2:11" ht="30.75" customHeight="1">
      <c r="B269" s="88" t="s">
        <v>6831</v>
      </c>
      <c r="C269" s="924" t="str">
        <f>CHOOSE(jezyk,n!A904,n!B904,n!C904,n!D902)</f>
        <v>G. Koszty uznawane za koszty uzyskania przychodów w roku bieżącym ujęte w księgach lat ubiegłych, w tym:</v>
      </c>
      <c r="D269" s="924"/>
      <c r="E269" s="924"/>
      <c r="F269" s="924"/>
      <c r="G269" s="924"/>
      <c r="H269" s="925"/>
      <c r="I269" s="197">
        <f>SUM(I270:I275)</f>
        <v>0</v>
      </c>
      <c r="J269" s="197">
        <f>SUM(J270:J275)</f>
        <v>0</v>
      </c>
      <c r="K269" s="197">
        <f>SUM(I270:J275)</f>
        <v>0</v>
      </c>
    </row>
    <row r="270" spans="2:11" ht="25.35" customHeight="1">
      <c r="B270" s="80"/>
      <c r="C270" s="909" t="str">
        <f>CHOOSE(jezyk,n!A1737,n!B1737,n!C1737,n!D1735)</f>
        <v>Niewypłacone składki ZUS w roku poprzednim zapłacone w roku bieżącym</v>
      </c>
      <c r="D270" s="909"/>
      <c r="E270" s="909"/>
      <c r="F270" s="909"/>
      <c r="G270" s="909"/>
      <c r="H270" s="910"/>
      <c r="I270" s="200">
        <v>0</v>
      </c>
      <c r="J270" s="200">
        <v>0</v>
      </c>
      <c r="K270" s="201">
        <f t="shared" ref="K270:K275" si="21">SUM(I270:J270)</f>
        <v>0</v>
      </c>
    </row>
    <row r="271" spans="2:11" ht="12.75" customHeight="1">
      <c r="B271" s="80"/>
      <c r="C271" s="909" t="str">
        <f>CHOOSE(jezyk,n!A1738,n!B1738,n!C1738,n!D1736)</f>
        <v>Wypłacone po terminie wynagrodzenia</v>
      </c>
      <c r="D271" s="909"/>
      <c r="E271" s="909"/>
      <c r="F271" s="909"/>
      <c r="G271" s="909"/>
      <c r="H271" s="910"/>
      <c r="I271" s="200">
        <v>0</v>
      </c>
      <c r="J271" s="200">
        <v>0</v>
      </c>
      <c r="K271" s="201">
        <f t="shared" si="21"/>
        <v>0</v>
      </c>
    </row>
    <row r="272" spans="2:11" ht="12.75" customHeight="1">
      <c r="B272" s="80"/>
      <c r="C272" s="909" t="str">
        <f>CHOOSE(jezyk,n!A1739,n!B1739,n!C1739,n!D1737)</f>
        <v>Wykorzystane rezerwy z roku poprzedniego</v>
      </c>
      <c r="D272" s="909"/>
      <c r="E272" s="909"/>
      <c r="F272" s="909"/>
      <c r="G272" s="909"/>
      <c r="H272" s="910"/>
      <c r="I272" s="200">
        <v>0</v>
      </c>
      <c r="J272" s="200">
        <v>0</v>
      </c>
      <c r="K272" s="201">
        <f t="shared" si="21"/>
        <v>0</v>
      </c>
    </row>
    <row r="273" spans="2:12" ht="12.75" customHeight="1">
      <c r="B273" s="80"/>
      <c r="C273" s="909" t="str">
        <f>CHOOSE(jezyk,n!A1740,n!B1740,n!C1740,n!D1738)</f>
        <v>Niewypłacone diety w roku poprzednim, zapłacone w roku bieżącym</v>
      </c>
      <c r="D273" s="909"/>
      <c r="E273" s="909"/>
      <c r="F273" s="909"/>
      <c r="G273" s="909"/>
      <c r="H273" s="910"/>
      <c r="I273" s="200">
        <v>0</v>
      </c>
      <c r="J273" s="200">
        <v>0</v>
      </c>
      <c r="K273" s="201">
        <f t="shared" si="21"/>
        <v>0</v>
      </c>
    </row>
    <row r="274" spans="2:12" ht="12.75" customHeight="1">
      <c r="B274" s="80"/>
      <c r="C274" s="909" t="str">
        <f>CHOOSE(jezyk,n!A1741,n!B1741,n!C1741,n!D1739)</f>
        <v>Odsetki naliczone w roku poprzednim zapłacone w roku bieżącym</v>
      </c>
      <c r="D274" s="909"/>
      <c r="E274" s="909"/>
      <c r="F274" s="909"/>
      <c r="G274" s="909"/>
      <c r="H274" s="910"/>
      <c r="I274" s="200">
        <v>0</v>
      </c>
      <c r="J274" s="200">
        <v>0</v>
      </c>
      <c r="K274" s="201">
        <f t="shared" si="21"/>
        <v>0</v>
      </c>
    </row>
    <row r="275" spans="2:12">
      <c r="B275" s="80"/>
      <c r="C275" s="909" t="str">
        <f>CHOOSE(jezyk,n!A1747,n!B1747,n!C1747,n!D1745)</f>
        <v>Pozostałe</v>
      </c>
      <c r="D275" s="909"/>
      <c r="E275" s="909"/>
      <c r="F275" s="909"/>
      <c r="G275" s="909"/>
      <c r="H275" s="910"/>
      <c r="I275" s="200">
        <v>0</v>
      </c>
      <c r="J275" s="200">
        <v>0</v>
      </c>
      <c r="K275" s="201">
        <f t="shared" si="21"/>
        <v>0</v>
      </c>
    </row>
    <row r="276" spans="2:12">
      <c r="B276" s="80"/>
      <c r="C276" s="203"/>
      <c r="D276" s="194"/>
      <c r="E276" s="198"/>
      <c r="F276" s="195"/>
      <c r="G276" s="195"/>
      <c r="H276" s="195"/>
      <c r="I276" s="101"/>
      <c r="J276" s="101"/>
      <c r="K276" s="88"/>
    </row>
    <row r="277" spans="2:12" ht="12.75" customHeight="1">
      <c r="B277" s="80"/>
      <c r="C277" s="924" t="str">
        <f>CHOOSE(jezyk,n!A905,n!B905,n!C905,n!D903)</f>
        <v>H. Strata z lat ubiegłych, w tym:</v>
      </c>
      <c r="D277" s="924"/>
      <c r="E277" s="924"/>
      <c r="F277" s="924"/>
      <c r="G277" s="924"/>
      <c r="H277" s="925"/>
      <c r="I277" s="197">
        <f>SUM(I278:I279)</f>
        <v>0</v>
      </c>
      <c r="J277" s="197">
        <f>SUM(J278:J279)</f>
        <v>0</v>
      </c>
      <c r="K277" s="197">
        <f>SUM(K278:K279)</f>
        <v>0</v>
      </c>
    </row>
    <row r="278" spans="2:12">
      <c r="B278" s="80"/>
      <c r="C278" s="909"/>
      <c r="D278" s="909"/>
      <c r="E278" s="909"/>
      <c r="F278" s="909"/>
      <c r="G278" s="909"/>
      <c r="H278" s="195"/>
      <c r="I278" s="200"/>
      <c r="J278" s="200"/>
      <c r="K278" s="201">
        <f>SUM(I278:J278)</f>
        <v>0</v>
      </c>
    </row>
    <row r="279" spans="2:12">
      <c r="B279" s="80"/>
      <c r="C279" s="203"/>
      <c r="D279" s="194"/>
      <c r="E279" s="198"/>
      <c r="F279" s="195"/>
      <c r="G279" s="195"/>
      <c r="H279" s="195"/>
      <c r="I279" s="101"/>
      <c r="J279" s="101"/>
      <c r="K279" s="88"/>
    </row>
    <row r="280" spans="2:12" ht="12.75" customHeight="1">
      <c r="B280" s="80"/>
      <c r="C280" s="924" t="str">
        <f>CHOOSE(jezyk,n!A906,n!B906,n!C906,n!D904)</f>
        <v>I. Inne zmiany podstawy opodatkowania, w tym:</v>
      </c>
      <c r="D280" s="924"/>
      <c r="E280" s="924"/>
      <c r="F280" s="924"/>
      <c r="G280" s="924"/>
      <c r="H280" s="925"/>
      <c r="I280" s="197">
        <f>SUM(I281:I282)</f>
        <v>0</v>
      </c>
      <c r="J280" s="197">
        <f>SUM(J281:J282)</f>
        <v>0</v>
      </c>
      <c r="K280" s="197">
        <f>SUM(I281:J282)</f>
        <v>0</v>
      </c>
    </row>
    <row r="281" spans="2:12" ht="12.75" customHeight="1">
      <c r="B281" s="80"/>
      <c r="C281" s="909" t="str">
        <f>CHOOSE(jezyk,n!A1618,n!B1618,n!C1618,n!D1616)</f>
        <v>darowizny</v>
      </c>
      <c r="D281" s="909"/>
      <c r="E281" s="909"/>
      <c r="F281" s="909"/>
      <c r="G281" s="909"/>
      <c r="H281" s="195"/>
      <c r="I281" s="200"/>
      <c r="J281" s="200"/>
      <c r="K281" s="201">
        <f>SUM(I281:J281)</f>
        <v>0</v>
      </c>
    </row>
    <row r="282" spans="2:12">
      <c r="B282" s="80"/>
      <c r="C282" s="203"/>
      <c r="D282" s="194"/>
      <c r="E282" s="198"/>
      <c r="F282" s="195"/>
      <c r="G282" s="195"/>
      <c r="H282" s="195"/>
      <c r="I282" s="101"/>
      <c r="J282" s="101"/>
      <c r="K282" s="88"/>
    </row>
    <row r="283" spans="2:12" ht="12.75" customHeight="1">
      <c r="B283" s="80"/>
      <c r="C283" s="924" t="str">
        <f>CHOOSE(jezyk,n!A907,n!B907,n!C907,n!D905)</f>
        <v>J. Podstawa opodatkowania podatkiem dochodowym</v>
      </c>
      <c r="D283" s="924"/>
      <c r="E283" s="924"/>
      <c r="F283" s="924"/>
      <c r="G283" s="924"/>
      <c r="H283" s="924"/>
      <c r="I283" s="197">
        <f>I209-I211-I218+I230+I237+I255-I269-I277-I280</f>
        <v>0</v>
      </c>
      <c r="J283" s="197">
        <f>J209-J211-J218+J230+J237+J255-J269-J277+J280</f>
        <v>-313.38</v>
      </c>
      <c r="K283" s="197">
        <f>I283+J283</f>
        <v>-313.38</v>
      </c>
    </row>
    <row r="284" spans="2:12">
      <c r="B284" s="80"/>
      <c r="C284" s="194"/>
      <c r="D284" s="194"/>
      <c r="E284" s="198"/>
      <c r="F284" s="195"/>
      <c r="G284" s="195"/>
      <c r="H284" s="195"/>
      <c r="I284" s="88"/>
      <c r="J284" s="88"/>
      <c r="K284" s="88"/>
    </row>
    <row r="285" spans="2:12" ht="12.75" customHeight="1">
      <c r="B285" s="80"/>
      <c r="C285" s="967" t="str">
        <f>CHOOSE(jezyk,n!A919,n!B919,n!C919,n!D917)</f>
        <v>Podstawa PDOP (po zaokrągleniu)</v>
      </c>
      <c r="D285" s="967"/>
      <c r="E285" s="967"/>
      <c r="F285" s="967"/>
      <c r="G285" s="967"/>
      <c r="H285" s="967"/>
      <c r="I285" s="197">
        <f>ROUND(I283,0)</f>
        <v>0</v>
      </c>
      <c r="J285" s="197">
        <f>ROUND(J283,0)</f>
        <v>-313</v>
      </c>
      <c r="K285" s="197">
        <f>ROUND(K283,0)</f>
        <v>-313</v>
      </c>
      <c r="L285" s="197">
        <f>ROUND(K283,0)-K285</f>
        <v>0</v>
      </c>
    </row>
    <row r="286" spans="2:12">
      <c r="B286" s="80"/>
      <c r="C286" s="967"/>
      <c r="D286" s="967"/>
      <c r="E286" s="967"/>
      <c r="F286" s="967"/>
      <c r="G286" s="967"/>
      <c r="H286" s="967"/>
      <c r="I286" s="88"/>
      <c r="J286" s="88"/>
      <c r="K286" s="88"/>
    </row>
    <row r="287" spans="2:12" ht="12.75" customHeight="1">
      <c r="B287" s="80"/>
      <c r="C287" s="205" t="str">
        <f>CHOOSE(jezyk,n!A908,n!B908,n!C908,n!D906)</f>
        <v>K. Podatek dochodowy</v>
      </c>
      <c r="D287" s="205"/>
      <c r="E287" s="205"/>
      <c r="F287" s="205"/>
      <c r="G287" s="273">
        <f>G199</f>
        <v>0.19</v>
      </c>
      <c r="H287" s="205"/>
      <c r="I287" s="197">
        <f>IF((I285*G287)&gt;0,ROUND(I285*G287,0),0)</f>
        <v>0</v>
      </c>
      <c r="J287" s="197">
        <f>IF((J285*G287)&gt;0,ROUND(J285*G287,0),0)</f>
        <v>0</v>
      </c>
      <c r="K287" s="197">
        <f>IF((K285*G287)&gt;0,ROUND(K285*G287,0),0)</f>
        <v>0</v>
      </c>
      <c r="L287" s="197">
        <f>K285-J285-I285</f>
        <v>0</v>
      </c>
    </row>
    <row r="288" spans="2:12">
      <c r="B288" s="111"/>
      <c r="C288" s="190"/>
      <c r="D288" s="206"/>
      <c r="E288" s="190"/>
      <c r="F288" s="72"/>
      <c r="G288" s="72"/>
      <c r="H288" s="72"/>
      <c r="I288" s="88"/>
      <c r="J288" s="88"/>
      <c r="K288" s="88"/>
    </row>
    <row r="289" spans="2:12">
      <c r="B289" s="111"/>
      <c r="C289" s="190"/>
      <c r="D289" s="673" t="str">
        <f>CHOOSE(jezyk,n!A921,n!B921,n!C921,n!D919)</f>
        <v>zmiana podatku odroczonego</v>
      </c>
      <c r="E289" s="72"/>
      <c r="F289" s="72"/>
      <c r="G289" s="72"/>
      <c r="H289" s="72"/>
      <c r="I289" s="208"/>
      <c r="J289" s="208"/>
      <c r="K289" s="201">
        <f>J326</f>
        <v>0</v>
      </c>
    </row>
    <row r="290" spans="2:12">
      <c r="B290" s="111"/>
      <c r="C290" s="190"/>
      <c r="D290" s="673" t="str">
        <f>CHOOSE(jezyk,n!A1744,n!B1744,n!C1744,n!D1742)</f>
        <v>korekta podatku dochodowego za lata ubiegłe</v>
      </c>
      <c r="E290" s="72"/>
      <c r="F290" s="72"/>
      <c r="G290" s="72"/>
      <c r="H290" s="72"/>
      <c r="I290" s="208"/>
      <c r="J290" s="208"/>
      <c r="K290" s="674">
        <v>0</v>
      </c>
    </row>
    <row r="291" spans="2:12">
      <c r="B291" s="111"/>
      <c r="C291" s="190"/>
      <c r="D291" s="190"/>
      <c r="E291" s="190"/>
      <c r="F291" s="72"/>
      <c r="G291" s="72"/>
      <c r="H291" s="72"/>
      <c r="I291" s="208"/>
      <c r="J291" s="208"/>
      <c r="K291" s="208"/>
    </row>
    <row r="292" spans="2:12">
      <c r="B292" s="111"/>
      <c r="C292" s="207" t="str">
        <f>CHOOSE(jezyk,n!A922,n!B922,n!C922,n!D920)</f>
        <v>Razem podatek dochodowy</v>
      </c>
      <c r="D292" s="190"/>
      <c r="E292" s="190"/>
      <c r="F292" s="72"/>
      <c r="G292" s="72"/>
      <c r="H292" s="72"/>
      <c r="I292" s="208"/>
      <c r="J292" s="208"/>
      <c r="K292" s="197">
        <f>K287+K289+K290</f>
        <v>0</v>
      </c>
      <c r="L292" s="179">
        <f>IF(wrach=1,ROUND(K292-'RZiS Por. '!F76,2),ROUND(K292-'RZiS Kal.'!G72,2))</f>
        <v>0</v>
      </c>
    </row>
    <row r="293" spans="2:12">
      <c r="C293" s="209"/>
      <c r="D293" s="209"/>
      <c r="E293" s="209"/>
      <c r="F293" s="210"/>
      <c r="G293" s="209"/>
      <c r="I293" s="251"/>
      <c r="J293" s="251"/>
      <c r="K293" s="251"/>
    </row>
    <row r="294" spans="2:12">
      <c r="C294" s="209"/>
      <c r="D294" s="209"/>
      <c r="E294" s="209"/>
      <c r="F294" s="210"/>
      <c r="G294" s="209"/>
      <c r="I294" s="251"/>
      <c r="J294" s="251"/>
      <c r="K294" s="251"/>
    </row>
    <row r="295" spans="2:12">
      <c r="C295" s="961" t="str">
        <f>"2.6.b "&amp;CHOOSE(jezyk,n!A897,n!B897,n!C897,n!D895)</f>
        <v>2.6.b Podatek odroczony</v>
      </c>
      <c r="D295" s="961"/>
      <c r="E295" s="961"/>
      <c r="F295" s="961"/>
      <c r="G295" s="961"/>
      <c r="H295" s="961"/>
      <c r="I295" s="961"/>
      <c r="J295" s="961"/>
      <c r="K295" s="961"/>
    </row>
    <row r="296" spans="2:12">
      <c r="C296" s="209"/>
      <c r="D296" s="209"/>
      <c r="E296" s="209"/>
      <c r="F296" s="210"/>
      <c r="G296" s="209"/>
      <c r="I296" s="251"/>
      <c r="J296" s="251"/>
      <c r="K296" s="251"/>
    </row>
    <row r="297" spans="2:12" ht="26.25" customHeight="1">
      <c r="C297" s="973" t="str">
        <f>IF(GA!F75&lt;&gt;"nie",IF(GA!F73&lt;&gt;"nie",CHOOSE(jezyk,n!A942,n!B942,n!C942,n!D940),CHOOSE(jezyk,n!A944,n!B944,n!C944,n!D944)),IF(GA!F73&lt;&gt;"nie",CHOOSE(jezyk,n!A943,n!B943,n!C943,n!D943),CHOOSE(jezyk,n!A945,n!B945,n!C945,n!D945)))</f>
        <v>Spółka korzysta z uproszczeń i nie kalkuluje podatku odroczonego. Pozycja nie wystąpiła zarówno w bieżącym roku obrotowym jak i w roku poprzednim.</v>
      </c>
      <c r="D297" s="973"/>
      <c r="E297" s="973"/>
      <c r="F297" s="973"/>
      <c r="G297" s="973"/>
      <c r="H297" s="973"/>
      <c r="I297" s="973"/>
      <c r="J297" s="973"/>
      <c r="K297" s="973"/>
    </row>
    <row r="298" spans="2:12">
      <c r="C298" s="209"/>
      <c r="D298" s="209"/>
      <c r="E298" s="209"/>
      <c r="F298" s="210"/>
      <c r="G298" s="209"/>
      <c r="I298" s="251"/>
      <c r="J298" s="251"/>
      <c r="K298" s="251"/>
    </row>
    <row r="299" spans="2:12" ht="28.5" customHeight="1">
      <c r="C299" s="895" t="str">
        <f>CHOOSE(jezyk,n!A946,n!B946,n!C946,n!D941)</f>
        <v>Aktywa z tytułu odroczonego podatku dochodowego - ujemne różnice przejściowe</v>
      </c>
      <c r="D299" s="896"/>
      <c r="E299" s="896"/>
      <c r="F299" s="896"/>
      <c r="G299" s="897"/>
      <c r="H299" s="805" t="str">
        <f>dzb</f>
        <v>31.12.2024</v>
      </c>
      <c r="I299" s="805"/>
      <c r="J299" s="805" t="str">
        <f>pdz</f>
        <v>31.12.2023</v>
      </c>
      <c r="K299" s="805" t="str">
        <f>pdz</f>
        <v>31.12.2023</v>
      </c>
    </row>
    <row r="300" spans="2:12" ht="17.100000000000001" customHeight="1">
      <c r="C300" s="964" t="str">
        <f>CHOOSE(jezyk,n!A1733,n!B1733,n!C1733,n!D1731)</f>
        <v>Utworzone rezerwy</v>
      </c>
      <c r="D300" s="965"/>
      <c r="E300" s="965"/>
      <c r="F300" s="965"/>
      <c r="G300" s="966"/>
      <c r="H300" s="919">
        <v>0</v>
      </c>
      <c r="I300" s="920"/>
      <c r="J300" s="919">
        <v>0</v>
      </c>
      <c r="K300" s="920"/>
    </row>
    <row r="301" spans="2:12" ht="17.100000000000001" customHeight="1">
      <c r="C301" s="964" t="str">
        <f>CHOOSE(jezyk,n!A1727,n!B1727,n!C1727,n!D1722)</f>
        <v>Odpisy aktualizujące należności</v>
      </c>
      <c r="D301" s="965"/>
      <c r="E301" s="965"/>
      <c r="F301" s="965"/>
      <c r="G301" s="966"/>
      <c r="H301" s="919">
        <v>0</v>
      </c>
      <c r="I301" s="920"/>
      <c r="J301" s="919">
        <v>0</v>
      </c>
      <c r="K301" s="920"/>
    </row>
    <row r="302" spans="2:12" ht="17.100000000000001" customHeight="1">
      <c r="C302" s="964" t="str">
        <f>CHOOSE(jezyk,n!A947,n!B947,n!C947,n!D942)</f>
        <v>Odpisy aktualizujące zapasy</v>
      </c>
      <c r="D302" s="965"/>
      <c r="E302" s="965"/>
      <c r="F302" s="965"/>
      <c r="G302" s="966"/>
      <c r="H302" s="919">
        <v>0</v>
      </c>
      <c r="I302" s="920"/>
      <c r="J302" s="919">
        <v>0</v>
      </c>
      <c r="K302" s="920"/>
    </row>
    <row r="303" spans="2:12" ht="17.100000000000001" customHeight="1">
      <c r="C303" s="964" t="str">
        <f>CHOOSE(jezyk,n!A1732,n!B1732,n!C1732,n!D1730)</f>
        <v>Niewypłacone w terminie wynagrodzenia</v>
      </c>
      <c r="D303" s="965"/>
      <c r="E303" s="965"/>
      <c r="F303" s="965"/>
      <c r="G303" s="966"/>
      <c r="H303" s="919">
        <v>0</v>
      </c>
      <c r="I303" s="920"/>
      <c r="J303" s="919">
        <v>0</v>
      </c>
      <c r="K303" s="920"/>
    </row>
    <row r="304" spans="2:12" ht="17.100000000000001" customHeight="1">
      <c r="C304" s="964" t="str">
        <f>CHOOSE(jezyk,n!A1731,n!B1731,n!C1731,n!D1727)</f>
        <v>Nieopłacone do ZUS składki - narzuty na wynagrodzenia</v>
      </c>
      <c r="D304" s="965"/>
      <c r="E304" s="965"/>
      <c r="F304" s="965"/>
      <c r="G304" s="966"/>
      <c r="H304" s="919">
        <v>0</v>
      </c>
      <c r="I304" s="920"/>
      <c r="J304" s="919">
        <v>0</v>
      </c>
      <c r="K304" s="920"/>
    </row>
    <row r="305" spans="3:13" ht="27.75" customHeight="1">
      <c r="C305" s="964" t="str">
        <f>CHOOSE(jezyk,n!A948,n!B948,n!C948,n!D946)</f>
        <v>Zobowiązanie leasingowe - wartość netto środków trwałych w leasingu</v>
      </c>
      <c r="D305" s="965"/>
      <c r="E305" s="965"/>
      <c r="F305" s="965"/>
      <c r="G305" s="966"/>
      <c r="H305" s="919">
        <v>0</v>
      </c>
      <c r="I305" s="920"/>
      <c r="J305" s="919">
        <v>0</v>
      </c>
      <c r="K305" s="920"/>
      <c r="L305" s="212" t="s">
        <v>6835</v>
      </c>
    </row>
    <row r="306" spans="3:13" ht="27.75" customHeight="1">
      <c r="C306" s="964" t="str">
        <f>CHOOSE(jezyk,n!A949,n!B949,n!C949,n!D947)</f>
        <v>Różnica między wartością bilansową a podatkową środków trwałych</v>
      </c>
      <c r="D306" s="965"/>
      <c r="E306" s="965"/>
      <c r="F306" s="965"/>
      <c r="G306" s="966"/>
      <c r="H306" s="919">
        <v>0</v>
      </c>
      <c r="I306" s="920"/>
      <c r="J306" s="919">
        <v>0</v>
      </c>
      <c r="K306" s="920"/>
      <c r="L306" s="212"/>
    </row>
    <row r="307" spans="3:13" ht="17.100000000000001" customHeight="1">
      <c r="C307" s="964" t="str">
        <f>CHOOSE(jezyk,n!A1735,n!B1735,n!C1735,n!D1733)</f>
        <v>Odsetki naliczone</v>
      </c>
      <c r="D307" s="965"/>
      <c r="E307" s="965"/>
      <c r="F307" s="965"/>
      <c r="G307" s="966"/>
      <c r="H307" s="919">
        <v>0</v>
      </c>
      <c r="I307" s="920"/>
      <c r="J307" s="919">
        <v>0</v>
      </c>
      <c r="K307" s="920"/>
    </row>
    <row r="308" spans="3:13" ht="17.100000000000001" customHeight="1">
      <c r="C308" s="964" t="str">
        <f>CHOOSE(jezyk,n!A1730,n!B1730,n!C1730,n!D1724)</f>
        <v>Różnice kursowe ujemne niezrealizowane</v>
      </c>
      <c r="D308" s="965"/>
      <c r="E308" s="965"/>
      <c r="F308" s="965"/>
      <c r="G308" s="966"/>
      <c r="H308" s="919">
        <v>0</v>
      </c>
      <c r="I308" s="920"/>
      <c r="J308" s="919">
        <v>0</v>
      </c>
      <c r="K308" s="920"/>
    </row>
    <row r="309" spans="3:13" ht="17.100000000000001" customHeight="1">
      <c r="C309" s="964" t="str">
        <f>CHOOSE(jezyk,n!A950,n!B950,n!C950,n!D948)</f>
        <v>Straty podatkowe możliwe do odliczenia</v>
      </c>
      <c r="D309" s="965"/>
      <c r="E309" s="965"/>
      <c r="F309" s="965"/>
      <c r="G309" s="966"/>
      <c r="H309" s="919">
        <v>0</v>
      </c>
      <c r="I309" s="920"/>
      <c r="J309" s="919">
        <v>0</v>
      </c>
      <c r="K309" s="920"/>
    </row>
    <row r="310" spans="3:13" ht="17.25" customHeight="1">
      <c r="C310" s="921" t="str">
        <f>CHOOSE(jezyk,n!A951,n!B951,n!C951,n!D949)</f>
        <v>Razem różnice przejściowe</v>
      </c>
      <c r="D310" s="922"/>
      <c r="E310" s="922"/>
      <c r="F310" s="922"/>
      <c r="G310" s="923"/>
      <c r="H310" s="917">
        <f>SUM(H300:I309)</f>
        <v>0</v>
      </c>
      <c r="I310" s="918"/>
      <c r="J310" s="917">
        <f>SUM(J300:K309)</f>
        <v>0</v>
      </c>
      <c r="K310" s="918"/>
    </row>
    <row r="311" spans="3:13" ht="17.25" customHeight="1">
      <c r="C311" s="921" t="str">
        <f>CHOOSE(jezyk,n!A952,n!B952,n!C952,n!D950)</f>
        <v>Aktywa z tytułu odroczonego podatku dochodowego</v>
      </c>
      <c r="D311" s="922"/>
      <c r="E311" s="922"/>
      <c r="F311" s="922"/>
      <c r="G311" s="923"/>
      <c r="H311" s="917">
        <f>ROUND(H310*G199,0)</f>
        <v>0</v>
      </c>
      <c r="I311" s="918"/>
      <c r="J311" s="917">
        <f>ROUND(J310*G287,0)</f>
        <v>0</v>
      </c>
      <c r="K311" s="918"/>
    </row>
    <row r="312" spans="3:13" ht="27" customHeight="1">
      <c r="C312" s="895" t="str">
        <f>CHOOSE(jezyk,n!A953,n!B953,n!C953,n!D951)</f>
        <v>Odpis aktualizujący aktywo z tytułu odroczonego podatku dochodowego</v>
      </c>
      <c r="D312" s="896"/>
      <c r="E312" s="896"/>
      <c r="F312" s="896"/>
      <c r="G312" s="897"/>
      <c r="H312" s="956">
        <v>0</v>
      </c>
      <c r="I312" s="957"/>
      <c r="J312" s="956">
        <v>0</v>
      </c>
      <c r="K312" s="957"/>
      <c r="L312" s="142" t="str">
        <f>H299</f>
        <v>31.12.2024</v>
      </c>
      <c r="M312" s="142" t="str">
        <f>J299</f>
        <v>31.12.2023</v>
      </c>
    </row>
    <row r="313" spans="3:13" ht="27.75" customHeight="1">
      <c r="C313" s="895" t="str">
        <f>CHOOSE(jezyk,n!A954,n!B954,n!C954,n!D952)</f>
        <v>Aktywa z tytułu odroczonego podatku dochodowego (po uwzględnieniu odpisu aktualizującego)</v>
      </c>
      <c r="D313" s="896"/>
      <c r="E313" s="896"/>
      <c r="F313" s="896"/>
      <c r="G313" s="897"/>
      <c r="H313" s="917">
        <f>H311+H312</f>
        <v>0</v>
      </c>
      <c r="I313" s="918"/>
      <c r="J313" s="917">
        <f>J311+J312</f>
        <v>0</v>
      </c>
      <c r="K313" s="918"/>
      <c r="L313" s="146">
        <f>ROUND(H313-Bilans!J66,2)</f>
        <v>0</v>
      </c>
      <c r="M313" s="146">
        <f>ROUND(J313-Bilans!K66,2)</f>
        <v>0</v>
      </c>
    </row>
    <row r="314" spans="3:13" ht="9.9499999999999993" customHeight="1">
      <c r="C314" s="209"/>
      <c r="D314" s="209"/>
      <c r="E314" s="209"/>
      <c r="F314" s="210"/>
      <c r="G314" s="209"/>
      <c r="I314" s="251"/>
      <c r="J314" s="251"/>
      <c r="K314" s="251"/>
    </row>
    <row r="315" spans="3:13" ht="28.5" customHeight="1">
      <c r="C315" s="895" t="str">
        <f>CHOOSE(jezyk,n!A955,n!B955,n!C955,n!D953)</f>
        <v>Rezerwa na podatek odroczony 
- dodatnie różnice przejściowe</v>
      </c>
      <c r="D315" s="896"/>
      <c r="E315" s="896"/>
      <c r="F315" s="896"/>
      <c r="G315" s="897"/>
      <c r="H315" s="805" t="str">
        <f>dzb</f>
        <v>31.12.2024</v>
      </c>
      <c r="I315" s="805"/>
      <c r="J315" s="805" t="str">
        <f>pdz</f>
        <v>31.12.2023</v>
      </c>
      <c r="K315" s="805" t="str">
        <f>pdz</f>
        <v>31.12.2023</v>
      </c>
    </row>
    <row r="316" spans="3:13" ht="17.100000000000001" customHeight="1">
      <c r="C316" s="964" t="str">
        <f>CHOOSE(jezyk,n!A1699,n!B1699,n!C1699,n!D1697)</f>
        <v>Utworzone rezerwy na przychody</v>
      </c>
      <c r="D316" s="965"/>
      <c r="E316" s="965"/>
      <c r="F316" s="965"/>
      <c r="G316" s="966"/>
      <c r="H316" s="919">
        <v>0</v>
      </c>
      <c r="I316" s="920"/>
      <c r="J316" s="919">
        <v>0</v>
      </c>
      <c r="K316" s="920"/>
    </row>
    <row r="317" spans="3:13" ht="17.100000000000001" customHeight="1">
      <c r="C317" s="964" t="str">
        <f>CHOOSE(jezyk,n!A1696,n!B1696,n!C1696,n!D1694)</f>
        <v>Różnice kursowe dodatnie niezrealizowane</v>
      </c>
      <c r="D317" s="965"/>
      <c r="E317" s="965"/>
      <c r="F317" s="965"/>
      <c r="G317" s="966"/>
      <c r="H317" s="919">
        <v>0</v>
      </c>
      <c r="I317" s="920"/>
      <c r="J317" s="919">
        <v>0</v>
      </c>
      <c r="K317" s="920"/>
    </row>
    <row r="318" spans="3:13" ht="17.100000000000001" customHeight="1">
      <c r="C318" s="964" t="str">
        <f>CHOOSE(jezyk,n!A1703,n!B1703,n!C1703,n!D1699)</f>
        <v>Naliczone odsetki</v>
      </c>
      <c r="D318" s="965"/>
      <c r="E318" s="965"/>
      <c r="F318" s="965"/>
      <c r="G318" s="966"/>
      <c r="H318" s="919">
        <v>0</v>
      </c>
      <c r="I318" s="920"/>
      <c r="J318" s="919">
        <v>0</v>
      </c>
      <c r="K318" s="920"/>
    </row>
    <row r="319" spans="3:13" ht="29.25" customHeight="1">
      <c r="C319" s="964" t="str">
        <f>CHOOSE(jezyk,n!A956,n!B956,n!C956,n!D954)</f>
        <v>Wartość netto środków trwałych w leasingu - zobowiązanie leasingowe</v>
      </c>
      <c r="D319" s="965"/>
      <c r="E319" s="965"/>
      <c r="F319" s="965"/>
      <c r="G319" s="966"/>
      <c r="H319" s="919">
        <v>0</v>
      </c>
      <c r="I319" s="920"/>
      <c r="J319" s="919">
        <v>0</v>
      </c>
      <c r="K319" s="920"/>
      <c r="L319" s="212" t="s">
        <v>6836</v>
      </c>
    </row>
    <row r="320" spans="3:13" ht="17.25" customHeight="1">
      <c r="C320" s="921" t="str">
        <f>CHOOSE(jezyk,n!A951,n!B951,n!C951,n!D949)</f>
        <v>Razem różnice przejściowe</v>
      </c>
      <c r="D320" s="922"/>
      <c r="E320" s="922"/>
      <c r="F320" s="922"/>
      <c r="G320" s="923"/>
      <c r="H320" s="917">
        <f>SUM(H316:I319)</f>
        <v>0</v>
      </c>
      <c r="I320" s="918"/>
      <c r="J320" s="917">
        <f>SUM(J316:K319)</f>
        <v>0</v>
      </c>
      <c r="K320" s="918"/>
      <c r="L320" s="142" t="str">
        <f>L312</f>
        <v>31.12.2024</v>
      </c>
      <c r="M320" s="142" t="str">
        <f>M312</f>
        <v>31.12.2023</v>
      </c>
    </row>
    <row r="321" spans="1:13" ht="17.25" customHeight="1">
      <c r="C321" s="921" t="str">
        <f>CHOOSE(jezyk,n!A958,n!B958,n!C958,n!D956)</f>
        <v xml:space="preserve">Rezerwa na podatek odroczony </v>
      </c>
      <c r="D321" s="922"/>
      <c r="E321" s="922"/>
      <c r="F321" s="922"/>
      <c r="G321" s="923"/>
      <c r="H321" s="917">
        <f>ROUND(H320*G199,0)</f>
        <v>0</v>
      </c>
      <c r="I321" s="918"/>
      <c r="J321" s="917">
        <f>ROUND(J320*G287,0)</f>
        <v>0</v>
      </c>
      <c r="K321" s="918"/>
      <c r="L321" s="146">
        <f>ROUND(H321-ROUND(Bilans!S31,0),2)</f>
        <v>0</v>
      </c>
      <c r="M321" s="146">
        <f>ROUND(J321-ROUND(Bilans!T31,0),2)</f>
        <v>0</v>
      </c>
    </row>
    <row r="322" spans="1:13">
      <c r="C322" s="209"/>
      <c r="D322" s="209"/>
      <c r="E322" s="209"/>
      <c r="F322" s="210"/>
      <c r="G322" s="209"/>
      <c r="I322" s="251"/>
      <c r="J322" s="251"/>
      <c r="K322" s="251"/>
    </row>
    <row r="323" spans="1:13" ht="28.5" customHeight="1">
      <c r="C323" s="209"/>
      <c r="D323" s="209"/>
      <c r="E323" s="209"/>
      <c r="F323" s="210"/>
      <c r="G323" s="209"/>
      <c r="H323" s="805" t="str">
        <f>dzb</f>
        <v>31.12.2024</v>
      </c>
      <c r="I323" s="805"/>
      <c r="J323" s="805" t="str">
        <f>pdz</f>
        <v>31.12.2023</v>
      </c>
      <c r="K323" s="805" t="str">
        <f>pdz</f>
        <v>31.12.2023</v>
      </c>
    </row>
    <row r="324" spans="1:13" ht="27" customHeight="1">
      <c r="C324" s="895" t="str">
        <f>CHOOSE(jezyk,n!A959,n!B959,n!C959,n!D957)</f>
        <v>Zmiana stanu aktywów z tytułu odroczonego podatku dochodowego</v>
      </c>
      <c r="D324" s="896"/>
      <c r="E324" s="896"/>
      <c r="F324" s="896"/>
      <c r="G324" s="897"/>
      <c r="H324" s="917">
        <f>H313-J313</f>
        <v>0</v>
      </c>
      <c r="I324" s="918"/>
      <c r="J324" s="919">
        <v>0</v>
      </c>
      <c r="K324" s="920"/>
    </row>
    <row r="325" spans="1:13" ht="22.5" customHeight="1">
      <c r="C325" s="895" t="str">
        <f>CHOOSE(jezyk,n!A960,n!B960,n!C960,n!D958)</f>
        <v>Zmiana stanu rezerw na podatek odroczony</v>
      </c>
      <c r="D325" s="896"/>
      <c r="E325" s="896"/>
      <c r="F325" s="896"/>
      <c r="G325" s="897"/>
      <c r="H325" s="917">
        <f>H321-J321</f>
        <v>0</v>
      </c>
      <c r="I325" s="918"/>
      <c r="J325" s="919">
        <v>0</v>
      </c>
      <c r="K325" s="920"/>
      <c r="L325" s="142" t="str">
        <f>L320</f>
        <v>31.12.2024</v>
      </c>
      <c r="M325" s="142" t="str">
        <f>M320</f>
        <v>31.12.2023</v>
      </c>
    </row>
    <row r="326" spans="1:13" ht="30" customHeight="1">
      <c r="C326" s="895" t="str">
        <f>CHOOSE(jezyk,n!A961,n!B961,n!C961,n!D959)</f>
        <v>Korekta podatku dochodowego w RZiS z tytułu podatku odroczonego</v>
      </c>
      <c r="D326" s="896"/>
      <c r="E326" s="896"/>
      <c r="F326" s="896"/>
      <c r="G326" s="897"/>
      <c r="H326" s="917">
        <f>H325-H324</f>
        <v>0</v>
      </c>
      <c r="I326" s="918"/>
      <c r="J326" s="917">
        <f>J325-J324</f>
        <v>0</v>
      </c>
      <c r="K326" s="918"/>
      <c r="L326" s="146">
        <f>H326-K201</f>
        <v>0</v>
      </c>
      <c r="M326" s="146">
        <f>J326-K289</f>
        <v>0</v>
      </c>
    </row>
    <row r="327" spans="1:13">
      <c r="C327" s="209"/>
      <c r="D327" s="209"/>
      <c r="E327" s="209"/>
      <c r="F327" s="210"/>
      <c r="G327" s="209"/>
      <c r="I327" s="251"/>
      <c r="J327" s="251"/>
      <c r="K327" s="251"/>
    </row>
    <row r="328" spans="1:13" ht="26.25" customHeight="1">
      <c r="B328" s="111" t="s">
        <v>6837</v>
      </c>
      <c r="C328" s="725" t="str">
        <f>CHOOSE(jezyk,n!A962,n!B962,n!C962,n!D960)</f>
        <v>Koszt wytworzenia środków trwałych w budowie, w tym odsetki oraz różnice kursowe, które powiększyły koszt wytworzenia środków trwałych w budowie w roku obrotowym</v>
      </c>
      <c r="D328" s="725"/>
      <c r="E328" s="725"/>
      <c r="F328" s="725"/>
      <c r="G328" s="725"/>
      <c r="H328" s="725"/>
      <c r="I328" s="725"/>
      <c r="J328" s="725"/>
      <c r="K328" s="725"/>
    </row>
    <row r="330" spans="1:13">
      <c r="C330" s="723" t="str">
        <f>CHOOSE(jezyk,n!A643,n!B643,n!C643,n!D641)</f>
        <v>Pozycja nie wystąpiła zarówno w roku obrotowym 2024, jak i w roku poprzednim.</v>
      </c>
      <c r="D330" s="723"/>
      <c r="E330" s="723"/>
      <c r="F330" s="723"/>
      <c r="G330" s="723"/>
      <c r="H330" s="723"/>
      <c r="I330" s="723"/>
      <c r="J330" s="723"/>
      <c r="K330" s="723"/>
      <c r="L330" s="130" t="s">
        <v>6785</v>
      </c>
    </row>
    <row r="332" spans="1:13" s="149" customFormat="1" ht="19.5" customHeight="1">
      <c r="A332" s="250"/>
      <c r="H332" s="805">
        <f>ro</f>
        <v>2024</v>
      </c>
      <c r="I332" s="805"/>
      <c r="J332" s="805">
        <f>IF(LEN(ro)&gt;4,_xlfn.TEXTBEFORE(ro,"/")-1&amp;"/"&amp;_xlfn.TEXTAFTER(ro,"/")-1,ro-1)</f>
        <v>2023</v>
      </c>
      <c r="K332" s="805"/>
    </row>
    <row r="333" spans="1:13" ht="24.75" customHeight="1">
      <c r="C333" s="921" t="str">
        <f>CHOOSE(jezyk,n!A963,n!B963,n!C963,n!D961)</f>
        <v>Koszty wytworzenia środków trwałych w budowie</v>
      </c>
      <c r="D333" s="922"/>
      <c r="E333" s="922"/>
      <c r="F333" s="922"/>
      <c r="G333" s="923"/>
      <c r="H333" s="919"/>
      <c r="I333" s="920"/>
      <c r="J333" s="919"/>
      <c r="K333" s="920"/>
    </row>
    <row r="334" spans="1:13" ht="25.5" customHeight="1">
      <c r="C334" s="895" t="str">
        <f>CHOOSE(jezyk,n!A964,n!B964,n!C964,n!D962)</f>
        <v xml:space="preserve"> - w tym skapitalizowane odsetki</v>
      </c>
      <c r="D334" s="896"/>
      <c r="E334" s="896"/>
      <c r="F334" s="896"/>
      <c r="G334" s="897"/>
      <c r="H334" s="919"/>
      <c r="I334" s="920"/>
      <c r="J334" s="919"/>
      <c r="K334" s="920"/>
    </row>
    <row r="335" spans="1:13" ht="25.5" customHeight="1">
      <c r="C335" s="895" t="str">
        <f>CHOOSE(jezyk,n!A965,n!B965,n!C965,n!D963)</f>
        <v xml:space="preserve"> - w tym skapitalizowane różnice kursowe od zobowiązań zaciągniętych w celu ich sfinansowania</v>
      </c>
      <c r="D335" s="896"/>
      <c r="E335" s="896"/>
      <c r="F335" s="896"/>
      <c r="G335" s="897"/>
      <c r="H335" s="679"/>
      <c r="I335" s="680"/>
      <c r="J335" s="679"/>
      <c r="K335" s="680"/>
    </row>
    <row r="336" spans="1:13" ht="33.75" customHeight="1">
      <c r="C336" s="895" t="str">
        <f>CHOOSE(jezyk,n!A966,n!B966,n!C966,n!D963)</f>
        <v>Koszty wytworzenia środków trwałych oddanych do użytkowania w roku obrotowym</v>
      </c>
      <c r="D336" s="896"/>
      <c r="E336" s="896"/>
      <c r="F336" s="896"/>
      <c r="G336" s="897"/>
      <c r="H336" s="919"/>
      <c r="I336" s="920"/>
      <c r="J336" s="919"/>
      <c r="K336" s="920"/>
    </row>
    <row r="337" spans="2:12" ht="25.5" customHeight="1">
      <c r="C337" s="895" t="str">
        <f>C334</f>
        <v xml:space="preserve"> - w tym skapitalizowane odsetki</v>
      </c>
      <c r="D337" s="896"/>
      <c r="E337" s="896"/>
      <c r="F337" s="896"/>
      <c r="G337" s="897"/>
      <c r="H337" s="679"/>
      <c r="I337" s="680"/>
      <c r="J337" s="679"/>
      <c r="K337" s="680"/>
    </row>
    <row r="338" spans="2:12" ht="25.5" customHeight="1">
      <c r="C338" s="895" t="str">
        <f>C335</f>
        <v xml:space="preserve"> - w tym skapitalizowane różnice kursowe od zobowiązań zaciągniętych w celu ich sfinansowania</v>
      </c>
      <c r="D338" s="896"/>
      <c r="E338" s="896"/>
      <c r="F338" s="896"/>
      <c r="G338" s="897"/>
      <c r="H338" s="919"/>
      <c r="I338" s="920"/>
      <c r="J338" s="919"/>
      <c r="K338" s="920"/>
    </row>
    <row r="339" spans="2:12" ht="16.5" customHeight="1">
      <c r="H339" s="917">
        <f>H333+H336</f>
        <v>0</v>
      </c>
      <c r="I339" s="918"/>
      <c r="J339" s="917">
        <f>J333+J336</f>
        <v>0</v>
      </c>
      <c r="K339" s="918"/>
    </row>
    <row r="341" spans="2:12" ht="26.25" customHeight="1">
      <c r="B341" s="111" t="s">
        <v>6838</v>
      </c>
      <c r="C341" s="725" t="str">
        <f>CHOOSE(jezyk,n!A939,n!B939,n!C939,n!D937)</f>
        <v>Odsetki oraz różnice kursowe, które powiększyły cenę nabycia towarów lub koszt wytworzenia produktów w roku obrotowym</v>
      </c>
      <c r="D341" s="725"/>
      <c r="E341" s="725"/>
      <c r="F341" s="725"/>
      <c r="G341" s="725"/>
      <c r="H341" s="725"/>
      <c r="I341" s="725"/>
      <c r="J341" s="725"/>
      <c r="K341" s="725"/>
    </row>
    <row r="343" spans="2:12">
      <c r="C343" s="723" t="str">
        <f>CHOOSE(jezyk,n!A643,n!B643,n!C643,n!D641)</f>
        <v>Pozycja nie wystąpiła zarówno w roku obrotowym 2024, jak i w roku poprzednim.</v>
      </c>
      <c r="D343" s="723"/>
      <c r="E343" s="723"/>
      <c r="F343" s="723"/>
      <c r="G343" s="723"/>
      <c r="H343" s="723"/>
      <c r="I343" s="723"/>
      <c r="J343" s="723"/>
      <c r="K343" s="723"/>
      <c r="L343" s="130" t="s">
        <v>6785</v>
      </c>
    </row>
    <row r="344" spans="2:12">
      <c r="C344" s="758"/>
      <c r="D344" s="758"/>
      <c r="E344" s="758"/>
      <c r="F344" s="758"/>
      <c r="G344" s="758"/>
      <c r="H344" s="758"/>
      <c r="I344" s="758"/>
      <c r="J344" s="758"/>
      <c r="K344" s="758"/>
      <c r="L344" s="130"/>
    </row>
    <row r="345" spans="2:12" ht="12.75" customHeight="1">
      <c r="C345" s="399"/>
      <c r="D345" s="399"/>
      <c r="E345" s="399"/>
      <c r="F345" s="399"/>
      <c r="G345" s="926">
        <f>ro</f>
        <v>2024</v>
      </c>
      <c r="H345" s="927"/>
      <c r="I345" s="926">
        <f>IF(LEN(ro)&gt;4,_xlfn.TEXTBEFORE(ro,"/")-1&amp;"/"&amp;_xlfn.TEXTAFTER(ro,"/")-1,ro-1)</f>
        <v>2023</v>
      </c>
      <c r="J345" s="927"/>
    </row>
    <row r="346" spans="2:12" ht="18" customHeight="1">
      <c r="C346" s="921" t="str">
        <f>CHOOSE(jezyk,n!A940,n!B940,n!C940,n!D938)</f>
        <v>odsetki</v>
      </c>
      <c r="D346" s="922"/>
      <c r="E346" s="922"/>
      <c r="F346" s="923"/>
      <c r="G346" s="919"/>
      <c r="H346" s="920"/>
      <c r="I346" s="919"/>
      <c r="J346" s="920"/>
    </row>
    <row r="347" spans="2:12" ht="18.75" customHeight="1">
      <c r="C347" s="921" t="str">
        <f>CHOOSE(jezyk,n!A941,n!B941,n!C941,n!D939)</f>
        <v>różnice kursowe</v>
      </c>
      <c r="D347" s="922"/>
      <c r="E347" s="922"/>
      <c r="F347" s="923"/>
      <c r="G347" s="919"/>
      <c r="H347" s="920"/>
      <c r="I347" s="919"/>
      <c r="J347" s="920"/>
    </row>
    <row r="349" spans="2:12">
      <c r="B349" s="111" t="s">
        <v>6839</v>
      </c>
      <c r="C349" s="725" t="str">
        <f>CHOOSE(jezyk,n!A968,n!B968,n!C968,n!D966)</f>
        <v>Poniesione w ostatnim roku i planowane na następny rok nakłady na niefinansowe aktywa trwałe</v>
      </c>
      <c r="D349" s="725"/>
      <c r="E349" s="725"/>
      <c r="F349" s="725"/>
      <c r="G349" s="725"/>
      <c r="H349" s="725"/>
      <c r="I349" s="725"/>
      <c r="J349" s="725"/>
      <c r="K349" s="725"/>
    </row>
    <row r="350" spans="2:12">
      <c r="C350" s="725"/>
      <c r="D350" s="725"/>
      <c r="E350" s="725"/>
      <c r="F350" s="725"/>
      <c r="G350" s="725"/>
      <c r="H350" s="725"/>
      <c r="I350" s="725"/>
      <c r="J350" s="725"/>
      <c r="K350" s="725"/>
    </row>
    <row r="351" spans="2:12">
      <c r="C351" s="721" t="str">
        <f>CHOOSE(jezyk,n!A969,n!B969,n!C969,n!D967)</f>
        <v>Spółka nie ponosiła w roku obrotowym 2024 nakładów na niefinansowe aktywa trwałe.</v>
      </c>
      <c r="D351" s="721"/>
      <c r="E351" s="721"/>
      <c r="F351" s="721"/>
      <c r="G351" s="721"/>
      <c r="H351" s="721"/>
      <c r="I351" s="721"/>
      <c r="J351" s="721"/>
      <c r="K351" s="721"/>
      <c r="L351" s="130" t="s">
        <v>6785</v>
      </c>
    </row>
    <row r="352" spans="2:12">
      <c r="C352" s="721" t="str">
        <f>CHOOSE(jezyk,n!A971,n!B971,n!C971,n!D968)</f>
        <v>Nie planuje się również istotnych nakładów na niefinansowe aktywa trwałe w kolejnym roku obrotowym.</v>
      </c>
      <c r="D352" s="721"/>
      <c r="E352" s="721"/>
      <c r="F352" s="721"/>
      <c r="G352" s="721"/>
      <c r="H352" s="721"/>
      <c r="I352" s="721"/>
      <c r="J352" s="721"/>
      <c r="K352" s="721"/>
      <c r="L352" s="130" t="s">
        <v>6785</v>
      </c>
    </row>
    <row r="353" spans="2:12">
      <c r="C353" s="106"/>
      <c r="D353" s="106"/>
      <c r="E353" s="106"/>
      <c r="F353" s="106"/>
      <c r="G353" s="106"/>
      <c r="H353" s="106"/>
      <c r="I353" s="106"/>
      <c r="J353" s="106"/>
      <c r="K353" s="106"/>
      <c r="L353" s="130"/>
    </row>
    <row r="354" spans="2:12" ht="19.5" customHeight="1">
      <c r="G354" s="933">
        <f>rok</f>
        <v>2024</v>
      </c>
      <c r="H354" s="934"/>
      <c r="I354" s="933">
        <f>IF(LEN(ro)&gt;4,_xlfn.TEXTBEFORE(ro,"/")-1&amp;"/"&amp;_xlfn.TEXTAFTER(ro,"/")-1,ro-1)</f>
        <v>2023</v>
      </c>
      <c r="J354" s="934"/>
    </row>
    <row r="355" spans="2:12" ht="30.75" customHeight="1">
      <c r="C355" s="921" t="str">
        <f>CHOOSE(jezyk,n!A972,n!B972,n!C972,n!D969)</f>
        <v>Poniesione nakłady w roku obrotowym</v>
      </c>
      <c r="D355" s="922"/>
      <c r="E355" s="922"/>
      <c r="F355" s="923"/>
      <c r="G355" s="919"/>
      <c r="H355" s="920"/>
      <c r="I355" s="919"/>
      <c r="J355" s="920"/>
    </row>
    <row r="356" spans="2:12" ht="25.5" customHeight="1">
      <c r="C356" s="928" t="str">
        <f>"   "&amp;CHOOSE(jezyk,n!A973,n!B973,n!C973,n!D971)</f>
        <v xml:space="preserve">   w tym poniesione nakłady na ochronę środowiska</v>
      </c>
      <c r="D356" s="929"/>
      <c r="E356" s="929"/>
      <c r="F356" s="930"/>
      <c r="G356" s="919"/>
      <c r="H356" s="920"/>
      <c r="I356" s="919"/>
      <c r="J356" s="920"/>
    </row>
    <row r="357" spans="2:12" ht="28.5" customHeight="1">
      <c r="C357" s="895" t="str">
        <f>CHOOSE(jezyk,n!A974,n!B974,n!C974,n!D972)</f>
        <v>Planowane nakłady w kolejnym roku obrotowym</v>
      </c>
      <c r="D357" s="896"/>
      <c r="E357" s="896"/>
      <c r="F357" s="897"/>
      <c r="G357" s="919"/>
      <c r="H357" s="920"/>
      <c r="I357" s="919"/>
      <c r="J357" s="920"/>
    </row>
    <row r="358" spans="2:12" ht="28.5" customHeight="1">
      <c r="C358" s="928" t="str">
        <f>"   "&amp;CHOOSE(jezyk,n!A975,n!B975,n!C975,n!D973)</f>
        <v xml:space="preserve">   w tym planowane nakłady na ochronę środowiska</v>
      </c>
      <c r="D358" s="929"/>
      <c r="E358" s="929"/>
      <c r="F358" s="930"/>
      <c r="G358" s="919"/>
      <c r="H358" s="920"/>
      <c r="I358" s="919"/>
      <c r="J358" s="920"/>
    </row>
    <row r="360" spans="2:12" ht="27" customHeight="1">
      <c r="B360" s="111" t="s">
        <v>6840</v>
      </c>
      <c r="C360" s="725" t="str">
        <f>CHOOSE(jezyk,n!A976,n!B976,n!C976,n!D974)</f>
        <v>Kwota i charakter poszczególnych pozycji przychodów lub kosztów o nadzwyczajnej wartości lub które wystąpiły incydentalnie</v>
      </c>
      <c r="D360" s="725"/>
      <c r="E360" s="725"/>
      <c r="F360" s="725"/>
      <c r="G360" s="725"/>
      <c r="H360" s="725"/>
      <c r="I360" s="725"/>
      <c r="J360" s="725"/>
      <c r="K360" s="725"/>
    </row>
    <row r="362" spans="2:12">
      <c r="C362" s="721" t="str">
        <f>CHOOSE(jezyk,n!A643,n!B643,n!C643,n!D641)</f>
        <v>Pozycja nie wystąpiła zarówno w roku obrotowym 2024, jak i w roku poprzednim.</v>
      </c>
      <c r="D362" s="721"/>
      <c r="E362" s="721"/>
      <c r="F362" s="721"/>
      <c r="G362" s="721"/>
      <c r="H362" s="721"/>
      <c r="I362" s="721"/>
      <c r="J362" s="721"/>
      <c r="K362" s="721"/>
      <c r="L362" s="130" t="s">
        <v>6785</v>
      </c>
    </row>
    <row r="363" spans="2:12">
      <c r="C363" s="790"/>
      <c r="D363" s="790"/>
      <c r="E363" s="790"/>
      <c r="F363" s="790"/>
      <c r="G363" s="790"/>
      <c r="H363" s="790"/>
      <c r="I363" s="790"/>
      <c r="J363" s="790"/>
      <c r="K363" s="790"/>
      <c r="L363" s="130"/>
    </row>
    <row r="365" spans="2:12" ht="19.5" customHeight="1">
      <c r="C365" s="921" t="str">
        <f>CHOOSE(jezyk,n!A977,n!B977,n!C977,n!D975)</f>
        <v>Przychody</v>
      </c>
      <c r="D365" s="922"/>
      <c r="E365" s="922"/>
      <c r="F365" s="923"/>
      <c r="G365" s="805">
        <f>ro</f>
        <v>2024</v>
      </c>
      <c r="H365" s="805"/>
      <c r="I365" s="805">
        <f>IF(LEN(ro)&gt;4,_xlfn.TEXTBEFORE(ro,"/")-1&amp;"/"&amp;_xlfn.TEXTAFTER(ro,"/")-1,ro-1)</f>
        <v>2023</v>
      </c>
      <c r="J365" s="805"/>
    </row>
    <row r="366" spans="2:12" ht="19.5" customHeight="1">
      <c r="C366" s="913"/>
      <c r="D366" s="914"/>
      <c r="E366" s="914"/>
      <c r="F366" s="915"/>
      <c r="G366" s="916"/>
      <c r="H366" s="916"/>
      <c r="I366" s="916"/>
      <c r="J366" s="916"/>
    </row>
    <row r="367" spans="2:12" ht="20.25" customHeight="1">
      <c r="C367" s="913"/>
      <c r="D367" s="914"/>
      <c r="E367" s="914"/>
      <c r="F367" s="915"/>
      <c r="G367" s="916"/>
      <c r="H367" s="916"/>
      <c r="I367" s="916"/>
      <c r="J367" s="916"/>
    </row>
    <row r="368" spans="2:12" ht="19.5" customHeight="1">
      <c r="C368" s="72"/>
      <c r="D368" s="72"/>
      <c r="E368" s="72"/>
      <c r="F368" s="72"/>
      <c r="G368" s="931">
        <f>SUM(G366:H367)</f>
        <v>0</v>
      </c>
      <c r="H368" s="932"/>
      <c r="I368" s="931">
        <f>SUM(I366:J367)</f>
        <v>0</v>
      </c>
      <c r="J368" s="932"/>
      <c r="L368" s="213"/>
    </row>
    <row r="370" spans="1:12" ht="19.5" customHeight="1">
      <c r="C370" s="921" t="str">
        <f>CHOOSE(jezyk,n!A978,n!B978,n!C978,n!D976)</f>
        <v>Koszty</v>
      </c>
      <c r="D370" s="922"/>
      <c r="E370" s="922"/>
      <c r="F370" s="923"/>
      <c r="G370" s="805">
        <f>ro</f>
        <v>2024</v>
      </c>
      <c r="H370" s="805"/>
      <c r="I370" s="805">
        <f>IF(LEN(ro)&gt;4,_xlfn.TEXTBEFORE(ro,"/")-1&amp;"/"&amp;_xlfn.TEXTAFTER(ro,"/")-1,ro-1)</f>
        <v>2023</v>
      </c>
      <c r="J370" s="805"/>
    </row>
    <row r="371" spans="1:12" ht="23.25" customHeight="1">
      <c r="C371" s="913"/>
      <c r="D371" s="914"/>
      <c r="E371" s="914"/>
      <c r="F371" s="915"/>
      <c r="G371" s="916"/>
      <c r="H371" s="916"/>
      <c r="I371" s="916"/>
      <c r="J371" s="916"/>
    </row>
    <row r="372" spans="1:12" ht="21" customHeight="1">
      <c r="C372" s="913"/>
      <c r="D372" s="914"/>
      <c r="E372" s="914"/>
      <c r="F372" s="915"/>
      <c r="G372" s="916"/>
      <c r="H372" s="916"/>
      <c r="I372" s="916"/>
      <c r="J372" s="916"/>
    </row>
    <row r="373" spans="1:12" ht="19.5" customHeight="1">
      <c r="G373" s="931">
        <f>SUM(G371:H372)</f>
        <v>0</v>
      </c>
      <c r="H373" s="932"/>
      <c r="I373" s="931">
        <f>SUM(I371:J372)</f>
        <v>0</v>
      </c>
      <c r="J373" s="932"/>
      <c r="L373" s="213"/>
    </row>
    <row r="374" spans="1:12">
      <c r="I374" s="214"/>
      <c r="J374" s="214"/>
      <c r="L374" s="213"/>
    </row>
    <row r="375" spans="1:12" ht="26.25" customHeight="1">
      <c r="B375" s="111" t="s">
        <v>6841</v>
      </c>
      <c r="C375" s="725" t="str">
        <f>CHOOSE(jezyk,n!A989,n!B989,n!C989,n!D987)</f>
        <v>Informacje o kosztach związanych z pracami badawczymi i pracami rozwojowymi, które nie zostały zakwalifikowane zgodnie z art. 33 ust. 2 do wartości niematerialnych i prawnych</v>
      </c>
      <c r="D375" s="725"/>
      <c r="E375" s="725"/>
      <c r="F375" s="725"/>
      <c r="G375" s="725"/>
      <c r="H375" s="725"/>
      <c r="I375" s="725"/>
      <c r="J375" s="725"/>
      <c r="K375" s="725"/>
      <c r="L375" s="213"/>
    </row>
    <row r="376" spans="1:12">
      <c r="I376" s="214"/>
      <c r="J376" s="214"/>
      <c r="L376" s="213"/>
    </row>
    <row r="377" spans="1:12">
      <c r="C377" s="721" t="str">
        <f>CHOOSE(jezyk,n!A643,n!B643,n!C643,n!D641)</f>
        <v>Pozycja nie wystąpiła zarówno w roku obrotowym 2024, jak i w roku poprzednim.</v>
      </c>
      <c r="D377" s="721"/>
      <c r="E377" s="721"/>
      <c r="F377" s="721"/>
      <c r="G377" s="721"/>
      <c r="H377" s="721"/>
      <c r="I377" s="721"/>
      <c r="J377" s="721"/>
      <c r="K377" s="721"/>
      <c r="L377" s="130" t="s">
        <v>6785</v>
      </c>
    </row>
    <row r="379" spans="1:12" s="149" customFormat="1" ht="19.5" customHeight="1">
      <c r="A379" s="250"/>
      <c r="B379" s="72"/>
      <c r="C379" s="921" t="str">
        <f>CHOOSE(jezyk,n!A990,n!B990,n!C990,n!D988)</f>
        <v>Prace badawcze</v>
      </c>
      <c r="D379" s="922"/>
      <c r="E379" s="922"/>
      <c r="F379" s="923"/>
      <c r="G379" s="805">
        <f>ro</f>
        <v>2024</v>
      </c>
      <c r="H379" s="805"/>
      <c r="I379" s="805">
        <f>IF(LEN(ro)&gt;4,_xlfn.TEXTBEFORE(ro,"/")-1&amp;"/"&amp;_xlfn.TEXTAFTER(ro,"/")-1,ro-1)</f>
        <v>2023</v>
      </c>
      <c r="J379" s="805"/>
    </row>
    <row r="380" spans="1:12" s="149" customFormat="1" ht="20.25" customHeight="1">
      <c r="A380" s="250"/>
      <c r="B380" s="72"/>
      <c r="C380" s="913"/>
      <c r="D380" s="914"/>
      <c r="E380" s="914"/>
      <c r="F380" s="915"/>
      <c r="G380" s="916"/>
      <c r="H380" s="916"/>
      <c r="I380" s="916"/>
      <c r="J380" s="916"/>
    </row>
    <row r="381" spans="1:12" s="149" customFormat="1" ht="20.25" customHeight="1">
      <c r="A381" s="250"/>
      <c r="B381" s="72"/>
      <c r="C381" s="913"/>
      <c r="D381" s="914"/>
      <c r="E381" s="914"/>
      <c r="F381" s="915"/>
      <c r="G381" s="916"/>
      <c r="H381" s="916"/>
      <c r="I381" s="916"/>
      <c r="J381" s="916"/>
    </row>
    <row r="382" spans="1:12" s="149" customFormat="1">
      <c r="A382" s="250"/>
      <c r="B382" s="72"/>
      <c r="G382" s="931">
        <f>SUM(G380:H381)</f>
        <v>0</v>
      </c>
      <c r="H382" s="932"/>
      <c r="I382" s="931">
        <f>SUM(I380:J381)</f>
        <v>0</v>
      </c>
      <c r="J382" s="932"/>
    </row>
    <row r="383" spans="1:12" s="149" customFormat="1">
      <c r="A383" s="250"/>
      <c r="B383" s="72"/>
    </row>
    <row r="384" spans="1:12" s="149" customFormat="1" ht="19.5" customHeight="1">
      <c r="A384" s="250"/>
      <c r="B384" s="72"/>
      <c r="C384" s="921" t="str">
        <f>CHOOSE(jezyk,n!A991,n!B991,n!C991,n!D989)</f>
        <v>Prace rozwojowe</v>
      </c>
      <c r="D384" s="922"/>
      <c r="E384" s="922"/>
      <c r="F384" s="923"/>
      <c r="G384" s="805">
        <f>ro</f>
        <v>2024</v>
      </c>
      <c r="H384" s="805"/>
      <c r="I384" s="805">
        <f>IF(LEN(ro)&gt;4,_xlfn.TEXTBEFORE(ro,"/")-1&amp;"/"&amp;_xlfn.TEXTAFTER(ro,"/")-1,ro-1)</f>
        <v>2023</v>
      </c>
      <c r="J384" s="805"/>
    </row>
    <row r="385" spans="1:11" s="149" customFormat="1" ht="20.25" customHeight="1">
      <c r="A385" s="250"/>
      <c r="B385" s="72"/>
      <c r="C385" s="913"/>
      <c r="D385" s="914"/>
      <c r="E385" s="914"/>
      <c r="F385" s="915"/>
      <c r="G385" s="916"/>
      <c r="H385" s="916"/>
      <c r="I385" s="916"/>
      <c r="J385" s="916"/>
    </row>
    <row r="386" spans="1:11" s="149" customFormat="1" ht="20.25" customHeight="1">
      <c r="A386" s="250"/>
      <c r="B386" s="72"/>
      <c r="C386" s="913"/>
      <c r="D386" s="914"/>
      <c r="E386" s="914"/>
      <c r="F386" s="915"/>
      <c r="G386" s="916"/>
      <c r="H386" s="916"/>
      <c r="I386" s="916"/>
      <c r="J386" s="916"/>
    </row>
    <row r="387" spans="1:11" s="149" customFormat="1">
      <c r="A387" s="250"/>
      <c r="B387" s="72"/>
      <c r="G387" s="931">
        <f>SUM(G385:H386)</f>
        <v>0</v>
      </c>
      <c r="H387" s="932"/>
      <c r="I387" s="931">
        <f>SUM(I385:J386)</f>
        <v>0</v>
      </c>
      <c r="J387" s="932"/>
    </row>
    <row r="389" spans="1:11" ht="39.75" customHeight="1">
      <c r="B389" s="111" t="s">
        <v>6842</v>
      </c>
      <c r="C389" s="725" t="str">
        <f>CHOOSE(jezyk,n!A992,n!B992,n!C992,n!D990)</f>
        <v>Wartość żywności przekazanej organizacjom pozarządowym, z przeznaczeniem na wykonywanie przez te organizacje zadań w zakresie określonym w art. 2 pkt 2 ustawy z dnia 19 lipca 2019 r. o przeciwdziałaniu marnowaniu żywności, lub kwota opłaty za marnowanie żywności, o której mowa w art. 5 tej ustawy.</v>
      </c>
      <c r="D389" s="725"/>
      <c r="E389" s="725"/>
      <c r="F389" s="725"/>
      <c r="G389" s="725"/>
      <c r="H389" s="725"/>
      <c r="I389" s="725"/>
      <c r="J389" s="725"/>
      <c r="K389" s="725"/>
    </row>
    <row r="390" spans="1:11">
      <c r="C390" s="725"/>
      <c r="D390" s="725"/>
      <c r="E390" s="725"/>
      <c r="F390" s="725"/>
      <c r="G390" s="725"/>
      <c r="H390" s="725"/>
      <c r="I390" s="725"/>
      <c r="J390" s="725"/>
      <c r="K390" s="725"/>
    </row>
    <row r="391" spans="1:11">
      <c r="C391" s="721" t="str">
        <f>CHOOSE(jezyk,n!A1131,n!B1131,n!C1131,n!D1129)</f>
        <v>Nie dotyczy</v>
      </c>
      <c r="D391" s="721"/>
      <c r="E391" s="721"/>
      <c r="F391" s="721"/>
      <c r="G391" s="721"/>
      <c r="H391" s="721"/>
      <c r="I391" s="721"/>
      <c r="J391" s="721"/>
      <c r="K391" s="721"/>
    </row>
    <row r="392" spans="1:11" s="217" customFormat="1" ht="9.75" customHeight="1">
      <c r="A392" s="216"/>
      <c r="B392" s="215"/>
      <c r="C392" s="216"/>
      <c r="D392" s="216"/>
      <c r="E392" s="216"/>
      <c r="F392" s="216"/>
      <c r="G392" s="216"/>
      <c r="H392" s="216"/>
      <c r="I392" s="216"/>
      <c r="J392" s="216"/>
      <c r="K392" s="216"/>
    </row>
    <row r="393" spans="1:11" ht="17.25" customHeight="1">
      <c r="C393" s="149"/>
      <c r="F393" s="162"/>
      <c r="G393" s="162"/>
      <c r="H393" s="805">
        <f>ro</f>
        <v>2024</v>
      </c>
      <c r="I393" s="805"/>
      <c r="J393" s="805">
        <f>IF(LEN(ro)&gt;4,_xlfn.TEXTBEFORE(ro,"/")-1&amp;"/"&amp;_xlfn.TEXTAFTER(ro,"/")-1,ro-1)</f>
        <v>2023</v>
      </c>
      <c r="K393" s="805"/>
    </row>
    <row r="394" spans="1:11" ht="27.75" customHeight="1">
      <c r="C394" s="895" t="str">
        <f>CHOOSE(jezyk,n!A993,n!B993,n!C993,n!D991)</f>
        <v>Wartość żywności przekazanej organizacjom pozarządowym</v>
      </c>
      <c r="D394" s="896"/>
      <c r="E394" s="896"/>
      <c r="F394" s="896"/>
      <c r="G394" s="897"/>
      <c r="H394" s="866"/>
      <c r="I394" s="867"/>
      <c r="J394" s="866"/>
      <c r="K394" s="867"/>
    </row>
    <row r="395" spans="1:11" ht="27" customHeight="1">
      <c r="C395" s="895" t="str">
        <f>CHOOSE(jezyk,n!A994,n!B994,n!C994,n!D992)</f>
        <v>Kwota opłaty za marnowanie żywności</v>
      </c>
      <c r="D395" s="896"/>
      <c r="E395" s="896"/>
      <c r="F395" s="896"/>
      <c r="G395" s="897"/>
      <c r="H395" s="866"/>
      <c r="I395" s="867"/>
      <c r="J395" s="866"/>
      <c r="K395" s="867"/>
    </row>
  </sheetData>
  <mergeCells count="502">
    <mergeCell ref="C335:G335"/>
    <mergeCell ref="C337:G337"/>
    <mergeCell ref="E88:F88"/>
    <mergeCell ref="G88:H88"/>
    <mergeCell ref="C82:D82"/>
    <mergeCell ref="C86:D86"/>
    <mergeCell ref="C87:D87"/>
    <mergeCell ref="C88:D88"/>
    <mergeCell ref="C85:D85"/>
    <mergeCell ref="E85:F85"/>
    <mergeCell ref="G85:H85"/>
    <mergeCell ref="E86:F86"/>
    <mergeCell ref="G86:H86"/>
    <mergeCell ref="E87:F87"/>
    <mergeCell ref="G87:H87"/>
    <mergeCell ref="E82:F82"/>
    <mergeCell ref="G82:H82"/>
    <mergeCell ref="C83:D83"/>
    <mergeCell ref="E83:F83"/>
    <mergeCell ref="G83:H83"/>
    <mergeCell ref="G84:H84"/>
    <mergeCell ref="C317:G317"/>
    <mergeCell ref="H317:I317"/>
    <mergeCell ref="C324:G324"/>
    <mergeCell ref="M69:N69"/>
    <mergeCell ref="C76:D76"/>
    <mergeCell ref="E70:F70"/>
    <mergeCell ref="G70:H70"/>
    <mergeCell ref="E71:F71"/>
    <mergeCell ref="G71:H71"/>
    <mergeCell ref="E72:F72"/>
    <mergeCell ref="G72:H72"/>
    <mergeCell ref="C72:D72"/>
    <mergeCell ref="C73:D73"/>
    <mergeCell ref="C74:D74"/>
    <mergeCell ref="E76:F76"/>
    <mergeCell ref="G76:H76"/>
    <mergeCell ref="C70:D70"/>
    <mergeCell ref="E75:F75"/>
    <mergeCell ref="G75:H75"/>
    <mergeCell ref="C81:D81"/>
    <mergeCell ref="E81:F81"/>
    <mergeCell ref="G81:H81"/>
    <mergeCell ref="C71:D71"/>
    <mergeCell ref="C315:G315"/>
    <mergeCell ref="H315:I315"/>
    <mergeCell ref="J315:K315"/>
    <mergeCell ref="C316:G316"/>
    <mergeCell ref="H316:I316"/>
    <mergeCell ref="J316:K316"/>
    <mergeCell ref="C312:G312"/>
    <mergeCell ref="C313:G313"/>
    <mergeCell ref="H312:I312"/>
    <mergeCell ref="J312:K312"/>
    <mergeCell ref="H313:I313"/>
    <mergeCell ref="J313:K313"/>
    <mergeCell ref="C311:G311"/>
    <mergeCell ref="H311:I311"/>
    <mergeCell ref="J311:K311"/>
    <mergeCell ref="H300:I300"/>
    <mergeCell ref="J300:K300"/>
    <mergeCell ref="H301:I301"/>
    <mergeCell ref="J301:K301"/>
    <mergeCell ref="C297:K297"/>
    <mergeCell ref="J317:K317"/>
    <mergeCell ref="C318:G318"/>
    <mergeCell ref="H318:I318"/>
    <mergeCell ref="J318:K318"/>
    <mergeCell ref="C320:G320"/>
    <mergeCell ref="H320:I320"/>
    <mergeCell ref="J320:K320"/>
    <mergeCell ref="C321:G321"/>
    <mergeCell ref="H321:I321"/>
    <mergeCell ref="J321:K321"/>
    <mergeCell ref="C319:G319"/>
    <mergeCell ref="H319:I319"/>
    <mergeCell ref="J319:K319"/>
    <mergeCell ref="C325:G325"/>
    <mergeCell ref="C326:G326"/>
    <mergeCell ref="H323:I323"/>
    <mergeCell ref="J323:K323"/>
    <mergeCell ref="H324:I324"/>
    <mergeCell ref="J324:K324"/>
    <mergeCell ref="H325:I325"/>
    <mergeCell ref="J325:K325"/>
    <mergeCell ref="H326:I326"/>
    <mergeCell ref="J326:K326"/>
    <mergeCell ref="C302:G302"/>
    <mergeCell ref="H302:I302"/>
    <mergeCell ref="J302:K302"/>
    <mergeCell ref="C309:G309"/>
    <mergeCell ref="H309:I309"/>
    <mergeCell ref="H308:I308"/>
    <mergeCell ref="J309:K309"/>
    <mergeCell ref="C261:H261"/>
    <mergeCell ref="C262:H262"/>
    <mergeCell ref="C263:H263"/>
    <mergeCell ref="C264:H264"/>
    <mergeCell ref="C265:H265"/>
    <mergeCell ref="C266:H266"/>
    <mergeCell ref="C267:H267"/>
    <mergeCell ref="C295:K295"/>
    <mergeCell ref="H299:I299"/>
    <mergeCell ref="J299:K299"/>
    <mergeCell ref="A6:A8"/>
    <mergeCell ref="C167:H167"/>
    <mergeCell ref="C123:H123"/>
    <mergeCell ref="C170:H170"/>
    <mergeCell ref="C174:H174"/>
    <mergeCell ref="C185:H185"/>
    <mergeCell ref="C186:H186"/>
    <mergeCell ref="C159:H159"/>
    <mergeCell ref="C161:H161"/>
    <mergeCell ref="C163:H163"/>
    <mergeCell ref="C173:H173"/>
    <mergeCell ref="C175:H175"/>
    <mergeCell ref="C176:H176"/>
    <mergeCell ref="C177:H177"/>
    <mergeCell ref="C178:H178"/>
    <mergeCell ref="C179:H179"/>
    <mergeCell ref="C183:H183"/>
    <mergeCell ref="C114:K115"/>
    <mergeCell ref="I122:J122"/>
    <mergeCell ref="C139:H139"/>
    <mergeCell ref="C152:H152"/>
    <mergeCell ref="C140:H140"/>
    <mergeCell ref="C84:D84"/>
    <mergeCell ref="E84:F84"/>
    <mergeCell ref="C362:K362"/>
    <mergeCell ref="G357:H357"/>
    <mergeCell ref="G358:H358"/>
    <mergeCell ref="H99:I100"/>
    <mergeCell ref="J99:K100"/>
    <mergeCell ref="J106:K107"/>
    <mergeCell ref="J108:K109"/>
    <mergeCell ref="C99:E100"/>
    <mergeCell ref="C106:E107"/>
    <mergeCell ref="F106:G107"/>
    <mergeCell ref="H106:I107"/>
    <mergeCell ref="C108:E109"/>
    <mergeCell ref="F108:G109"/>
    <mergeCell ref="H108:I109"/>
    <mergeCell ref="C343:K343"/>
    <mergeCell ref="C349:K349"/>
    <mergeCell ref="G354:H354"/>
    <mergeCell ref="G345:H345"/>
    <mergeCell ref="C153:H153"/>
    <mergeCell ref="C150:H150"/>
    <mergeCell ref="C195:H195"/>
    <mergeCell ref="C182:H182"/>
    <mergeCell ref="C187:H187"/>
    <mergeCell ref="C142:H142"/>
    <mergeCell ref="C351:K351"/>
    <mergeCell ref="C275:H275"/>
    <mergeCell ref="C277:H277"/>
    <mergeCell ref="C133:H133"/>
    <mergeCell ref="C102:K102"/>
    <mergeCell ref="I148:J148"/>
    <mergeCell ref="C184:H184"/>
    <mergeCell ref="C197:H197"/>
    <mergeCell ref="C251:H251"/>
    <mergeCell ref="C269:H269"/>
    <mergeCell ref="C270:H270"/>
    <mergeCell ref="C271:H271"/>
    <mergeCell ref="C272:H272"/>
    <mergeCell ref="C273:H273"/>
    <mergeCell ref="C274:H274"/>
    <mergeCell ref="C192:H192"/>
    <mergeCell ref="I205:J205"/>
    <mergeCell ref="C190:G190"/>
    <mergeCell ref="C193:G193"/>
    <mergeCell ref="C143:H143"/>
    <mergeCell ref="C144:H144"/>
    <mergeCell ref="C160:H160"/>
    <mergeCell ref="C283:H283"/>
    <mergeCell ref="C285:H286"/>
    <mergeCell ref="J333:K333"/>
    <mergeCell ref="J336:K336"/>
    <mergeCell ref="C299:G299"/>
    <mergeCell ref="C300:G300"/>
    <mergeCell ref="C301:G301"/>
    <mergeCell ref="C307:G307"/>
    <mergeCell ref="H307:I307"/>
    <mergeCell ref="J307:K307"/>
    <mergeCell ref="C305:G305"/>
    <mergeCell ref="H305:I305"/>
    <mergeCell ref="J305:K305"/>
    <mergeCell ref="C306:G306"/>
    <mergeCell ref="C303:G303"/>
    <mergeCell ref="H303:I303"/>
    <mergeCell ref="J303:K303"/>
    <mergeCell ref="C304:G304"/>
    <mergeCell ref="H304:I304"/>
    <mergeCell ref="J304:K304"/>
    <mergeCell ref="J306:K306"/>
    <mergeCell ref="J308:K308"/>
    <mergeCell ref="H310:I310"/>
    <mergeCell ref="J310:K310"/>
    <mergeCell ref="C308:G308"/>
    <mergeCell ref="C310:G310"/>
    <mergeCell ref="I119:K119"/>
    <mergeCell ref="I217:J217"/>
    <mergeCell ref="I236:J236"/>
    <mergeCell ref="C237:H237"/>
    <mergeCell ref="C238:H238"/>
    <mergeCell ref="C280:H280"/>
    <mergeCell ref="C281:G281"/>
    <mergeCell ref="C242:H242"/>
    <mergeCell ref="C243:H243"/>
    <mergeCell ref="C244:H244"/>
    <mergeCell ref="C245:H245"/>
    <mergeCell ref="C247:H247"/>
    <mergeCell ref="C248:H248"/>
    <mergeCell ref="C249:H249"/>
    <mergeCell ref="C278:G278"/>
    <mergeCell ref="C220:H220"/>
    <mergeCell ref="C221:H221"/>
    <mergeCell ref="C222:H222"/>
    <mergeCell ref="C225:H225"/>
    <mergeCell ref="C226:H226"/>
    <mergeCell ref="C227:H227"/>
    <mergeCell ref="I207:K207"/>
    <mergeCell ref="C138:H138"/>
    <mergeCell ref="C255:H255"/>
    <mergeCell ref="H39:I39"/>
    <mergeCell ref="C181:H181"/>
    <mergeCell ref="C189:H189"/>
    <mergeCell ref="C125:H125"/>
    <mergeCell ref="C126:H126"/>
    <mergeCell ref="C128:H128"/>
    <mergeCell ref="C131:H131"/>
    <mergeCell ref="C132:H132"/>
    <mergeCell ref="C155:H155"/>
    <mergeCell ref="C137:H137"/>
    <mergeCell ref="C154:H154"/>
    <mergeCell ref="C149:H149"/>
    <mergeCell ref="C147:H147"/>
    <mergeCell ref="C124:H124"/>
    <mergeCell ref="C127:H127"/>
    <mergeCell ref="I129:J129"/>
    <mergeCell ref="C130:H130"/>
    <mergeCell ref="C117:K117"/>
    <mergeCell ref="F97:G98"/>
    <mergeCell ref="H97:I98"/>
    <mergeCell ref="J97:K98"/>
    <mergeCell ref="F99:G100"/>
    <mergeCell ref="C97:E98"/>
    <mergeCell ref="C111:K111"/>
    <mergeCell ref="G61:H62"/>
    <mergeCell ref="I20:J20"/>
    <mergeCell ref="J36:K36"/>
    <mergeCell ref="J37:K37"/>
    <mergeCell ref="J38:K38"/>
    <mergeCell ref="J39:K39"/>
    <mergeCell ref="C12:D12"/>
    <mergeCell ref="C13:D13"/>
    <mergeCell ref="C14:D14"/>
    <mergeCell ref="E12:F12"/>
    <mergeCell ref="E13:F13"/>
    <mergeCell ref="E14:F14"/>
    <mergeCell ref="C21:D21"/>
    <mergeCell ref="E21:F21"/>
    <mergeCell ref="G21:H21"/>
    <mergeCell ref="G12:H12"/>
    <mergeCell ref="G13:H13"/>
    <mergeCell ref="I12:J12"/>
    <mergeCell ref="I21:J21"/>
    <mergeCell ref="I13:J13"/>
    <mergeCell ref="I15:J15"/>
    <mergeCell ref="C28:K28"/>
    <mergeCell ref="C24:K24"/>
    <mergeCell ref="C30:K30"/>
    <mergeCell ref="E22:F22"/>
    <mergeCell ref="G22:H22"/>
    <mergeCell ref="C66:K66"/>
    <mergeCell ref="I54:J55"/>
    <mergeCell ref="K54:K55"/>
    <mergeCell ref="C65:K65"/>
    <mergeCell ref="C68:K68"/>
    <mergeCell ref="C79:K79"/>
    <mergeCell ref="E73:F73"/>
    <mergeCell ref="G73:H73"/>
    <mergeCell ref="E74:F74"/>
    <mergeCell ref="G74:H74"/>
    <mergeCell ref="C75:D75"/>
    <mergeCell ref="C77:D77"/>
    <mergeCell ref="K61:K62"/>
    <mergeCell ref="C67:K67"/>
    <mergeCell ref="E77:F77"/>
    <mergeCell ref="G77:H77"/>
    <mergeCell ref="C64:K64"/>
    <mergeCell ref="C54:D55"/>
    <mergeCell ref="E54:F55"/>
    <mergeCell ref="G54:H55"/>
    <mergeCell ref="C61:D62"/>
    <mergeCell ref="E61:F62"/>
    <mergeCell ref="I22:J22"/>
    <mergeCell ref="H31:I32"/>
    <mergeCell ref="J31:K32"/>
    <mergeCell ref="J40:K40"/>
    <mergeCell ref="G20:H20"/>
    <mergeCell ref="C41:G41"/>
    <mergeCell ref="C43:G43"/>
    <mergeCell ref="D42:F42"/>
    <mergeCell ref="J33:K33"/>
    <mergeCell ref="H37:I37"/>
    <mergeCell ref="H38:I38"/>
    <mergeCell ref="H41:I41"/>
    <mergeCell ref="H42:I42"/>
    <mergeCell ref="H43:I43"/>
    <mergeCell ref="H36:I36"/>
    <mergeCell ref="J41:K41"/>
    <mergeCell ref="H40:I40"/>
    <mergeCell ref="C34:K35"/>
    <mergeCell ref="C33:G33"/>
    <mergeCell ref="C36:G36"/>
    <mergeCell ref="C37:G37"/>
    <mergeCell ref="C38:G38"/>
    <mergeCell ref="C39:G39"/>
    <mergeCell ref="C40:G40"/>
    <mergeCell ref="B1:K1"/>
    <mergeCell ref="C48:K48"/>
    <mergeCell ref="G14:H14"/>
    <mergeCell ref="G15:H15"/>
    <mergeCell ref="C26:K26"/>
    <mergeCell ref="B4:K4"/>
    <mergeCell ref="C6:K8"/>
    <mergeCell ref="I14:J14"/>
    <mergeCell ref="C10:D10"/>
    <mergeCell ref="C17:D17"/>
    <mergeCell ref="C19:D19"/>
    <mergeCell ref="E19:F19"/>
    <mergeCell ref="G19:H19"/>
    <mergeCell ref="I19:J19"/>
    <mergeCell ref="C20:D20"/>
    <mergeCell ref="E20:F20"/>
    <mergeCell ref="C46:K46"/>
    <mergeCell ref="J42:K42"/>
    <mergeCell ref="J43:K43"/>
    <mergeCell ref="J44:K44"/>
    <mergeCell ref="H33:I33"/>
    <mergeCell ref="C47:K47"/>
    <mergeCell ref="E15:F15"/>
    <mergeCell ref="C25:K25"/>
    <mergeCell ref="C372:F372"/>
    <mergeCell ref="C365:F365"/>
    <mergeCell ref="G365:H365"/>
    <mergeCell ref="I366:J366"/>
    <mergeCell ref="C379:F379"/>
    <mergeCell ref="C375:K375"/>
    <mergeCell ref="C377:K377"/>
    <mergeCell ref="H44:I44"/>
    <mergeCell ref="I358:J358"/>
    <mergeCell ref="I354:J354"/>
    <mergeCell ref="K52:K53"/>
    <mergeCell ref="C52:D53"/>
    <mergeCell ref="E52:F53"/>
    <mergeCell ref="G52:H53"/>
    <mergeCell ref="I52:J53"/>
    <mergeCell ref="C57:D57"/>
    <mergeCell ref="C50:D50"/>
    <mergeCell ref="C59:D60"/>
    <mergeCell ref="E59:F60"/>
    <mergeCell ref="G59:H60"/>
    <mergeCell ref="I59:J60"/>
    <mergeCell ref="K59:K60"/>
    <mergeCell ref="I61:J62"/>
    <mergeCell ref="C134:H134"/>
    <mergeCell ref="G379:H379"/>
    <mergeCell ref="G380:H380"/>
    <mergeCell ref="G381:H381"/>
    <mergeCell ref="G382:H382"/>
    <mergeCell ref="G371:H371"/>
    <mergeCell ref="I373:J373"/>
    <mergeCell ref="I371:J371"/>
    <mergeCell ref="I372:J372"/>
    <mergeCell ref="I379:J379"/>
    <mergeCell ref="I380:J380"/>
    <mergeCell ref="I381:J381"/>
    <mergeCell ref="G372:H372"/>
    <mergeCell ref="G373:H373"/>
    <mergeCell ref="J394:K394"/>
    <mergeCell ref="J395:K395"/>
    <mergeCell ref="C394:G394"/>
    <mergeCell ref="C395:G395"/>
    <mergeCell ref="G387:H387"/>
    <mergeCell ref="C380:F380"/>
    <mergeCell ref="C381:F381"/>
    <mergeCell ref="C385:F385"/>
    <mergeCell ref="C386:F386"/>
    <mergeCell ref="H395:I395"/>
    <mergeCell ref="C390:K390"/>
    <mergeCell ref="H393:I393"/>
    <mergeCell ref="H394:I394"/>
    <mergeCell ref="C391:K391"/>
    <mergeCell ref="C389:K389"/>
    <mergeCell ref="I387:J387"/>
    <mergeCell ref="G386:H386"/>
    <mergeCell ref="I386:J386"/>
    <mergeCell ref="I382:J382"/>
    <mergeCell ref="I384:J384"/>
    <mergeCell ref="I385:J385"/>
    <mergeCell ref="G384:H384"/>
    <mergeCell ref="C384:F384"/>
    <mergeCell ref="J393:K393"/>
    <mergeCell ref="H334:I334"/>
    <mergeCell ref="C344:K344"/>
    <mergeCell ref="I345:J345"/>
    <mergeCell ref="C350:K350"/>
    <mergeCell ref="C371:F371"/>
    <mergeCell ref="I365:J365"/>
    <mergeCell ref="C366:F366"/>
    <mergeCell ref="G366:H366"/>
    <mergeCell ref="C363:K363"/>
    <mergeCell ref="I355:J355"/>
    <mergeCell ref="I356:J356"/>
    <mergeCell ref="G356:H356"/>
    <mergeCell ref="I357:J357"/>
    <mergeCell ref="C358:F358"/>
    <mergeCell ref="G368:H368"/>
    <mergeCell ref="G370:H370"/>
    <mergeCell ref="C356:F356"/>
    <mergeCell ref="C357:F357"/>
    <mergeCell ref="G355:H355"/>
    <mergeCell ref="I368:J368"/>
    <mergeCell ref="I370:J370"/>
    <mergeCell ref="C370:F370"/>
    <mergeCell ref="I346:J346"/>
    <mergeCell ref="I347:J347"/>
    <mergeCell ref="G385:H385"/>
    <mergeCell ref="I210:J210"/>
    <mergeCell ref="C231:H231"/>
    <mergeCell ref="C232:H232"/>
    <mergeCell ref="C235:H235"/>
    <mergeCell ref="C216:H216"/>
    <mergeCell ref="C328:K328"/>
    <mergeCell ref="C211:H211"/>
    <mergeCell ref="C212:H212"/>
    <mergeCell ref="C213:H213"/>
    <mergeCell ref="C214:H214"/>
    <mergeCell ref="C240:H240"/>
    <mergeCell ref="C241:H241"/>
    <mergeCell ref="C218:H218"/>
    <mergeCell ref="C215:H215"/>
    <mergeCell ref="C228:H228"/>
    <mergeCell ref="C230:H230"/>
    <mergeCell ref="I367:J367"/>
    <mergeCell ref="C360:K360"/>
    <mergeCell ref="C355:F355"/>
    <mergeCell ref="H332:I332"/>
    <mergeCell ref="G347:H347"/>
    <mergeCell ref="C346:F346"/>
    <mergeCell ref="C352:K352"/>
    <mergeCell ref="C49:K49"/>
    <mergeCell ref="C219:H219"/>
    <mergeCell ref="C93:K93"/>
    <mergeCell ref="C367:F367"/>
    <mergeCell ref="C29:K29"/>
    <mergeCell ref="C90:K91"/>
    <mergeCell ref="G367:H367"/>
    <mergeCell ref="H339:I339"/>
    <mergeCell ref="C336:G336"/>
    <mergeCell ref="H336:I336"/>
    <mergeCell ref="H333:I333"/>
    <mergeCell ref="C334:G334"/>
    <mergeCell ref="C338:G338"/>
    <mergeCell ref="C341:K341"/>
    <mergeCell ref="J338:K338"/>
    <mergeCell ref="J339:K339"/>
    <mergeCell ref="J334:K334"/>
    <mergeCell ref="C330:K330"/>
    <mergeCell ref="H338:I338"/>
    <mergeCell ref="C333:G333"/>
    <mergeCell ref="J332:K332"/>
    <mergeCell ref="C347:F347"/>
    <mergeCell ref="G346:H346"/>
    <mergeCell ref="H306:I306"/>
    <mergeCell ref="C162:H162"/>
    <mergeCell ref="C168:H168"/>
    <mergeCell ref="C169:H169"/>
    <mergeCell ref="C171:H171"/>
    <mergeCell ref="C172:H172"/>
    <mergeCell ref="C223:H223"/>
    <mergeCell ref="C224:H224"/>
    <mergeCell ref="C135:H135"/>
    <mergeCell ref="C136:H136"/>
    <mergeCell ref="C145:H145"/>
    <mergeCell ref="C146:H146"/>
    <mergeCell ref="C156:H156"/>
    <mergeCell ref="C157:H157"/>
    <mergeCell ref="C158:H158"/>
    <mergeCell ref="C151:H151"/>
    <mergeCell ref="C233:H233"/>
    <mergeCell ref="C234:H234"/>
    <mergeCell ref="C239:H239"/>
    <mergeCell ref="C246:H246"/>
    <mergeCell ref="C250:H250"/>
    <mergeCell ref="C256:H256"/>
    <mergeCell ref="C257:H257"/>
    <mergeCell ref="C259:H259"/>
    <mergeCell ref="C260:H260"/>
    <mergeCell ref="C258:H258"/>
  </mergeCells>
  <phoneticPr fontId="0" type="noConversion"/>
  <hyperlinks>
    <hyperlink ref="B1:K1" location="'spis treści'!A1" display="SPIS TREŚCI" xr:uid="{00000000-0004-0000-2800-000000000000}"/>
  </hyperlinks>
  <pageMargins left="0.39370078740157483" right="0.19685039370078741" top="0.35433070866141736" bottom="0.98425196850393704" header="0.27559055118110237" footer="0.51181102362204722"/>
  <pageSetup paperSize="9" scale="98" fitToHeight="0" orientation="portrait" blackAndWhite="1" r:id="rId1"/>
  <headerFooter>
    <oddFooter>&amp;Lnota 2</oddFooter>
  </headerFooter>
  <rowBreaks count="9" manualBreakCount="9">
    <brk id="44" min="1" max="10" man="1"/>
    <brk id="78" min="1" max="10" man="1"/>
    <brk id="112" min="1" max="10" man="1"/>
    <brk id="163" min="1" max="10" man="1"/>
    <brk id="205" min="1" max="10" man="1"/>
    <brk id="251" min="1" max="10" man="1"/>
    <brk id="293" min="1" max="10" man="1"/>
    <brk id="326" min="1" max="10" man="1"/>
    <brk id="358" min="1" max="10"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36">
    <pageSetUpPr fitToPage="1"/>
  </sheetPr>
  <dimension ref="A1:AB146"/>
  <sheetViews>
    <sheetView showGridLines="0" view="pageBreakPreview" zoomScaleNormal="100" zoomScaleSheetLayoutView="100" workbookViewId="0"/>
  </sheetViews>
  <sheetFormatPr defaultColWidth="9.140625" defaultRowHeight="12.75"/>
  <cols>
    <col min="1" max="1" width="20" style="66" bestFit="1" customWidth="1"/>
    <col min="2" max="2" width="4.85546875" style="72" customWidth="1"/>
    <col min="3" max="3" width="9.7109375" style="66" bestFit="1" customWidth="1"/>
    <col min="4" max="7" width="9.140625" style="66"/>
    <col min="8" max="8" width="6.28515625" style="66" customWidth="1"/>
    <col min="9" max="9" width="10.140625" style="66" customWidth="1"/>
    <col min="10" max="11" width="9.85546875" style="66" customWidth="1"/>
    <col min="12" max="12" width="9.7109375" style="66" customWidth="1"/>
    <col min="13" max="13" width="14.5703125" style="66" customWidth="1"/>
    <col min="14" max="14" width="13.5703125" style="66" customWidth="1"/>
    <col min="15" max="16384" width="9.140625" style="66"/>
  </cols>
  <sheetData>
    <row r="1" spans="1:28">
      <c r="B1" s="749" t="s">
        <v>3202</v>
      </c>
      <c r="C1" s="749"/>
      <c r="D1" s="749"/>
      <c r="E1" s="749"/>
      <c r="F1" s="749"/>
      <c r="G1" s="749"/>
      <c r="H1" s="749"/>
      <c r="I1" s="749"/>
      <c r="J1" s="749"/>
      <c r="K1" s="749"/>
      <c r="L1" s="749"/>
    </row>
    <row r="2" spans="1:28">
      <c r="B2" s="386" t="str">
        <f>nazwa_spolki</f>
        <v>Rhenus Digital Workforce Sp. z o.o.</v>
      </c>
      <c r="C2" s="390"/>
      <c r="D2" s="390"/>
      <c r="E2" s="390"/>
      <c r="F2" s="390"/>
      <c r="G2" s="390"/>
      <c r="H2" s="390"/>
      <c r="I2" s="390"/>
      <c r="J2" s="390"/>
      <c r="K2" s="390"/>
      <c r="L2" s="390"/>
    </row>
    <row r="3" spans="1:28" ht="45.95" customHeight="1">
      <c r="B3" s="129" t="str">
        <f>tytul</f>
        <v>Sprawozdanie finansowe sporządzone za rok obrotowy 2024</v>
      </c>
      <c r="C3" s="390"/>
      <c r="D3" s="390"/>
      <c r="E3" s="390"/>
      <c r="F3" s="390"/>
      <c r="G3" s="390"/>
      <c r="H3" s="390"/>
      <c r="I3" s="390"/>
      <c r="J3" s="390"/>
      <c r="K3" s="390"/>
      <c r="L3" s="390"/>
    </row>
    <row r="4" spans="1:28" s="178" customFormat="1" ht="20.25">
      <c r="B4" s="789" t="str">
        <f>"3. "&amp;CHOOSE(jezyk,n!A613,n!B613,n!C613,n!D611)</f>
        <v>3. DODATKOWE INFORMACJE I OBJAŚNIENIA</v>
      </c>
      <c r="C4" s="789"/>
      <c r="D4" s="789"/>
      <c r="E4" s="789"/>
      <c r="F4" s="789"/>
      <c r="G4" s="789"/>
      <c r="H4" s="789"/>
      <c r="I4" s="789"/>
      <c r="J4" s="789"/>
      <c r="K4" s="789"/>
      <c r="L4" s="789"/>
    </row>
    <row r="6" spans="1:28" ht="12.75" customHeight="1">
      <c r="A6" s="72"/>
      <c r="B6" s="111" t="s">
        <v>6544</v>
      </c>
      <c r="C6" s="808" t="str">
        <f>CHOOSE(jezyk,n!A1633,n!B1633,n!C1633,n!D1629)</f>
        <v>Kursy przyjęte do wyceny pozycji bilansu oraz rachunku zysków i strat wyrażonych w walutach obcych</v>
      </c>
      <c r="D6" s="808"/>
      <c r="E6" s="808"/>
      <c r="F6" s="808"/>
      <c r="G6" s="808"/>
      <c r="H6" s="808"/>
      <c r="I6" s="808"/>
      <c r="J6" s="808"/>
      <c r="K6" s="808"/>
      <c r="L6" s="808"/>
      <c r="M6" s="218"/>
      <c r="N6" s="218"/>
      <c r="O6" s="218"/>
      <c r="P6" s="218"/>
      <c r="Q6" s="218"/>
      <c r="R6" s="218"/>
      <c r="S6" s="218"/>
      <c r="T6" s="218"/>
      <c r="U6" s="218"/>
      <c r="V6" s="218"/>
      <c r="W6" s="218"/>
      <c r="X6" s="218"/>
      <c r="Y6" s="218"/>
      <c r="Z6" s="218"/>
      <c r="AA6" s="218"/>
    </row>
    <row r="7" spans="1:28">
      <c r="C7" s="418"/>
      <c r="D7" s="418"/>
      <c r="E7" s="418"/>
      <c r="F7" s="418"/>
      <c r="G7" s="418"/>
      <c r="H7" s="418"/>
      <c r="I7" s="418"/>
      <c r="J7" s="418"/>
      <c r="K7" s="418"/>
      <c r="L7" s="418"/>
    </row>
    <row r="8" spans="1:28" ht="78" customHeight="1">
      <c r="A8" s="72"/>
      <c r="C8" s="824" t="str">
        <f>CHOOSE(jezyk,n!A1634,n!B1634,n!C1634,n!D1632)</f>
        <v>Zgodnie z art. 30 ust. 1 UoR składniki aktywów i pasywów wyrażone w walutach obcych zostały wycenione na dzień bilansowy po obowiązujących na ten dzień średnich kursach ustalonych dla określonych walut przez Narodowy Bank Polski. Walutami, które należało objąć w spółce wyceną na dzień 31.12.2024r. były: euro (EUR), dolar amerykański (USD). Podstawą wyceny była tabela A kursów średnich nr 252/A/NBP/2024 z dnia 31.12.2024 r., według której kurs średni EUR wynosił 4,273 PLN, USD wynosił 4,1012 PLN.</v>
      </c>
      <c r="D8" s="824"/>
      <c r="E8" s="824"/>
      <c r="F8" s="824"/>
      <c r="G8" s="824"/>
      <c r="H8" s="824"/>
      <c r="I8" s="824"/>
      <c r="J8" s="824"/>
      <c r="K8" s="824"/>
      <c r="L8" s="824"/>
      <c r="M8" s="130" t="s">
        <v>6843</v>
      </c>
      <c r="N8" s="219"/>
      <c r="O8" s="219"/>
      <c r="P8" s="219"/>
      <c r="Q8" s="219"/>
      <c r="R8" s="219"/>
      <c r="S8" s="219"/>
      <c r="T8" s="219"/>
      <c r="U8" s="219"/>
      <c r="V8" s="219"/>
      <c r="W8" s="219"/>
      <c r="X8" s="219"/>
      <c r="Y8" s="219"/>
      <c r="Z8" s="219"/>
      <c r="AA8" s="219"/>
      <c r="AB8" s="219"/>
    </row>
    <row r="9" spans="1:28" ht="14.25">
      <c r="M9" s="130"/>
      <c r="N9" s="220"/>
      <c r="O9" s="220"/>
      <c r="P9" s="220"/>
      <c r="Q9" s="220"/>
      <c r="R9" s="220"/>
      <c r="S9" s="220"/>
      <c r="T9" s="220"/>
      <c r="U9" s="220"/>
      <c r="V9" s="220"/>
      <c r="W9" s="220"/>
      <c r="X9" s="220"/>
      <c r="Y9" s="220"/>
      <c r="Z9" s="220"/>
      <c r="AA9" s="220"/>
      <c r="AB9" s="220"/>
    </row>
    <row r="10" spans="1:28" ht="54" customHeight="1">
      <c r="C10" s="824" t="str">
        <f>CHOOSE(jezyk,n!A1635,n!B1635,n!C1635,n!D1633)</f>
        <v>Na dzień bilansowy 31.12.2023 składniki aktywów i pasywów wyrażone w walutach obcych zostały wycenione po obowiązujących na ten dzień średnich kursach ustalonych dla określonych walut przez Narodowy Bank Polski. Podstawą wyceny była tabela A kursów średnich nr 251/A/NBP/2023 z dnia 29.12.2023 r., według której kurs średni EUR wynosił 4,348 PLN, USD wynosił 3,935 PLN.</v>
      </c>
      <c r="D10" s="824"/>
      <c r="E10" s="824"/>
      <c r="F10" s="824"/>
      <c r="G10" s="824"/>
      <c r="H10" s="824"/>
      <c r="I10" s="824"/>
      <c r="J10" s="824"/>
      <c r="K10" s="824"/>
      <c r="L10" s="824"/>
      <c r="M10" s="130"/>
      <c r="N10" s="219"/>
      <c r="O10" s="219"/>
      <c r="P10" s="219"/>
      <c r="Q10" s="219"/>
      <c r="R10" s="219"/>
      <c r="S10" s="219"/>
      <c r="T10" s="219"/>
      <c r="U10" s="219"/>
      <c r="V10" s="219"/>
      <c r="W10" s="219"/>
      <c r="X10" s="219"/>
      <c r="Y10" s="219"/>
      <c r="Z10" s="219"/>
      <c r="AA10" s="219"/>
      <c r="AB10" s="219"/>
    </row>
    <row r="12" spans="1:28" ht="20.25">
      <c r="B12" s="789" t="str">
        <f>"4. "&amp;CHOOSE(jezyk,n!A613,n!B613,n!C613,n!D611)</f>
        <v>4. DODATKOWE INFORMACJE I OBJAŚNIENIA</v>
      </c>
      <c r="C12" s="789"/>
      <c r="D12" s="789"/>
      <c r="E12" s="789"/>
      <c r="F12" s="789"/>
      <c r="G12" s="789"/>
      <c r="H12" s="789"/>
      <c r="I12" s="789"/>
      <c r="J12" s="789"/>
      <c r="K12" s="789"/>
      <c r="L12" s="789"/>
      <c r="M12" s="178"/>
    </row>
    <row r="13" spans="1:28" ht="7.5" customHeight="1">
      <c r="C13" s="392"/>
      <c r="D13" s="392"/>
      <c r="E13" s="392"/>
      <c r="F13" s="392"/>
      <c r="G13" s="392"/>
      <c r="H13" s="392"/>
      <c r="I13" s="392"/>
      <c r="J13" s="392"/>
      <c r="K13" s="392"/>
      <c r="L13" s="392"/>
      <c r="M13" s="392"/>
    </row>
    <row r="14" spans="1:28" ht="7.5" customHeight="1">
      <c r="P14" s="130"/>
    </row>
    <row r="15" spans="1:28" ht="25.5" customHeight="1">
      <c r="B15" s="111" t="s">
        <v>6844</v>
      </c>
      <c r="C15" s="808" t="str">
        <f>CHOOSE(jezyk,n!A996,n!B996,n!C996,n!D994)</f>
        <v>Objaśnienia struktury środków pieniężnych przyjętych do rachunku przepływów pieniężnych (przy stosowaniu metody bezpośredniej i pośredniej)</v>
      </c>
      <c r="D15" s="808"/>
      <c r="E15" s="808"/>
      <c r="F15" s="808"/>
      <c r="G15" s="808"/>
      <c r="H15" s="808"/>
      <c r="I15" s="808"/>
      <c r="J15" s="808"/>
      <c r="K15" s="808"/>
      <c r="L15" s="808"/>
      <c r="M15" s="377"/>
    </row>
    <row r="16" spans="1:28" ht="25.5" customHeight="1">
      <c r="C16" s="808" t="str">
        <f>CHOOSE(jezyk,n!A997,n!B997,n!C997,n!D995)</f>
        <v>Uzgodnienie przepływów netto z działalności operacyjnej, sporządzone metodą pośrednią (przy stosowaniu metody bezpośredniej)</v>
      </c>
      <c r="D16" s="808"/>
      <c r="E16" s="808"/>
      <c r="F16" s="808"/>
      <c r="G16" s="808"/>
      <c r="H16" s="808"/>
      <c r="I16" s="808"/>
      <c r="J16" s="808"/>
      <c r="K16" s="808"/>
      <c r="L16" s="808"/>
      <c r="M16" s="377"/>
    </row>
    <row r="17" spans="2:16" ht="25.5" customHeight="1">
      <c r="C17" s="808" t="str">
        <f>CHOOSE(jezyk,n!A998,n!B998,n!C998,n!D996)</f>
        <v>(w przypadku różnic pomiędzy zmianami stanu niektórych pozycji w bilansie oraz zmianami tych samych pozycji wykazanymi w rachunku przepływów pieniężnych należy wyjaśnić ich przyczyny)</v>
      </c>
      <c r="D17" s="808"/>
      <c r="E17" s="808"/>
      <c r="F17" s="808"/>
      <c r="G17" s="808"/>
      <c r="H17" s="808"/>
      <c r="I17" s="808"/>
      <c r="J17" s="808"/>
      <c r="K17" s="808"/>
      <c r="L17" s="808"/>
      <c r="M17" s="377"/>
    </row>
    <row r="18" spans="2:16">
      <c r="C18" s="798"/>
      <c r="D18" s="798"/>
      <c r="E18" s="798"/>
      <c r="F18" s="798"/>
      <c r="G18" s="798"/>
      <c r="H18" s="798"/>
      <c r="I18" s="798"/>
      <c r="J18" s="798"/>
      <c r="K18" s="798"/>
      <c r="L18" s="798"/>
    </row>
    <row r="19" spans="2:16" ht="15" customHeight="1">
      <c r="C19" s="731" t="str">
        <f>IF(GA!F75&lt;&gt;"nie",IF(wCF=1,"uzupełnij notę",CHOOSE(jezyk,n!A999,n!B999,n!C999,n!D997)),IF(wCF=1,"uzupełnij notę",CHOOSE(jezyk,n!A1000,n!B1000,n!C1000,n!D1000)))</f>
        <v>Spółka nie ma obowiązku sporządzania rachunku przepływów pieniężnych.</v>
      </c>
      <c r="D19" s="731"/>
      <c r="E19" s="731"/>
      <c r="F19" s="731"/>
      <c r="G19" s="731"/>
      <c r="H19" s="731"/>
      <c r="I19" s="731"/>
      <c r="J19" s="731"/>
      <c r="K19" s="731"/>
      <c r="L19" s="731"/>
      <c r="M19" s="130" t="s">
        <v>6785</v>
      </c>
    </row>
    <row r="20" spans="2:16" s="184" customFormat="1" ht="6" customHeight="1">
      <c r="B20" s="96"/>
      <c r="C20" s="389"/>
      <c r="D20" s="389"/>
      <c r="E20" s="389"/>
      <c r="F20" s="389"/>
      <c r="G20" s="389"/>
      <c r="H20" s="389"/>
      <c r="I20" s="389"/>
      <c r="J20" s="389"/>
      <c r="K20" s="389"/>
      <c r="L20" s="389"/>
      <c r="M20" s="175"/>
    </row>
    <row r="21" spans="2:16" ht="7.5" customHeight="1">
      <c r="I21" s="940">
        <f>rok</f>
        <v>2024</v>
      </c>
      <c r="J21" s="940"/>
      <c r="K21" s="940">
        <f>IF(LEN(ro)&gt;4,_xlfn.TEXTBEFORE(ro,"/")-1&amp;"/"&amp;_xlfn.TEXTAFTER(ro,"/")-1,ro-1)</f>
        <v>2023</v>
      </c>
      <c r="L21" s="940"/>
    </row>
    <row r="22" spans="2:16" ht="9.75" customHeight="1">
      <c r="I22" s="940"/>
      <c r="J22" s="940"/>
      <c r="K22" s="940"/>
      <c r="L22" s="940"/>
    </row>
    <row r="23" spans="2:16" s="149" customFormat="1" ht="18" customHeight="1">
      <c r="B23" s="72"/>
      <c r="C23" s="1048" t="str">
        <f>CHOOSE(jezyk,n!A1001,n!B1001,n!C1001,n!D998)</f>
        <v>Przepływy środków pieniężnych z działalności operacyjnej</v>
      </c>
      <c r="D23" s="1048"/>
      <c r="E23" s="1048"/>
      <c r="F23" s="1048"/>
      <c r="G23" s="1048"/>
      <c r="H23" s="1048"/>
      <c r="I23" s="820">
        <f>'CF mp'!I29</f>
        <v>471604.56000000081</v>
      </c>
      <c r="J23" s="820"/>
      <c r="K23" s="820">
        <f>'CF mp'!J29</f>
        <v>-313.37990000000002</v>
      </c>
      <c r="L23" s="820"/>
    </row>
    <row r="24" spans="2:16" s="149" customFormat="1" ht="18" customHeight="1">
      <c r="B24" s="72"/>
      <c r="C24" s="1048" t="str">
        <f>CHOOSE(jezyk,n!A1002,n!B1002,n!C1002,n!D999)</f>
        <v>Przepływy środków pieniężnych z działalności inwestycyjnej</v>
      </c>
      <c r="D24" s="1048"/>
      <c r="E24" s="1048"/>
      <c r="F24" s="1048"/>
      <c r="G24" s="1048"/>
      <c r="H24" s="1048"/>
      <c r="I24" s="820">
        <f>'CF mp'!I58</f>
        <v>0</v>
      </c>
      <c r="J24" s="820"/>
      <c r="K24" s="820">
        <f>'CF mp'!J58</f>
        <v>0</v>
      </c>
      <c r="L24" s="820"/>
      <c r="M24" s="221"/>
    </row>
    <row r="25" spans="2:16" s="149" customFormat="1" ht="18" customHeight="1">
      <c r="B25" s="72"/>
      <c r="C25" s="1048" t="str">
        <f>CHOOSE(jezyk,n!A1003,n!B1003,n!C1003,n!D1001)</f>
        <v>Przepływy środków pieniężnych z działalności finansowej</v>
      </c>
      <c r="D25" s="1048"/>
      <c r="E25" s="1048"/>
      <c r="F25" s="1048"/>
      <c r="G25" s="1048"/>
      <c r="H25" s="1048"/>
      <c r="I25" s="820">
        <f>'CF mp'!I81</f>
        <v>0</v>
      </c>
      <c r="J25" s="820"/>
      <c r="K25" s="820">
        <f>'CF mp'!J81</f>
        <v>0</v>
      </c>
      <c r="L25" s="820"/>
      <c r="M25" s="221"/>
    </row>
    <row r="26" spans="2:16" s="149" customFormat="1" ht="18" customHeight="1">
      <c r="B26" s="72"/>
      <c r="C26" s="1048" t="str">
        <f>CHOOSE(jezyk,n!A1004,n!B1004,n!C1004,n!D1002)</f>
        <v xml:space="preserve">Przepływy pieniężne netto </v>
      </c>
      <c r="D26" s="1048"/>
      <c r="E26" s="1048"/>
      <c r="F26" s="1048"/>
      <c r="G26" s="1048"/>
      <c r="H26" s="1048"/>
      <c r="I26" s="820">
        <f>'CF mp'!I83</f>
        <v>471604.56000000081</v>
      </c>
      <c r="J26" s="820"/>
      <c r="K26" s="820">
        <f>'CF mp'!J83</f>
        <v>-313.37990000000002</v>
      </c>
      <c r="L26" s="820"/>
      <c r="M26" s="221"/>
    </row>
    <row r="27" spans="2:16" s="149" customFormat="1" ht="18" customHeight="1">
      <c r="B27" s="72"/>
      <c r="C27" s="1048" t="str">
        <f>CHOOSE(jezyk,n!A1005,n!B1005,n!C1005,n!D1003)</f>
        <v>Środki pieniężne na początek roku obrotowego</v>
      </c>
      <c r="D27" s="1048"/>
      <c r="E27" s="1048"/>
      <c r="F27" s="1048"/>
      <c r="G27" s="1048"/>
      <c r="H27" s="1048"/>
      <c r="I27" s="820">
        <f>'CF mp'!I89</f>
        <v>0</v>
      </c>
      <c r="J27" s="820"/>
      <c r="K27" s="820">
        <f>'CF mp'!J89</f>
        <v>0</v>
      </c>
      <c r="L27" s="820"/>
      <c r="M27" s="221"/>
    </row>
    <row r="28" spans="2:16" s="149" customFormat="1" ht="18" customHeight="1">
      <c r="B28" s="72"/>
      <c r="C28" s="1048" t="str">
        <f>CHOOSE(jezyk,n!A1006,n!B1006,n!C1006,n!D1004)</f>
        <v>Środki pieniężne na koniec roku obrotowego</v>
      </c>
      <c r="D28" s="1048"/>
      <c r="E28" s="1048"/>
      <c r="F28" s="1048"/>
      <c r="G28" s="1048"/>
      <c r="H28" s="1048"/>
      <c r="I28" s="820">
        <f>'CF mp'!I92</f>
        <v>471604.56000000081</v>
      </c>
      <c r="J28" s="820"/>
      <c r="K28" s="820">
        <f>'CF mp'!J92</f>
        <v>0</v>
      </c>
      <c r="L28" s="820"/>
      <c r="M28" s="221"/>
    </row>
    <row r="30" spans="2:16" ht="21" customHeight="1">
      <c r="C30" s="1049" t="e">
        <f>#REF!</f>
        <v>#REF!</v>
      </c>
      <c r="D30" s="1049"/>
      <c r="E30" s="1049"/>
      <c r="F30" s="1049"/>
      <c r="G30" s="1049"/>
      <c r="H30" s="1049"/>
      <c r="I30" s="996">
        <f>rok</f>
        <v>2024</v>
      </c>
      <c r="J30" s="997"/>
      <c r="K30" s="975">
        <f>IF(LEN(ro)&gt;4,_xlfn.TEXTBEFORE(ro,"/")-1&amp;"/"&amp;_xlfn.TEXTAFTER(ro,"/")-1,ro-1)</f>
        <v>2023</v>
      </c>
      <c r="L30" s="975"/>
      <c r="P30" s="415"/>
    </row>
    <row r="31" spans="2:16" ht="15" customHeight="1">
      <c r="C31" s="1013" t="str">
        <f>CHOOSE(jezyk,n!A1371,n!B1371,n!C1371,n!D1369)</f>
        <v>Odsetki od lokat powyżej 3 miesięcy</v>
      </c>
      <c r="D31" s="1013"/>
      <c r="E31" s="1013"/>
      <c r="F31" s="1013"/>
      <c r="G31" s="1013"/>
      <c r="H31" s="1013"/>
      <c r="I31" s="998">
        <f>SUM(I32:J33)</f>
        <v>0</v>
      </c>
      <c r="J31" s="999"/>
      <c r="K31" s="999">
        <f>SUM(K32:L33)</f>
        <v>0</v>
      </c>
      <c r="L31" s="999"/>
    </row>
    <row r="32" spans="2:16" ht="15" customHeight="1">
      <c r="C32" s="1014" t="str">
        <f>CHOOSE(jezyk,n!A1372,n!B1372,n!C1372,n!D1370)</f>
        <v>zapłacone</v>
      </c>
      <c r="D32" s="1014"/>
      <c r="E32" s="1014"/>
      <c r="F32" s="1014"/>
      <c r="G32" s="1014"/>
      <c r="H32" s="1014"/>
      <c r="I32" s="1000">
        <v>0</v>
      </c>
      <c r="J32" s="1000"/>
      <c r="K32" s="1003">
        <v>0</v>
      </c>
      <c r="L32" s="1004"/>
    </row>
    <row r="33" spans="1:14" ht="15" customHeight="1">
      <c r="C33" s="1015" t="str">
        <f>CHOOSE(jezyk,n!A1373,n!B1373,n!C1373,n!D1371)</f>
        <v>otrzymane</v>
      </c>
      <c r="D33" s="1015"/>
      <c r="E33" s="1015"/>
      <c r="F33" s="1015"/>
      <c r="G33" s="1015"/>
      <c r="H33" s="1015"/>
      <c r="I33" s="1001">
        <v>0</v>
      </c>
      <c r="J33" s="1002"/>
      <c r="K33" s="1001">
        <v>0</v>
      </c>
      <c r="L33" s="1002"/>
    </row>
    <row r="34" spans="1:14" ht="15" customHeight="1">
      <c r="C34" s="1013" t="str">
        <f>CHOOSE(jezyk,n!A1374,n!B1374,n!C1374,n!D1372)</f>
        <v>Odsetki od udzielonych pożyczek</v>
      </c>
      <c r="D34" s="1013"/>
      <c r="E34" s="1013"/>
      <c r="F34" s="1013"/>
      <c r="G34" s="1013"/>
      <c r="H34" s="1013"/>
      <c r="I34" s="1006">
        <f>SUM(I35:J36)</f>
        <v>0</v>
      </c>
      <c r="J34" s="998"/>
      <c r="K34" s="999">
        <f>SUM(K35:L36)</f>
        <v>0</v>
      </c>
      <c r="L34" s="999"/>
    </row>
    <row r="35" spans="1:14" ht="15" customHeight="1">
      <c r="C35" s="1014" t="str">
        <f>CHOOSE(jezyk,n!A1372,n!B1372,n!C1372,n!D1370)</f>
        <v>zapłacone</v>
      </c>
      <c r="D35" s="1014"/>
      <c r="E35" s="1014"/>
      <c r="F35" s="1014"/>
      <c r="G35" s="1014"/>
      <c r="H35" s="1014"/>
      <c r="I35" s="1003">
        <v>0</v>
      </c>
      <c r="J35" s="1004"/>
      <c r="K35" s="1003">
        <v>0</v>
      </c>
      <c r="L35" s="1004"/>
    </row>
    <row r="36" spans="1:14" ht="15" customHeight="1">
      <c r="C36" s="1015" t="str">
        <f>CHOOSE(jezyk,n!A1373,n!B1373,n!C1373,n!D1371)</f>
        <v>otrzymane</v>
      </c>
      <c r="D36" s="1015"/>
      <c r="E36" s="1015"/>
      <c r="F36" s="1015"/>
      <c r="G36" s="1015"/>
      <c r="H36" s="1015"/>
      <c r="I36" s="1001">
        <v>0</v>
      </c>
      <c r="J36" s="1002"/>
      <c r="K36" s="1001">
        <v>0</v>
      </c>
      <c r="L36" s="1002"/>
    </row>
    <row r="37" spans="1:14" ht="15" customHeight="1">
      <c r="C37" s="1013" t="str">
        <f>CHOOSE(jezyk,n!A1377,n!B1377,n!C1377,n!D1375)</f>
        <v>Odsetki od kredytów</v>
      </c>
      <c r="D37" s="1013"/>
      <c r="E37" s="1013"/>
      <c r="F37" s="1013"/>
      <c r="G37" s="1013"/>
      <c r="H37" s="1013"/>
      <c r="I37" s="1006">
        <f>SUM(I38:J39)</f>
        <v>0</v>
      </c>
      <c r="J37" s="998"/>
      <c r="K37" s="999">
        <f>SUM(K38:L39)</f>
        <v>0</v>
      </c>
      <c r="L37" s="999"/>
    </row>
    <row r="38" spans="1:14" ht="15" customHeight="1">
      <c r="C38" s="1014" t="str">
        <f>CHOOSE(jezyk,n!A1372,n!B1372,n!C1372,n!D1370)</f>
        <v>zapłacone</v>
      </c>
      <c r="D38" s="1014"/>
      <c r="E38" s="1014"/>
      <c r="F38" s="1014"/>
      <c r="G38" s="1014"/>
      <c r="H38" s="1014"/>
      <c r="I38" s="1003">
        <v>0</v>
      </c>
      <c r="J38" s="1004"/>
      <c r="K38" s="1003">
        <v>0</v>
      </c>
      <c r="L38" s="1004"/>
    </row>
    <row r="39" spans="1:14" ht="15" customHeight="1">
      <c r="C39" s="1015" t="str">
        <f>CHOOSE(jezyk,n!A1373,n!B1373,n!C1373,n!D1371)</f>
        <v>otrzymane</v>
      </c>
      <c r="D39" s="1015"/>
      <c r="E39" s="1015"/>
      <c r="F39" s="1015"/>
      <c r="G39" s="1015"/>
      <c r="H39" s="1015"/>
      <c r="I39" s="1001">
        <v>0</v>
      </c>
      <c r="J39" s="1002"/>
      <c r="K39" s="1001">
        <v>0</v>
      </c>
      <c r="L39" s="1002"/>
    </row>
    <row r="40" spans="1:14" ht="15" customHeight="1">
      <c r="C40" s="1013" t="str">
        <f>CHOOSE(jezyk,n!A1380,n!B1380,n!C1380,n!D1378)</f>
        <v>Otrzymane i zarachowane dywidendy</v>
      </c>
      <c r="D40" s="1013"/>
      <c r="E40" s="1013"/>
      <c r="F40" s="1013"/>
      <c r="G40" s="1013"/>
      <c r="H40" s="1013"/>
      <c r="I40" s="1007">
        <v>0</v>
      </c>
      <c r="J40" s="1008"/>
      <c r="K40" s="1003">
        <v>0</v>
      </c>
      <c r="L40" s="1004"/>
    </row>
    <row r="41" spans="1:14" ht="15" customHeight="1">
      <c r="C41" s="1013" t="str">
        <f>CHOOSE(jezyk,n!A1381,n!B1381,n!C1381,n!D1379)</f>
        <v>Pozostałe odsetki</v>
      </c>
      <c r="D41" s="1013"/>
      <c r="E41" s="1013"/>
      <c r="F41" s="1013"/>
      <c r="G41" s="1013"/>
      <c r="H41" s="1013"/>
      <c r="I41" s="1007">
        <v>0</v>
      </c>
      <c r="J41" s="1008"/>
      <c r="K41" s="1003">
        <v>0</v>
      </c>
      <c r="L41" s="1004"/>
    </row>
    <row r="42" spans="1:14" ht="15" customHeight="1">
      <c r="C42" s="1013" t="str">
        <f>CHOOSE(jezyk,n!A1382,n!B1382,n!C1382,n!D1380)</f>
        <v>Dywidendy i inne wypłaty na rzecz właścicieli</v>
      </c>
      <c r="D42" s="1013"/>
      <c r="E42" s="1013"/>
      <c r="F42" s="1013"/>
      <c r="G42" s="1013"/>
      <c r="H42" s="1013"/>
      <c r="I42" s="1003">
        <v>0</v>
      </c>
      <c r="J42" s="1004"/>
      <c r="K42" s="1003">
        <v>0</v>
      </c>
      <c r="L42" s="1004"/>
      <c r="M42" s="65" t="str">
        <f>dzb</f>
        <v>31.12.2024</v>
      </c>
      <c r="N42" s="65" t="str">
        <f>pdz</f>
        <v>31.12.2023</v>
      </c>
    </row>
    <row r="43" spans="1:14" ht="15" customHeight="1">
      <c r="C43" s="1049" t="str">
        <f>CHOOSE(jezyk,n!A1383,n!B1383,n!C1383,n!D1381)</f>
        <v>Razem odsetki</v>
      </c>
      <c r="D43" s="1049"/>
      <c r="E43" s="1049"/>
      <c r="F43" s="1049"/>
      <c r="G43" s="1049"/>
      <c r="H43" s="1049"/>
      <c r="I43" s="1005">
        <f>SUM(I31,I34,I37,I40,I41,I42)</f>
        <v>0</v>
      </c>
      <c r="J43" s="1005"/>
      <c r="K43" s="1005">
        <f>SUM(K31,K34,K37,K40,K41,K42)</f>
        <v>0</v>
      </c>
      <c r="L43" s="1005"/>
      <c r="M43" s="222">
        <f>ROUND(I43-'CF mp'!I20,2)</f>
        <v>0</v>
      </c>
      <c r="N43" s="222">
        <f>ROUND(K43-'CF mp'!J20,2)</f>
        <v>0</v>
      </c>
    </row>
    <row r="44" spans="1:14">
      <c r="C44" s="35"/>
      <c r="D44" s="35"/>
      <c r="F44" s="34"/>
    </row>
    <row r="45" spans="1:14" ht="18" customHeight="1">
      <c r="C45" s="993" t="str">
        <f>CHOOSE(jezyk,n!A1384,n!B1384,n!C1384,n!D1382)</f>
        <v>A.II.4. Zysk (strata) z działalności inwestycyjnej</v>
      </c>
      <c r="D45" s="994"/>
      <c r="E45" s="994"/>
      <c r="F45" s="994"/>
      <c r="G45" s="994"/>
      <c r="H45" s="995"/>
      <c r="I45" s="975">
        <f>rok</f>
        <v>2024</v>
      </c>
      <c r="J45" s="975"/>
      <c r="K45" s="975">
        <f>IF(LEN(ro)&gt;4,_xlfn.TEXTBEFORE(ro,"/")-1&amp;"/"&amp;_xlfn.TEXTAFTER(ro,"/")-1,ro-1)</f>
        <v>2023</v>
      </c>
      <c r="L45" s="975"/>
    </row>
    <row r="46" spans="1:14" ht="12.75" customHeight="1">
      <c r="A46" s="72"/>
      <c r="C46" s="976" t="str">
        <f>CHOOSE(jezyk,n!A1385,n!B1385,n!C1385,n!D1383)</f>
        <v>Zysk (strata) na sprzedaży składników działalności inwestycyjnej</v>
      </c>
      <c r="D46" s="977"/>
      <c r="E46" s="977"/>
      <c r="F46" s="977"/>
      <c r="G46" s="977"/>
      <c r="H46" s="978"/>
      <c r="I46" s="990">
        <f>SUM(I47:J50)</f>
        <v>0</v>
      </c>
      <c r="J46" s="990"/>
      <c r="K46" s="990">
        <f>SUM(K47:L50)</f>
        <v>0</v>
      </c>
      <c r="L46" s="990"/>
    </row>
    <row r="47" spans="1:14" ht="15" customHeight="1">
      <c r="C47" s="979" t="str">
        <f>"     "&amp;CHOOSE(jezyk,n!A1386,n!B1386,n!C1386,n!D1384)</f>
        <v xml:space="preserve">     Zysk z tytułu rozchodu niefinansowych aktywów trwałych</v>
      </c>
      <c r="D47" s="980"/>
      <c r="E47" s="980"/>
      <c r="F47" s="980"/>
      <c r="G47" s="980"/>
      <c r="H47" s="981"/>
      <c r="I47" s="989">
        <f>'RZiS Por. '!E37</f>
        <v>0</v>
      </c>
      <c r="J47" s="989"/>
      <c r="K47" s="989">
        <f>'RZiS Por. '!F37</f>
        <v>0</v>
      </c>
      <c r="L47" s="989"/>
    </row>
    <row r="48" spans="1:14" ht="15" customHeight="1">
      <c r="C48" s="982" t="str">
        <f>"     "&amp;CHOOSE(jezyk,n!A1387,n!B1387,n!C1387,n!D1385)</f>
        <v xml:space="preserve">     Strata ze zbycia niefinansowych aktywów trwałych</v>
      </c>
      <c r="D48" s="983"/>
      <c r="E48" s="983"/>
      <c r="F48" s="983"/>
      <c r="G48" s="983"/>
      <c r="H48" s="984"/>
      <c r="I48" s="988">
        <f>'RZiS Por. '!E44</f>
        <v>0</v>
      </c>
      <c r="J48" s="988"/>
      <c r="K48" s="988">
        <f>'RZiS Por. '!F44</f>
        <v>0</v>
      </c>
      <c r="L48" s="988"/>
    </row>
    <row r="49" spans="1:14" ht="15" customHeight="1">
      <c r="C49" s="985" t="str">
        <f>CHOOSE(jezyk,n!A1388,n!B1388,n!C1388,n!D1386)</f>
        <v>Zysk ze zbycia inwestycji</v>
      </c>
      <c r="D49" s="986"/>
      <c r="E49" s="986"/>
      <c r="F49" s="986"/>
      <c r="G49" s="986"/>
      <c r="H49" s="987"/>
      <c r="I49" s="988">
        <v>0</v>
      </c>
      <c r="J49" s="988"/>
      <c r="K49" s="988">
        <v>0</v>
      </c>
      <c r="L49" s="988"/>
    </row>
    <row r="50" spans="1:14" ht="15" customHeight="1">
      <c r="C50" s="985" t="str">
        <f>CHOOSE(jezyk,n!A1389,n!B1389,n!C1389,n!D1387)</f>
        <v>Strata ze zbycia inwestycji</v>
      </c>
      <c r="D50" s="986"/>
      <c r="E50" s="986"/>
      <c r="F50" s="986"/>
      <c r="G50" s="986"/>
      <c r="H50" s="987"/>
      <c r="I50" s="991">
        <v>0</v>
      </c>
      <c r="J50" s="991"/>
      <c r="K50" s="991">
        <v>0</v>
      </c>
      <c r="L50" s="991"/>
    </row>
    <row r="51" spans="1:14" ht="15" customHeight="1">
      <c r="C51" s="976" t="str">
        <f>CHOOSE(jezyk,n!A1390,n!B1390,n!C1390,n!D1388)</f>
        <v>Strata na likwidacji działalności inwestycyjnej</v>
      </c>
      <c r="D51" s="977"/>
      <c r="E51" s="977"/>
      <c r="F51" s="977"/>
      <c r="G51" s="977"/>
      <c r="H51" s="978"/>
      <c r="I51" s="992">
        <v>0</v>
      </c>
      <c r="J51" s="992"/>
      <c r="K51" s="992">
        <v>0</v>
      </c>
      <c r="L51" s="992"/>
    </row>
    <row r="52" spans="1:14" ht="24.95" customHeight="1">
      <c r="A52" s="72"/>
      <c r="C52" s="976" t="str">
        <f>CHOOSE(jezyk,n!A1391,n!B1391,n!C1391,n!D1389)</f>
        <v>Przekazane darowizny niepieniężnych składników działalności inwestycyjnej</v>
      </c>
      <c r="D52" s="977"/>
      <c r="E52" s="977"/>
      <c r="F52" s="977"/>
      <c r="G52" s="977"/>
      <c r="H52" s="978"/>
      <c r="I52" s="992">
        <v>0</v>
      </c>
      <c r="J52" s="992"/>
      <c r="K52" s="992">
        <v>0</v>
      </c>
      <c r="L52" s="992"/>
    </row>
    <row r="53" spans="1:14" ht="24.95" customHeight="1">
      <c r="A53" s="72"/>
      <c r="C53" s="976" t="str">
        <f>CHOOSE(jezyk,n!A1392,n!B1392,n!C1392,n!D1390)</f>
        <v>Ujawnione nadwyżki inwentaryzacyjne składników działalności inwestycyjnej</v>
      </c>
      <c r="D53" s="977"/>
      <c r="E53" s="977"/>
      <c r="F53" s="977"/>
      <c r="G53" s="977"/>
      <c r="H53" s="978"/>
      <c r="I53" s="992">
        <v>0</v>
      </c>
      <c r="J53" s="992"/>
      <c r="K53" s="992">
        <v>0</v>
      </c>
      <c r="L53" s="992"/>
    </row>
    <row r="54" spans="1:14" ht="29.25" customHeight="1">
      <c r="A54" s="72"/>
      <c r="C54" s="976" t="str">
        <f>CHOOSE(jezyk,n!A1393,n!B1393,n!C1393,n!D1391)</f>
        <v>Ujawnione niedobory inwentaryzacyjne składników działalności inwestycyjnej</v>
      </c>
      <c r="D54" s="977"/>
      <c r="E54" s="977"/>
      <c r="F54" s="977"/>
      <c r="G54" s="977"/>
      <c r="H54" s="978"/>
      <c r="I54" s="992">
        <v>0</v>
      </c>
      <c r="J54" s="992"/>
      <c r="K54" s="992">
        <v>0</v>
      </c>
      <c r="L54" s="992"/>
    </row>
    <row r="55" spans="1:14" ht="15" customHeight="1">
      <c r="C55" s="976" t="str">
        <f>CHOOSE(jezyk,n!A1394,n!B1394,n!C1394,n!D1392)</f>
        <v>Odpis aktualizujący wartość środków trwałych</v>
      </c>
      <c r="D55" s="977"/>
      <c r="E55" s="977"/>
      <c r="F55" s="977"/>
      <c r="G55" s="977"/>
      <c r="H55" s="978"/>
      <c r="I55" s="992">
        <v>0</v>
      </c>
      <c r="J55" s="992"/>
      <c r="K55" s="992">
        <v>0</v>
      </c>
      <c r="L55" s="992"/>
      <c r="M55" s="65" t="str">
        <f>dzb</f>
        <v>31.12.2024</v>
      </c>
      <c r="N55" s="65" t="str">
        <f>pdz</f>
        <v>31.12.2023</v>
      </c>
    </row>
    <row r="56" spans="1:14" ht="27" customHeight="1">
      <c r="C56" s="993" t="str">
        <f>CHOOSE(jezyk,n!A1395,n!B1395,n!C1395,n!D1393)</f>
        <v>Razem zysk (strata) z działalności inwestycyjnej</v>
      </c>
      <c r="D56" s="994"/>
      <c r="E56" s="994"/>
      <c r="F56" s="994"/>
      <c r="G56" s="994"/>
      <c r="H56" s="995"/>
      <c r="I56" s="1010">
        <f>SUM(I46,I51,I52,I53,I54,I55)</f>
        <v>0</v>
      </c>
      <c r="J56" s="1010"/>
      <c r="K56" s="1010">
        <f>SUM(K46,K51,K52,K53,K54,K55)</f>
        <v>0</v>
      </c>
      <c r="L56" s="1010"/>
      <c r="M56" s="222">
        <f>ROUND(I56-'CF mp'!I21,2)</f>
        <v>0</v>
      </c>
      <c r="N56" s="222">
        <f>ROUND(K56-'CF mp'!J21,2)</f>
        <v>0</v>
      </c>
    </row>
    <row r="57" spans="1:14">
      <c r="C57" s="35"/>
      <c r="D57" s="35"/>
      <c r="E57" s="34"/>
      <c r="F57" s="34"/>
    </row>
    <row r="58" spans="1:14" ht="18" customHeight="1">
      <c r="A58" s="72"/>
      <c r="C58" s="1036" t="str">
        <f>CHOOSE(jezyk,n!A1396,n!B1396,n!C1396,n!D1394)</f>
        <v>A.II.5. Zmiana stanu rezerw na zobowiązania</v>
      </c>
      <c r="D58" s="1037"/>
      <c r="E58" s="1037"/>
      <c r="F58" s="1037"/>
      <c r="G58" s="1037"/>
      <c r="H58" s="1038"/>
      <c r="I58" s="975">
        <f>rok</f>
        <v>2024</v>
      </c>
      <c r="J58" s="975"/>
      <c r="K58" s="975">
        <f>IF(LEN(ro)&gt;4,_xlfn.TEXTBEFORE(ro,"/")-1&amp;"/"&amp;_xlfn.TEXTAFTER(ro,"/")-1,ro-1)</f>
        <v>2023</v>
      </c>
      <c r="L58" s="975"/>
      <c r="M58" s="130" t="str">
        <f>IF('CF mp'!I22&lt;&gt;Bilans!S29-Bilans!T29,"Wyjaśnij zmianę stanu","Nie ma konieczności wyjaśniania zmiany stanu, ukryj tę część tabeli")</f>
        <v>Nie ma konieczności wyjaśniania zmiany stanu, ukryj tę część tabeli</v>
      </c>
    </row>
    <row r="59" spans="1:14" ht="15" customHeight="1">
      <c r="C59" s="976" t="str">
        <f>CHOOSE(jezyk,n!A1397,n!B1397,n!C1397,n!D1395)</f>
        <v>Rezerwy na zobowiązania</v>
      </c>
      <c r="D59" s="977"/>
      <c r="E59" s="977"/>
      <c r="F59" s="977"/>
      <c r="G59" s="977"/>
      <c r="H59" s="978"/>
      <c r="I59" s="990">
        <f>Bilans!S29</f>
        <v>0</v>
      </c>
      <c r="J59" s="990"/>
      <c r="K59" s="990">
        <f>Bilans!T29</f>
        <v>0</v>
      </c>
      <c r="L59" s="990"/>
    </row>
    <row r="60" spans="1:14" ht="15" customHeight="1">
      <c r="C60" s="976" t="str">
        <f>CHOOSE(jezyk,n!A1398,n!B1398,n!C1398,n!D1396)</f>
        <v>w tym</v>
      </c>
      <c r="D60" s="977"/>
      <c r="E60" s="977"/>
      <c r="F60" s="977"/>
      <c r="G60" s="977"/>
      <c r="H60" s="978"/>
      <c r="I60" s="1046"/>
      <c r="J60" s="1046"/>
      <c r="K60" s="1046"/>
      <c r="L60" s="1046"/>
    </row>
    <row r="61" spans="1:14" ht="24.95" customHeight="1">
      <c r="C61" s="976" t="str">
        <f>CHOOSE(jezyk,n!A1399,n!B1399,n!C1399,n!D1397)</f>
        <v>Rezerwa na odroczony podatek dochodowy utworzona w ciężar kosztów</v>
      </c>
      <c r="D61" s="977"/>
      <c r="E61" s="977"/>
      <c r="F61" s="977"/>
      <c r="G61" s="977"/>
      <c r="H61" s="978"/>
      <c r="I61" s="992">
        <v>0</v>
      </c>
      <c r="J61" s="992"/>
      <c r="K61" s="992">
        <v>0</v>
      </c>
      <c r="L61" s="992"/>
    </row>
    <row r="62" spans="1:14" ht="15" customHeight="1">
      <c r="C62" s="976" t="str">
        <f>CHOOSE(jezyk,n!A1400,n!B1400,n!C1400,n!D1398)</f>
        <v>Razem rezerwy po korekcie</v>
      </c>
      <c r="D62" s="977"/>
      <c r="E62" s="977"/>
      <c r="F62" s="977"/>
      <c r="G62" s="977"/>
      <c r="H62" s="978"/>
      <c r="I62" s="990">
        <f>I59-I61</f>
        <v>0</v>
      </c>
      <c r="J62" s="990"/>
      <c r="K62" s="990">
        <f>K59-K61</f>
        <v>0</v>
      </c>
      <c r="L62" s="990"/>
      <c r="M62" s="65" t="str">
        <f>dzb</f>
        <v>31.12.2024</v>
      </c>
    </row>
    <row r="63" spans="1:14" ht="27" customHeight="1">
      <c r="C63" s="993" t="str">
        <f>CHOOSE(jezyk,n!A1401,n!B1401,n!C1401,n!D1399)</f>
        <v>Zmiana stanu rezerw</v>
      </c>
      <c r="D63" s="994"/>
      <c r="E63" s="994"/>
      <c r="F63" s="994"/>
      <c r="G63" s="994"/>
      <c r="H63" s="995"/>
      <c r="I63" s="1010">
        <f>I62-K62</f>
        <v>0</v>
      </c>
      <c r="J63" s="1010"/>
      <c r="K63" s="1040"/>
      <c r="L63" s="1041"/>
      <c r="M63" s="222">
        <f>ROUND(I63-'CF mp'!I22,2)</f>
        <v>0</v>
      </c>
    </row>
    <row r="64" spans="1:14" ht="16.5" customHeight="1">
      <c r="C64" s="223"/>
      <c r="D64" s="223"/>
      <c r="J64" s="224"/>
      <c r="K64" s="224"/>
    </row>
    <row r="65" spans="1:13" ht="18" customHeight="1">
      <c r="C65" s="1036" t="str">
        <f>CHOOSE(jezyk,n!A1402,n!B1402,n!C1402,n!D1400)</f>
        <v>A.II.6. Zmiana stanu zapasów</v>
      </c>
      <c r="D65" s="1037"/>
      <c r="E65" s="1037"/>
      <c r="F65" s="1037"/>
      <c r="G65" s="1037"/>
      <c r="H65" s="1038"/>
      <c r="I65" s="975">
        <f>rok</f>
        <v>2024</v>
      </c>
      <c r="J65" s="975"/>
      <c r="K65" s="975">
        <f>IF(LEN(ro)&gt;4,_xlfn.TEXTBEFORE(ro,"/")-1&amp;"/"&amp;_xlfn.TEXTAFTER(ro,"/")-1,ro-1)</f>
        <v>2023</v>
      </c>
      <c r="L65" s="975"/>
      <c r="M65" s="130" t="str">
        <f>IF('CF mp'!I23&lt;&gt;Bilans!K72-Bilans!J72,"Wyjaśnij zmianę stanu","Nie ma konieczności wyjaśniania zmiany stanu, ukryj tę część tabeli")</f>
        <v>Nie ma konieczności wyjaśniania zmiany stanu, ukryj tę część tabeli</v>
      </c>
    </row>
    <row r="66" spans="1:13" ht="18" customHeight="1">
      <c r="C66" s="976" t="str">
        <f>CHOOSE(jezyk,n!A1403,n!B1403,n!C1403,n!D1401)</f>
        <v>Zapasy razem</v>
      </c>
      <c r="D66" s="977"/>
      <c r="E66" s="977"/>
      <c r="F66" s="977"/>
      <c r="G66" s="977"/>
      <c r="H66" s="978"/>
      <c r="I66" s="990">
        <f>Bilans!J72</f>
        <v>0</v>
      </c>
      <c r="J66" s="990"/>
      <c r="K66" s="990">
        <f>Bilans!K72</f>
        <v>0</v>
      </c>
      <c r="L66" s="990"/>
    </row>
    <row r="67" spans="1:13" ht="18" customHeight="1">
      <c r="C67" s="976" t="str">
        <f>CHOOSE(jezyk,n!A1412,n!B1412,n!C1412,n!D1410)</f>
        <v>w tym</v>
      </c>
      <c r="D67" s="977"/>
      <c r="E67" s="977"/>
      <c r="F67" s="977"/>
      <c r="G67" s="977"/>
      <c r="H67" s="977"/>
      <c r="I67" s="1044"/>
      <c r="J67" s="1044"/>
      <c r="K67" s="1044"/>
      <c r="L67" s="1045"/>
    </row>
    <row r="68" spans="1:13" ht="18" customHeight="1">
      <c r="A68" s="72"/>
      <c r="C68" s="1051" t="s">
        <v>6845</v>
      </c>
      <c r="D68" s="1052"/>
      <c r="E68" s="1052"/>
      <c r="F68" s="1052"/>
      <c r="G68" s="1052"/>
      <c r="H68" s="1053"/>
      <c r="I68" s="1023"/>
      <c r="J68" s="1024"/>
      <c r="K68" s="1023"/>
      <c r="L68" s="1024"/>
    </row>
    <row r="69" spans="1:13" ht="18" customHeight="1">
      <c r="C69" s="976" t="str">
        <f>CHOOSE(jezyk,n!A1404,n!B1404,n!C1404,n!D1402)</f>
        <v>Razem zapasy po korekcie</v>
      </c>
      <c r="D69" s="977"/>
      <c r="E69" s="977"/>
      <c r="F69" s="977"/>
      <c r="G69" s="977"/>
      <c r="H69" s="978"/>
      <c r="I69" s="990">
        <f>I66-I68</f>
        <v>0</v>
      </c>
      <c r="J69" s="990"/>
      <c r="K69" s="990">
        <f>K66-K68</f>
        <v>0</v>
      </c>
      <c r="L69" s="990"/>
      <c r="M69" s="65" t="str">
        <f>dzb</f>
        <v>31.12.2024</v>
      </c>
    </row>
    <row r="70" spans="1:13" ht="16.5" customHeight="1">
      <c r="C70" s="1036" t="str">
        <f>CHOOSE(jezyk,n!A1405,n!B1405,n!C1405,n!D1403)</f>
        <v>Zmiana stanu zapasów</v>
      </c>
      <c r="D70" s="1037"/>
      <c r="E70" s="1037"/>
      <c r="F70" s="1037"/>
      <c r="G70" s="1037"/>
      <c r="H70" s="1038"/>
      <c r="I70" s="1010">
        <f>K69-I69</f>
        <v>0</v>
      </c>
      <c r="J70" s="1010"/>
      <c r="L70" s="416"/>
      <c r="M70" s="222">
        <f>ROUND(I70-'CF mp'!I23,2)</f>
        <v>0</v>
      </c>
    </row>
    <row r="71" spans="1:13" ht="15.75" customHeight="1">
      <c r="C71" s="223"/>
      <c r="D71" s="223"/>
      <c r="J71" s="224"/>
      <c r="K71" s="224"/>
    </row>
    <row r="72" spans="1:13" ht="18" customHeight="1">
      <c r="C72" s="993" t="str">
        <f>CHOOSE(jezyk,n!A1406,n!B1406,n!C1406,n!D1404)</f>
        <v>A.II.7. Zmiana stanu należności</v>
      </c>
      <c r="D72" s="994"/>
      <c r="E72" s="994"/>
      <c r="F72" s="994"/>
      <c r="G72" s="994"/>
      <c r="H72" s="995"/>
      <c r="I72" s="1059">
        <f>rok</f>
        <v>2024</v>
      </c>
      <c r="J72" s="1059"/>
      <c r="K72" s="975">
        <f>K58</f>
        <v>2023</v>
      </c>
      <c r="L72" s="975"/>
      <c r="M72" s="130" t="str">
        <f>IF('CF mp'!I24&lt;&gt;Bilans!K32-Bilans!J32+Bilans!K80-Bilans!J80,"Wyjaśnij zmianę stanu","Nie ma konieczności wyjaśniania zmiany stanu, ukryj tę część tabeli")</f>
        <v>Nie ma konieczności wyjaśniania zmiany stanu, ukryj tę część tabeli</v>
      </c>
    </row>
    <row r="73" spans="1:13" ht="15" customHeight="1">
      <c r="C73" s="976" t="str">
        <f>CHOOSE(jezyk,n!A1407,n!B1407,n!C1407,n!D1405)</f>
        <v>Należności długoterminowe</v>
      </c>
      <c r="D73" s="977"/>
      <c r="E73" s="977"/>
      <c r="F73" s="977"/>
      <c r="G73" s="977"/>
      <c r="H73" s="978"/>
      <c r="I73" s="1054">
        <f>Bilans!J32</f>
        <v>0</v>
      </c>
      <c r="J73" s="1054"/>
      <c r="K73" s="1054">
        <f>Bilans!K32</f>
        <v>0</v>
      </c>
      <c r="L73" s="1054"/>
    </row>
    <row r="74" spans="1:13" ht="18" customHeight="1">
      <c r="A74" s="72"/>
      <c r="C74" s="976" t="str">
        <f>CHOOSE(jezyk,n!A1408,n!B1408,n!C1408,n!D1406)</f>
        <v>Należności krótkoterminowe od jednostek powiązanych</v>
      </c>
      <c r="D74" s="977"/>
      <c r="E74" s="977"/>
      <c r="F74" s="977"/>
      <c r="G74" s="977"/>
      <c r="H74" s="978"/>
      <c r="I74" s="1054">
        <f>Bilans!J82</f>
        <v>0</v>
      </c>
      <c r="J74" s="1054"/>
      <c r="K74" s="1054">
        <f>Bilans!K82</f>
        <v>0</v>
      </c>
      <c r="L74" s="1054"/>
    </row>
    <row r="75" spans="1:13" ht="24.95" customHeight="1">
      <c r="C75" s="976" t="str">
        <f>CHOOSE(jezyk,n!A1409,n!B1409,n!C1409,n!D1407)</f>
        <v>Należności krótkoterminowe  od pozostałych jednostek, w których jednostka posiada zaangażowanie w kapitale</v>
      </c>
      <c r="D75" s="977"/>
      <c r="E75" s="977"/>
      <c r="F75" s="977"/>
      <c r="G75" s="977"/>
      <c r="H75" s="978"/>
      <c r="I75" s="1054">
        <f>Bilans!J90</f>
        <v>0</v>
      </c>
      <c r="J75" s="1054"/>
      <c r="K75" s="1054">
        <f>Bilans!K90</f>
        <v>0</v>
      </c>
      <c r="L75" s="1054"/>
    </row>
    <row r="76" spans="1:13" ht="15" customHeight="1">
      <c r="C76" s="976" t="str">
        <f>CHOOSE(jezyk,n!A1410,n!B1410,n!C1410,n!D1408)</f>
        <v>Należności krótkoterminowe od pozostałych jednostek</v>
      </c>
      <c r="D76" s="977"/>
      <c r="E76" s="977"/>
      <c r="F76" s="977"/>
      <c r="G76" s="977"/>
      <c r="H76" s="978"/>
      <c r="I76" s="1054">
        <f>Bilans!J98</f>
        <v>0</v>
      </c>
      <c r="J76" s="1054"/>
      <c r="K76" s="1054">
        <f>Bilans!K98</f>
        <v>0</v>
      </c>
      <c r="L76" s="1054"/>
    </row>
    <row r="77" spans="1:13" ht="15" customHeight="1">
      <c r="C77" s="976" t="str">
        <f>CHOOSE(jezyk,n!A1411,n!B1411,n!C1411,n!D1409)</f>
        <v>Razem należności netto</v>
      </c>
      <c r="D77" s="977"/>
      <c r="E77" s="977"/>
      <c r="F77" s="977"/>
      <c r="G77" s="977"/>
      <c r="H77" s="978"/>
      <c r="I77" s="1055">
        <f>SUM(I73:J76)</f>
        <v>0</v>
      </c>
      <c r="J77" s="1055"/>
      <c r="K77" s="1055">
        <f>SUM(K73:L76)</f>
        <v>0</v>
      </c>
      <c r="L77" s="1055"/>
    </row>
    <row r="78" spans="1:13" ht="15" customHeight="1">
      <c r="C78" s="976" t="str">
        <f>CHOOSE(jezyk,n!A1412,n!B1412,n!C1412,n!D1410)</f>
        <v>w tym</v>
      </c>
      <c r="D78" s="977"/>
      <c r="E78" s="977"/>
      <c r="F78" s="977"/>
      <c r="G78" s="977"/>
      <c r="H78" s="978"/>
      <c r="I78" s="1060"/>
      <c r="J78" s="1056"/>
      <c r="K78" s="1056"/>
      <c r="L78" s="1057"/>
    </row>
    <row r="79" spans="1:13" ht="24.95" customHeight="1">
      <c r="C79" s="976" t="str">
        <f>CHOOSE(jezyk,n!A1413,n!B1413,n!C1413,n!D1411)</f>
        <v>Należności z tytułu sprzedaży środków trwałych lub z operacji i zdarzeń niepieniężnych</v>
      </c>
      <c r="D79" s="977"/>
      <c r="E79" s="977"/>
      <c r="F79" s="977"/>
      <c r="G79" s="977"/>
      <c r="H79" s="978"/>
      <c r="I79" s="1058">
        <v>0</v>
      </c>
      <c r="J79" s="1058"/>
      <c r="K79" s="1058">
        <v>0</v>
      </c>
      <c r="L79" s="1058"/>
    </row>
    <row r="80" spans="1:13" ht="15" customHeight="1">
      <c r="C80" s="976" t="str">
        <f>CHOOSE(jezyk,n!A1414,n!B1414,n!C1414,n!D1412)</f>
        <v>Inne korekty</v>
      </c>
      <c r="D80" s="977"/>
      <c r="E80" s="977"/>
      <c r="F80" s="977"/>
      <c r="G80" s="977"/>
      <c r="H80" s="978"/>
      <c r="I80" s="1058">
        <v>0</v>
      </c>
      <c r="J80" s="1058"/>
      <c r="K80" s="1058">
        <v>0</v>
      </c>
      <c r="L80" s="1058"/>
    </row>
    <row r="81" spans="1:13" ht="15" customHeight="1">
      <c r="C81" s="976" t="str">
        <f>CHOOSE(jezyk,n!A1415,n!B1415,n!C1415,n!D1413)</f>
        <v>Razem należności netto po korektach</v>
      </c>
      <c r="D81" s="977"/>
      <c r="E81" s="977"/>
      <c r="F81" s="977"/>
      <c r="G81" s="977"/>
      <c r="H81" s="978"/>
      <c r="I81" s="1054">
        <f>I77-I79-I80</f>
        <v>0</v>
      </c>
      <c r="J81" s="1054"/>
      <c r="K81" s="1054">
        <f>K77-K79-K80</f>
        <v>0</v>
      </c>
      <c r="L81" s="1054"/>
      <c r="M81" s="65" t="str">
        <f>dzb</f>
        <v>31.12.2024</v>
      </c>
    </row>
    <row r="82" spans="1:13" ht="24.75" customHeight="1">
      <c r="C82" s="993" t="str">
        <f>CHOOSE(jezyk,n!A1416,n!B1416,n!C1416,n!D1414)</f>
        <v>Zmiana stanu należności</v>
      </c>
      <c r="D82" s="994"/>
      <c r="E82" s="994"/>
      <c r="F82" s="994"/>
      <c r="G82" s="994"/>
      <c r="H82" s="995"/>
      <c r="I82" s="1055">
        <f>-I81+K81</f>
        <v>0</v>
      </c>
      <c r="J82" s="1055"/>
      <c r="K82" s="1040"/>
      <c r="L82" s="1041"/>
      <c r="M82" s="222">
        <f>ROUND(I82-'CF mp'!I24,2)</f>
        <v>0</v>
      </c>
    </row>
    <row r="83" spans="1:13">
      <c r="C83" s="223"/>
      <c r="D83" s="36"/>
    </row>
    <row r="84" spans="1:13" ht="30" customHeight="1">
      <c r="C84" s="1036" t="str">
        <f>CHOOSE(jezyk,n!A1417,n!B1417,n!C1417,n!D1415)</f>
        <v>A.II.8. Zmiana stanu zobowiązań krótkoterminowych bez kredytów i pożyczek</v>
      </c>
      <c r="D84" s="1037"/>
      <c r="E84" s="1037"/>
      <c r="F84" s="1037"/>
      <c r="G84" s="1037"/>
      <c r="H84" s="1038"/>
      <c r="I84" s="975">
        <f>rok</f>
        <v>2024</v>
      </c>
      <c r="J84" s="975"/>
      <c r="K84" s="975">
        <f>K72</f>
        <v>2023</v>
      </c>
      <c r="L84" s="975"/>
      <c r="M84" s="130" t="str">
        <f>IF('CF mp'!I25&lt;&gt;Bilans!S56-Bilans!T56-Bilans!S76+Bilans!T76,"Wyjaśnij zmianę stanu","Nie ma konieczności wyjaśniania zmiany stanu, ukryj tę część tabeli")</f>
        <v>Nie ma konieczności wyjaśniania zmiany stanu, ukryj tę część tabeli</v>
      </c>
    </row>
    <row r="85" spans="1:13" ht="15" customHeight="1">
      <c r="A85" s="72"/>
      <c r="C85" s="976" t="str">
        <f>CHOOSE(jezyk,n!A1418,n!B1418,n!C1418,n!D1416)</f>
        <v>Zobowiązania krótkoterminowe wobec jednostek powiązanych</v>
      </c>
      <c r="D85" s="977"/>
      <c r="E85" s="977"/>
      <c r="F85" s="977"/>
      <c r="G85" s="977"/>
      <c r="H85" s="978"/>
      <c r="I85" s="990">
        <f>Bilans!S58</f>
        <v>0</v>
      </c>
      <c r="J85" s="990"/>
      <c r="K85" s="990">
        <f>Bilans!T58</f>
        <v>0</v>
      </c>
      <c r="L85" s="990"/>
      <c r="M85" s="130" t="s">
        <v>6846</v>
      </c>
    </row>
    <row r="86" spans="1:13" ht="24.95" customHeight="1">
      <c r="C86" s="1050" t="e">
        <f>#REF!</f>
        <v>#REF!</v>
      </c>
      <c r="D86" s="977"/>
      <c r="E86" s="977"/>
      <c r="F86" s="977"/>
      <c r="G86" s="977"/>
      <c r="H86" s="978"/>
      <c r="I86" s="990">
        <f>Bilans!S66</f>
        <v>0</v>
      </c>
      <c r="J86" s="990"/>
      <c r="K86" s="990">
        <f>Bilans!T66</f>
        <v>0</v>
      </c>
      <c r="L86" s="990"/>
    </row>
    <row r="87" spans="1:13" ht="15" customHeight="1">
      <c r="C87" s="976" t="str">
        <f>CHOOSE(jezyk,n!A1419,n!B1419,n!C1419,n!D1417)</f>
        <v>Zobowiązania krótkoterminowe wobec pozostałych jednostek</v>
      </c>
      <c r="D87" s="977"/>
      <c r="E87" s="977"/>
      <c r="F87" s="977"/>
      <c r="G87" s="977"/>
      <c r="H87" s="978"/>
      <c r="I87" s="990">
        <f>Bilans!S75</f>
        <v>0</v>
      </c>
      <c r="J87" s="990"/>
      <c r="K87" s="990">
        <f>Bilans!T75</f>
        <v>0</v>
      </c>
      <c r="L87" s="990"/>
    </row>
    <row r="88" spans="1:13" ht="15" customHeight="1">
      <c r="C88" s="976" t="str">
        <f>CHOOSE(jezyk,n!A1420,n!B1420,n!C1420,n!D1418)</f>
        <v>Fundusze specjalne</v>
      </c>
      <c r="D88" s="977"/>
      <c r="E88" s="977"/>
      <c r="F88" s="977"/>
      <c r="G88" s="977"/>
      <c r="H88" s="978"/>
      <c r="I88" s="990">
        <f>Bilans!S90</f>
        <v>0</v>
      </c>
      <c r="J88" s="990"/>
      <c r="K88" s="990">
        <f>Bilans!T90</f>
        <v>0</v>
      </c>
      <c r="L88" s="990"/>
    </row>
    <row r="89" spans="1:13" ht="15" customHeight="1">
      <c r="C89" s="976" t="str">
        <f>CHOOSE(jezyk,n!A1421,n!B1421,n!C1421,n!D1419)</f>
        <v>Razem zobowiązania</v>
      </c>
      <c r="D89" s="977"/>
      <c r="E89" s="977"/>
      <c r="F89" s="977"/>
      <c r="G89" s="977"/>
      <c r="H89" s="978"/>
      <c r="I89" s="990">
        <f>SUM(I85:J88)</f>
        <v>0</v>
      </c>
      <c r="J89" s="990"/>
      <c r="K89" s="990">
        <f>SUM(K85:L88)</f>
        <v>0</v>
      </c>
      <c r="L89" s="990"/>
    </row>
    <row r="90" spans="1:13" ht="15" customHeight="1">
      <c r="C90" s="976" t="str">
        <f>CHOOSE(jezyk,n!A1422,n!B1422,n!C1422,n!D1420)</f>
        <v>w tym, zobowiązania z działalności inwestycyjnej</v>
      </c>
      <c r="D90" s="977"/>
      <c r="E90" s="977"/>
      <c r="F90" s="977"/>
      <c r="G90" s="977"/>
      <c r="H90" s="978"/>
      <c r="I90" s="990">
        <f>SUM(I91:J93)</f>
        <v>0</v>
      </c>
      <c r="J90" s="990"/>
      <c r="K90" s="990">
        <f>SUM(K91:L93)</f>
        <v>0</v>
      </c>
      <c r="L90" s="990"/>
    </row>
    <row r="91" spans="1:13" ht="24.95" customHeight="1">
      <c r="A91" s="72"/>
      <c r="C91" s="979" t="str">
        <f>"   "&amp;CHOOSE(jezyk,n!A1423,n!B1423,n!C1423,n!D1421)</f>
        <v xml:space="preserve">   Zobowiązania z tytułu zakupu wartości niematerialnych i prawnych i środków trwałych</v>
      </c>
      <c r="D91" s="980"/>
      <c r="E91" s="980"/>
      <c r="F91" s="980"/>
      <c r="G91" s="980"/>
      <c r="H91" s="981"/>
      <c r="I91" s="1011">
        <v>0</v>
      </c>
      <c r="J91" s="1011"/>
      <c r="K91" s="1011">
        <v>0</v>
      </c>
      <c r="L91" s="1011"/>
    </row>
    <row r="92" spans="1:13" ht="24.95" customHeight="1">
      <c r="A92" s="72"/>
      <c r="C92" s="982" t="str">
        <f>"   "&amp;CHOOSE(jezyk,n!A1424,n!B1424,n!C1424,n!D1422)</f>
        <v xml:space="preserve">   Zobowiązania z tytułu zakupu inwestycji w nieruchomości i wartości niematerialne i prawne</v>
      </c>
      <c r="D92" s="983"/>
      <c r="E92" s="983"/>
      <c r="F92" s="983"/>
      <c r="G92" s="983"/>
      <c r="H92" s="984"/>
      <c r="I92" s="1012">
        <v>0</v>
      </c>
      <c r="J92" s="1012"/>
      <c r="K92" s="1012">
        <v>0</v>
      </c>
      <c r="L92" s="1012"/>
    </row>
    <row r="93" spans="1:13" ht="15" customHeight="1">
      <c r="C93" s="1033" t="str">
        <f>"   "&amp;CHOOSE(jezyk,n!A1425,n!B1425,n!C1425,n!D1423)</f>
        <v xml:space="preserve">   Inne zobowiązania z tytułu działalności inwestycyjnej</v>
      </c>
      <c r="D93" s="1034"/>
      <c r="E93" s="1034"/>
      <c r="F93" s="1034"/>
      <c r="G93" s="1034"/>
      <c r="H93" s="1035"/>
      <c r="I93" s="1009">
        <v>0</v>
      </c>
      <c r="J93" s="1009"/>
      <c r="K93" s="1009">
        <v>0</v>
      </c>
      <c r="L93" s="1009"/>
    </row>
    <row r="94" spans="1:13" ht="15" customHeight="1">
      <c r="C94" s="976" t="str">
        <f>CHOOSE(jezyk,n!A1426,n!B1426,n!C1426,n!D1424)</f>
        <v>w tym, zobowiązania z działalności finansowej</v>
      </c>
      <c r="D94" s="977"/>
      <c r="E94" s="977"/>
      <c r="F94" s="977"/>
      <c r="G94" s="977"/>
      <c r="H94" s="978"/>
      <c r="I94" s="1010">
        <f>SUM(I95:J103)</f>
        <v>0</v>
      </c>
      <c r="J94" s="1010"/>
      <c r="K94" s="1010">
        <f>SUM(K95:L103)</f>
        <v>0</v>
      </c>
      <c r="L94" s="1010"/>
    </row>
    <row r="95" spans="1:13" ht="15" customHeight="1">
      <c r="A95" s="72"/>
      <c r="C95" s="979" t="str">
        <f>"   "&amp;CHOOSE(jezyk,n!A1427,n!B1427,n!C1427,n!D1425)</f>
        <v xml:space="preserve">   Zobowiązania z tytułu nabycia (akcji) własnych</v>
      </c>
      <c r="D95" s="980"/>
      <c r="E95" s="980"/>
      <c r="F95" s="980"/>
      <c r="G95" s="980"/>
      <c r="H95" s="981"/>
      <c r="I95" s="1011">
        <v>0</v>
      </c>
      <c r="J95" s="1011"/>
      <c r="K95" s="1011">
        <v>0</v>
      </c>
      <c r="L95" s="1011"/>
      <c r="M95" s="130" t="s">
        <v>6846</v>
      </c>
    </row>
    <row r="96" spans="1:13" ht="24.95" customHeight="1">
      <c r="C96" s="982" t="str">
        <f>"   "&amp;CHOOSE(jezyk,n!A1428,n!B1428,n!C1428,n!D1426)</f>
        <v xml:space="preserve">   Zobowiązania z tytułu dywidend i innych wypłat na rzecz właścicieli</v>
      </c>
      <c r="D96" s="983"/>
      <c r="E96" s="983"/>
      <c r="F96" s="983"/>
      <c r="G96" s="983"/>
      <c r="H96" s="984"/>
      <c r="I96" s="1023">
        <v>0</v>
      </c>
      <c r="J96" s="1024"/>
      <c r="K96" s="1012">
        <v>0</v>
      </c>
      <c r="L96" s="1012"/>
    </row>
    <row r="97" spans="1:13" ht="24.95" customHeight="1">
      <c r="C97" s="982" t="str">
        <f>"   "&amp;CHOOSE(jezyk,n!A1429,n!B1429,n!C1429,n!D1427)</f>
        <v xml:space="preserve">   Zobowiązania inne, niż wypłaty na rzecz właścicieli, z tytułu podziału zysku</v>
      </c>
      <c r="D97" s="983"/>
      <c r="E97" s="983"/>
      <c r="F97" s="983"/>
      <c r="G97" s="983"/>
      <c r="H97" s="984"/>
      <c r="I97" s="1023">
        <v>0</v>
      </c>
      <c r="J97" s="1024"/>
      <c r="K97" s="1012">
        <v>0</v>
      </c>
      <c r="L97" s="1012"/>
    </row>
    <row r="98" spans="1:13" ht="15" customHeight="1">
      <c r="C98" s="982" t="str">
        <f>"   "&amp;CHOOSE(jezyk,n!A1430,n!B1430,n!C1430,n!D1428)</f>
        <v xml:space="preserve">   Zobowiązania z tytułu dłużnych papierów wartościowych</v>
      </c>
      <c r="D98" s="983"/>
      <c r="E98" s="983"/>
      <c r="F98" s="983"/>
      <c r="G98" s="983"/>
      <c r="H98" s="984"/>
      <c r="I98" s="1023">
        <v>0</v>
      </c>
      <c r="J98" s="1024"/>
      <c r="K98" s="1012">
        <v>0</v>
      </c>
      <c r="L98" s="1012"/>
    </row>
    <row r="99" spans="1:13" ht="15" customHeight="1">
      <c r="C99" s="982" t="str">
        <f>"   "&amp;CHOOSE(jezyk,n!A1431,n!B1431,n!C1431,n!D1429)</f>
        <v xml:space="preserve">   Inne zobowiązania finansowe</v>
      </c>
      <c r="D99" s="983"/>
      <c r="E99" s="983"/>
      <c r="F99" s="983"/>
      <c r="G99" s="983"/>
      <c r="H99" s="984"/>
      <c r="I99" s="1023">
        <v>0</v>
      </c>
      <c r="J99" s="1024"/>
      <c r="K99" s="1012">
        <v>0</v>
      </c>
      <c r="L99" s="1012"/>
    </row>
    <row r="100" spans="1:13" ht="15" customHeight="1">
      <c r="A100" s="72"/>
      <c r="C100" s="982" t="str">
        <f>"   "&amp;CHOOSE(jezyk,n!A1432,n!B1432,n!C1432,n!D1430)</f>
        <v xml:space="preserve">   Zobowiązania z tytułu pożyczek od jednostek powiązanych</v>
      </c>
      <c r="D100" s="983"/>
      <c r="E100" s="983"/>
      <c r="F100" s="983"/>
      <c r="G100" s="983"/>
      <c r="H100" s="984"/>
      <c r="I100" s="1023">
        <v>0</v>
      </c>
      <c r="J100" s="1024"/>
      <c r="K100" s="1012">
        <v>0</v>
      </c>
      <c r="L100" s="1012"/>
    </row>
    <row r="101" spans="1:13" ht="24.95" customHeight="1">
      <c r="C101" s="982" t="str">
        <f>"   "&amp;CHOOSE(jezyk,n!A1433,n!B1433,n!C1433,n!D1431)</f>
        <v xml:space="preserve">   Zobowiązania z tytułu pożyczek od pozostałych jednostek, w których jednostka posiada zaangażowanie w kapitale</v>
      </c>
      <c r="D101" s="983"/>
      <c r="E101" s="983"/>
      <c r="F101" s="983"/>
      <c r="G101" s="983"/>
      <c r="H101" s="984"/>
      <c r="I101" s="1023">
        <v>0</v>
      </c>
      <c r="J101" s="1024"/>
      <c r="K101" s="1012">
        <v>0</v>
      </c>
      <c r="L101" s="1012"/>
    </row>
    <row r="102" spans="1:13" ht="15" customHeight="1">
      <c r="A102" s="72"/>
      <c r="C102" s="982" t="str">
        <f>"   "&amp;CHOOSE(jezyk,n!A1434,n!B1434,n!C1434,n!D1432)</f>
        <v xml:space="preserve">   Zobowiązania z tytułu umów leasingu finansowego</v>
      </c>
      <c r="D102" s="983"/>
      <c r="E102" s="983"/>
      <c r="F102" s="983"/>
      <c r="G102" s="983"/>
      <c r="H102" s="984"/>
      <c r="I102" s="1023">
        <v>0</v>
      </c>
      <c r="J102" s="1024"/>
      <c r="K102" s="1012">
        <v>0</v>
      </c>
      <c r="L102" s="1012"/>
    </row>
    <row r="103" spans="1:13" ht="15" customHeight="1">
      <c r="C103" s="982" t="str">
        <f>"   "&amp;CHOOSE(jezyk,n!A1435,n!B1435,n!C1435,n!D1433)</f>
        <v xml:space="preserve">   Zobowiązania z tytułu kredytów i pożyczek</v>
      </c>
      <c r="D103" s="983"/>
      <c r="E103" s="983"/>
      <c r="F103" s="983"/>
      <c r="G103" s="983"/>
      <c r="H103" s="984"/>
      <c r="I103" s="1047">
        <f>Bilans!S76</f>
        <v>0</v>
      </c>
      <c r="J103" s="1047"/>
      <c r="K103" s="1047">
        <f>Bilans!T76</f>
        <v>0</v>
      </c>
      <c r="L103" s="1047"/>
    </row>
    <row r="104" spans="1:13" ht="15" customHeight="1">
      <c r="C104" s="976" t="str">
        <f>CHOOSE(jezyk,n!A1436,n!B1436,n!C1436,n!D1434)</f>
        <v>Zobowiązania z działalności operacyjnej</v>
      </c>
      <c r="D104" s="977"/>
      <c r="E104" s="977"/>
      <c r="F104" s="977"/>
      <c r="G104" s="977"/>
      <c r="H104" s="978"/>
      <c r="I104" s="990">
        <f>I89-I90-I94</f>
        <v>0</v>
      </c>
      <c r="J104" s="990"/>
      <c r="K104" s="990">
        <f>K89-K90-K94</f>
        <v>0</v>
      </c>
      <c r="L104" s="990"/>
      <c r="M104" s="65" t="str">
        <f>dzb</f>
        <v>31.12.2024</v>
      </c>
    </row>
    <row r="105" spans="1:13" ht="27" customHeight="1">
      <c r="C105" s="1036" t="str">
        <f>CHOOSE(jezyk,n!A1437,n!B1437,n!C1437,n!D1435)</f>
        <v>Zmiana stanu zobowiązań</v>
      </c>
      <c r="D105" s="1037"/>
      <c r="E105" s="1037"/>
      <c r="F105" s="1037"/>
      <c r="G105" s="1037"/>
      <c r="H105" s="1038"/>
      <c r="I105" s="1010">
        <f>I104-K104</f>
        <v>0</v>
      </c>
      <c r="J105" s="1010"/>
      <c r="K105" s="1040"/>
      <c r="L105" s="1041"/>
      <c r="M105" s="222">
        <f>ROUND(I105-'CF mp'!I25,2)</f>
        <v>0</v>
      </c>
    </row>
    <row r="106" spans="1:13">
      <c r="C106" s="414"/>
      <c r="D106" s="414"/>
      <c r="L106" s="416"/>
    </row>
    <row r="107" spans="1:13" ht="21" customHeight="1">
      <c r="A107" s="72"/>
      <c r="C107" s="1036" t="str">
        <f>CHOOSE(jezyk,n!A1438,n!B1438,n!C1438,n!D1436)</f>
        <v>A.II.9. Zmiana stanu rozliczeń międzyokresowych</v>
      </c>
      <c r="D107" s="1037"/>
      <c r="E107" s="1037"/>
      <c r="F107" s="1037"/>
      <c r="G107" s="1037"/>
      <c r="H107" s="1038"/>
      <c r="I107" s="975">
        <f>rok</f>
        <v>2024</v>
      </c>
      <c r="J107" s="975"/>
      <c r="K107" s="975">
        <f>K84</f>
        <v>2023</v>
      </c>
      <c r="L107" s="975"/>
      <c r="M107" s="130" t="str">
        <f>IF('CF mp'!I26&lt;&gt;Bilans!K64-Bilans!J64+Bilans!K131-Bilans!J131+Bilans!S94-Bilans!T94,"Wyjaśnij zmianę stanu","Nie ma konieczności wyjaśniania zmiany stanu, ukryj tę część tabeli")</f>
        <v>Nie ma konieczności wyjaśniania zmiany stanu, ukryj tę część tabeli</v>
      </c>
    </row>
    <row r="108" spans="1:13" ht="15" customHeight="1">
      <c r="C108" s="976" t="str">
        <f>CHOOSE(jezyk,n!A1439,n!B1439,n!C1439,n!D1437)</f>
        <v>Długoterminowe rozliczenia międzyokresowe czynne</v>
      </c>
      <c r="D108" s="977"/>
      <c r="E108" s="977"/>
      <c r="F108" s="977"/>
      <c r="G108" s="977"/>
      <c r="H108" s="978"/>
      <c r="I108" s="990">
        <f>Bilans!J64</f>
        <v>0</v>
      </c>
      <c r="J108" s="990"/>
      <c r="K108" s="990">
        <f>Bilans!K64</f>
        <v>0</v>
      </c>
      <c r="L108" s="990"/>
    </row>
    <row r="109" spans="1:13" ht="15" customHeight="1">
      <c r="C109" s="976" t="str">
        <f>CHOOSE(jezyk,n!A1440,n!B1440,n!C1440,n!D1438)</f>
        <v>Krótkoterminowe rozliczenia międzyokresowe czynne</v>
      </c>
      <c r="D109" s="977"/>
      <c r="E109" s="977"/>
      <c r="F109" s="977"/>
      <c r="G109" s="977"/>
      <c r="H109" s="978"/>
      <c r="I109" s="990">
        <f>Bilans!J131</f>
        <v>0</v>
      </c>
      <c r="J109" s="990"/>
      <c r="K109" s="990">
        <f>Bilans!K131</f>
        <v>0</v>
      </c>
      <c r="L109" s="990"/>
    </row>
    <row r="110" spans="1:13" ht="15" customHeight="1">
      <c r="C110" s="976" t="str">
        <f>CHOOSE(jezyk,n!A1412,n!B1412,n!C1412,n!D1410)</f>
        <v>w tym</v>
      </c>
      <c r="D110" s="977"/>
      <c r="E110" s="977"/>
      <c r="F110" s="977"/>
      <c r="G110" s="977"/>
      <c r="H110" s="977"/>
      <c r="I110" s="1044"/>
      <c r="J110" s="1044"/>
      <c r="K110" s="1044"/>
      <c r="L110" s="1045"/>
    </row>
    <row r="111" spans="1:13" ht="15" customHeight="1">
      <c r="A111" s="72"/>
      <c r="C111" s="1051" t="s">
        <v>6845</v>
      </c>
      <c r="D111" s="1052"/>
      <c r="E111" s="1052"/>
      <c r="F111" s="1052"/>
      <c r="G111" s="1052"/>
      <c r="H111" s="1053"/>
      <c r="I111" s="1023"/>
      <c r="J111" s="1024"/>
      <c r="K111" s="1023"/>
      <c r="L111" s="1024"/>
    </row>
    <row r="112" spans="1:13" ht="15" customHeight="1">
      <c r="A112" s="72"/>
      <c r="C112" s="976" t="str">
        <f>CHOOSE(jezyk,n!A1441,n!B1441,n!C1441,n!D1439)</f>
        <v>Razem rozliczenia międzyokresowe czynne po korekcie</v>
      </c>
      <c r="D112" s="977"/>
      <c r="E112" s="977"/>
      <c r="F112" s="977"/>
      <c r="G112" s="977"/>
      <c r="H112" s="978"/>
      <c r="I112" s="990">
        <f>SUM(I108:J109)-I111</f>
        <v>0</v>
      </c>
      <c r="J112" s="990"/>
      <c r="K112" s="990">
        <f>SUM(K108:L109)-K111</f>
        <v>0</v>
      </c>
      <c r="L112" s="990"/>
    </row>
    <row r="113" spans="1:22" ht="15" customHeight="1">
      <c r="C113" s="976" t="str">
        <f>CHOOSE(jezyk,n!A1443,n!B1443,n!C1443,n!D1441)</f>
        <v>1. Zmiana stanu</v>
      </c>
      <c r="D113" s="977"/>
      <c r="E113" s="977"/>
      <c r="F113" s="977"/>
      <c r="G113" s="977"/>
      <c r="H113" s="978"/>
      <c r="I113" s="990">
        <f>K112-I112</f>
        <v>0</v>
      </c>
      <c r="J113" s="990"/>
      <c r="K113" s="1046"/>
      <c r="L113" s="1046"/>
    </row>
    <row r="114" spans="1:22" ht="15" customHeight="1">
      <c r="C114" s="982" t="str">
        <f>"   "&amp;CHOOSE(jezyk,n!A1444,n!B1444,n!C1444,n!D1442)</f>
        <v xml:space="preserve">   Ujemna wartość firmy</v>
      </c>
      <c r="D114" s="983"/>
      <c r="E114" s="983"/>
      <c r="F114" s="983"/>
      <c r="G114" s="983"/>
      <c r="H114" s="984"/>
      <c r="I114" s="1039">
        <f>Bilans!S97</f>
        <v>0</v>
      </c>
      <c r="J114" s="1039"/>
      <c r="K114" s="1039">
        <f>Bilans!T97</f>
        <v>0</v>
      </c>
      <c r="L114" s="1039"/>
    </row>
    <row r="115" spans="1:22" ht="15" customHeight="1">
      <c r="C115" s="982" t="str">
        <f>"   "&amp;CHOOSE(jezyk,n!A1445,n!B1445,n!C1445,n!D1443)</f>
        <v xml:space="preserve">   Długoterminowe rozliczenia międzyokresowe (pasywa)</v>
      </c>
      <c r="D115" s="983"/>
      <c r="E115" s="983"/>
      <c r="F115" s="983"/>
      <c r="G115" s="983"/>
      <c r="H115" s="984"/>
      <c r="I115" s="1039">
        <f>Bilans!S99</f>
        <v>783526.04</v>
      </c>
      <c r="J115" s="1039"/>
      <c r="K115" s="1039">
        <f>Bilans!T99</f>
        <v>0</v>
      </c>
      <c r="L115" s="1039"/>
    </row>
    <row r="116" spans="1:22" ht="15" customHeight="1">
      <c r="C116" s="982" t="str">
        <f>"   "&amp;CHOOSE(jezyk,n!A1446,n!B1446,n!C1446,n!D1444)</f>
        <v xml:space="preserve">   Krótkoterminowe rozliczenia międzyokresowe (pasywa)</v>
      </c>
      <c r="D116" s="983"/>
      <c r="E116" s="983"/>
      <c r="F116" s="983"/>
      <c r="G116" s="983"/>
      <c r="H116" s="984"/>
      <c r="I116" s="1039">
        <f>Bilans!S100</f>
        <v>0</v>
      </c>
      <c r="J116" s="1039"/>
      <c r="K116" s="1039">
        <f>Bilans!T100</f>
        <v>0</v>
      </c>
      <c r="L116" s="1039"/>
    </row>
    <row r="117" spans="1:22" ht="15" customHeight="1">
      <c r="C117" s="976" t="str">
        <f>CHOOSE(jezyk,n!A1412,n!B1412,n!C1412,n!D1410)</f>
        <v>w tym</v>
      </c>
      <c r="D117" s="977"/>
      <c r="E117" s="977"/>
      <c r="F117" s="977"/>
      <c r="G117" s="977"/>
      <c r="H117" s="977"/>
      <c r="I117" s="1044"/>
      <c r="J117" s="1044"/>
      <c r="K117" s="1044"/>
      <c r="L117" s="1045"/>
    </row>
    <row r="118" spans="1:22" ht="15" customHeight="1">
      <c r="C118" s="1051" t="s">
        <v>6845</v>
      </c>
      <c r="D118" s="1052"/>
      <c r="E118" s="1052"/>
      <c r="F118" s="1052"/>
      <c r="G118" s="1052"/>
      <c r="H118" s="1053"/>
      <c r="I118" s="1023"/>
      <c r="J118" s="1024"/>
      <c r="K118" s="1023"/>
      <c r="L118" s="1024"/>
    </row>
    <row r="119" spans="1:22" ht="15" customHeight="1">
      <c r="A119" s="72"/>
      <c r="C119" s="976" t="str">
        <f>CHOOSE(jezyk,n!A1442,n!B1442,n!C1442,n!D1440)</f>
        <v>Razem rozliczenia międzyokresowe po korekcie</v>
      </c>
      <c r="D119" s="977"/>
      <c r="E119" s="977"/>
      <c r="F119" s="977"/>
      <c r="G119" s="977"/>
      <c r="H119" s="978"/>
      <c r="I119" s="990">
        <f>SUM(I114:J116)-I118</f>
        <v>783526.04</v>
      </c>
      <c r="J119" s="990"/>
      <c r="K119" s="990">
        <f>SUM(K114:L116)-K118</f>
        <v>0</v>
      </c>
      <c r="L119" s="990"/>
    </row>
    <row r="120" spans="1:22" ht="15" customHeight="1">
      <c r="C120" s="976" t="e">
        <f>#REF!</f>
        <v>#REF!</v>
      </c>
      <c r="D120" s="977"/>
      <c r="E120" s="977"/>
      <c r="F120" s="977"/>
      <c r="G120" s="977"/>
      <c r="H120" s="978"/>
      <c r="I120" s="990">
        <f>I119-K119</f>
        <v>783526.04</v>
      </c>
      <c r="J120" s="990"/>
      <c r="K120" s="1040"/>
      <c r="L120" s="1041"/>
      <c r="M120" s="65" t="str">
        <f>dzb</f>
        <v>31.12.2024</v>
      </c>
    </row>
    <row r="121" spans="1:22" ht="27" customHeight="1">
      <c r="C121" s="1036" t="str">
        <f>CHOOSE(jezyk,n!A1449,n!B1449,n!C1449,n!D1447)</f>
        <v>Ogółem zmiana stanu rozliczeń międzyokresowych (1+2)</v>
      </c>
      <c r="D121" s="1037"/>
      <c r="E121" s="1037"/>
      <c r="F121" s="1037"/>
      <c r="G121" s="1037"/>
      <c r="H121" s="1038"/>
      <c r="I121" s="1010">
        <f>I113+I120</f>
        <v>783526.04</v>
      </c>
      <c r="J121" s="1010"/>
      <c r="K121" s="1042"/>
      <c r="L121" s="1043"/>
      <c r="M121" s="222">
        <f>ROUND(I121-'CF mp'!I26,2)</f>
        <v>783526.04</v>
      </c>
    </row>
    <row r="122" spans="1:22">
      <c r="C122" s="414"/>
      <c r="D122" s="35"/>
    </row>
    <row r="123" spans="1:22" ht="21" customHeight="1">
      <c r="C123" s="1036" t="str">
        <f>CHOOSE(jezyk,n!A1450,n!B1450,n!C1450,n!D1448)</f>
        <v xml:space="preserve"> A. II. 10. Inne korekty</v>
      </c>
      <c r="D123" s="1037"/>
      <c r="E123" s="1037"/>
      <c r="F123" s="1037"/>
      <c r="G123" s="1037"/>
      <c r="H123" s="1038"/>
      <c r="I123" s="1016">
        <f>rok</f>
        <v>2024</v>
      </c>
      <c r="J123" s="997"/>
      <c r="K123" s="975">
        <f>K107</f>
        <v>2023</v>
      </c>
      <c r="L123" s="975"/>
      <c r="M123" s="130" t="str">
        <f>IF('CF mp'!I27&lt;&gt;0,"Wyjaśnij zmianę stanu","Nie ma konieczności wyjaśniania zmiany stanu, ukryj tę część tabeli")</f>
        <v>Nie ma konieczności wyjaśniania zmiany stanu, ukryj tę część tabeli</v>
      </c>
    </row>
    <row r="124" spans="1:22" ht="24.95" customHeight="1">
      <c r="A124" s="72"/>
      <c r="C124" s="976" t="str">
        <f>CHOOSE(jezyk,n!A1451,n!B1451,n!C1451,n!D1449)</f>
        <v>Niepieniężne straty spowodowane zdarzeniami losowymi w składnikach działalności inwestycyjnej (plus)</v>
      </c>
      <c r="D124" s="977"/>
      <c r="E124" s="977"/>
      <c r="F124" s="977"/>
      <c r="G124" s="977"/>
      <c r="H124" s="978"/>
      <c r="I124" s="1017">
        <v>0</v>
      </c>
      <c r="J124" s="1018"/>
      <c r="K124" s="992">
        <v>0</v>
      </c>
      <c r="L124" s="992"/>
    </row>
    <row r="125" spans="1:22" ht="24.95" customHeight="1">
      <c r="A125" s="72"/>
      <c r="C125" s="976" t="str">
        <f>CHOOSE(jezyk,n!A1452,n!B1452,n!C1452,n!D1450)</f>
        <v>Niepieniężne zyski spowodowane zdarzeniami losowymi w składnikach działalności inwestycyjnej (minus)</v>
      </c>
      <c r="D125" s="977"/>
      <c r="E125" s="977"/>
      <c r="F125" s="977"/>
      <c r="G125" s="977"/>
      <c r="H125" s="978"/>
      <c r="I125" s="1017">
        <v>0</v>
      </c>
      <c r="J125" s="1018"/>
      <c r="K125" s="992">
        <v>0</v>
      </c>
      <c r="L125" s="992"/>
    </row>
    <row r="126" spans="1:22" ht="24.95" customHeight="1">
      <c r="A126" s="72"/>
      <c r="C126" s="976" t="str">
        <f>CHOOSE(jezyk,n!A1453,n!B1453,n!C1453,n!D1451)</f>
        <v>Odpisy netto z tytułu utraty wartości, korygujące wartość składników aktywów trwałych oraz krótkoterminowych aktywów finansowych (plus lub minus)</v>
      </c>
      <c r="D126" s="977"/>
      <c r="E126" s="977"/>
      <c r="F126" s="977"/>
      <c r="G126" s="977"/>
      <c r="H126" s="978"/>
      <c r="I126" s="1017">
        <v>0</v>
      </c>
      <c r="J126" s="1018"/>
      <c r="K126" s="992">
        <v>0</v>
      </c>
      <c r="L126" s="992"/>
    </row>
    <row r="127" spans="1:22" ht="24.95" customHeight="1">
      <c r="C127" s="976" t="str">
        <f>CHOOSE(jezyk,n!A1454,n!B1454,n!C1454,n!D1452)</f>
        <v>Umorzenie zaciągniętych kredytów i pożyczek i innych zobowiązań finansowych (minus)</v>
      </c>
      <c r="D127" s="977"/>
      <c r="E127" s="977"/>
      <c r="F127" s="977"/>
      <c r="G127" s="977"/>
      <c r="H127" s="978"/>
      <c r="I127" s="1017">
        <v>0</v>
      </c>
      <c r="J127" s="1018"/>
      <c r="K127" s="992">
        <v>0</v>
      </c>
      <c r="L127" s="992"/>
      <c r="U127" s="1016"/>
      <c r="V127" s="997"/>
    </row>
    <row r="128" spans="1:22" ht="15" customHeight="1">
      <c r="C128" s="976" t="str">
        <f>CHOOSE(jezyk,n!A1455,n!B1455,n!C1455,n!D1453)</f>
        <v>Umorzenie udzielonych pożyczek długoterminowych (plus)</v>
      </c>
      <c r="D128" s="977"/>
      <c r="E128" s="977"/>
      <c r="F128" s="977"/>
      <c r="G128" s="977"/>
      <c r="H128" s="978"/>
      <c r="I128" s="1017">
        <v>0</v>
      </c>
      <c r="J128" s="1018"/>
      <c r="K128" s="992">
        <v>0</v>
      </c>
      <c r="L128" s="992"/>
    </row>
    <row r="129" spans="1:14" ht="24.95" customHeight="1">
      <c r="C129" s="976" t="str">
        <f>CHOOSE(jezyk,n!A1456,n!B1456,n!C1456,n!D1454)</f>
        <v>Odpisanie wartości środków trwałych w budowie, które nie dały efektu gospodarczego</v>
      </c>
      <c r="D129" s="977"/>
      <c r="E129" s="977"/>
      <c r="F129" s="977"/>
      <c r="G129" s="977"/>
      <c r="H129" s="978"/>
      <c r="I129" s="1017">
        <v>0</v>
      </c>
      <c r="J129" s="1018"/>
      <c r="K129" s="992">
        <v>0</v>
      </c>
      <c r="L129" s="992"/>
    </row>
    <row r="130" spans="1:14" ht="24.95" customHeight="1">
      <c r="A130" s="72"/>
      <c r="C130" s="976" t="str">
        <f>CHOOSE(jezyk,n!A1457,n!B1457,n!C1457,n!D1455)</f>
        <v>Dotacje w roku ich otrzymania, jeżeli wpłynęły w całości, odniesione na wyn. fin. bieżącego okresu</v>
      </c>
      <c r="D130" s="977"/>
      <c r="E130" s="977"/>
      <c r="F130" s="977"/>
      <c r="G130" s="977"/>
      <c r="H130" s="978"/>
      <c r="I130" s="1017">
        <v>0</v>
      </c>
      <c r="J130" s="1018"/>
      <c r="K130" s="992">
        <v>0</v>
      </c>
      <c r="L130" s="992"/>
    </row>
    <row r="131" spans="1:14" ht="15" customHeight="1">
      <c r="C131" s="976" t="str">
        <f>CHOOSE(jezyk,n!A1458,n!B1458,n!C1458,n!D1456)</f>
        <v>Pozostałe</v>
      </c>
      <c r="D131" s="977"/>
      <c r="E131" s="977"/>
      <c r="F131" s="977"/>
      <c r="G131" s="977"/>
      <c r="H131" s="978"/>
      <c r="I131" s="1017">
        <v>0</v>
      </c>
      <c r="J131" s="1018"/>
      <c r="K131" s="992">
        <v>0</v>
      </c>
      <c r="L131" s="992"/>
      <c r="M131" s="65" t="str">
        <f>dzb</f>
        <v>31.12.2024</v>
      </c>
    </row>
    <row r="132" spans="1:14" ht="15" customHeight="1">
      <c r="C132" s="976" t="str">
        <f>CHOOSE(jezyk,n!A1459,n!B1459,n!C1459,n!D1457)</f>
        <v>Razem</v>
      </c>
      <c r="D132" s="977"/>
      <c r="E132" s="977"/>
      <c r="F132" s="977"/>
      <c r="G132" s="977"/>
      <c r="H132" s="978"/>
      <c r="I132" s="1019">
        <f>SUM(I124:J131)</f>
        <v>0</v>
      </c>
      <c r="J132" s="1020"/>
      <c r="K132" s="990">
        <f>SUM(K124:L131)</f>
        <v>0</v>
      </c>
      <c r="L132" s="990"/>
      <c r="M132" s="222">
        <f>ROUND(I132-'CF mp'!I27,2)</f>
        <v>0</v>
      </c>
    </row>
    <row r="133" spans="1:14">
      <c r="C133" s="414"/>
      <c r="D133" s="35"/>
    </row>
    <row r="134" spans="1:14" ht="24.75" customHeight="1">
      <c r="C134" s="1036" t="str">
        <f>CHOOSE(jezyk,n!A1461,n!B1461,n!C1461,n!D1459)</f>
        <v xml:space="preserve">E. Bilansowa zmiana środków pieniężnych </v>
      </c>
      <c r="D134" s="1037"/>
      <c r="E134" s="1037"/>
      <c r="F134" s="1037"/>
      <c r="G134" s="1037"/>
      <c r="H134" s="1038"/>
      <c r="I134" s="1016">
        <f>rok</f>
        <v>2024</v>
      </c>
      <c r="J134" s="997"/>
      <c r="K134" s="1016">
        <f>K123</f>
        <v>2023</v>
      </c>
      <c r="L134" s="997"/>
    </row>
    <row r="135" spans="1:14" ht="15" customHeight="1">
      <c r="C135" s="976" t="str">
        <f>CHOOSE(jezyk,n!A1462,n!B1462,n!C1462,n!D1460)</f>
        <v xml:space="preserve">Środki pieniężne w kasie </v>
      </c>
      <c r="D135" s="977"/>
      <c r="E135" s="977"/>
      <c r="F135" s="977"/>
      <c r="G135" s="977"/>
      <c r="H135" s="978"/>
      <c r="I135" s="1017">
        <v>0</v>
      </c>
      <c r="J135" s="1018"/>
      <c r="K135" s="992">
        <v>0</v>
      </c>
      <c r="L135" s="992"/>
    </row>
    <row r="136" spans="1:14" ht="15" customHeight="1">
      <c r="C136" s="976" t="str">
        <f>CHOOSE(jezyk,n!A1463,n!B1463,n!C1463,n!D1461)</f>
        <v>Środki pieniężne na rachunkach bankowych</v>
      </c>
      <c r="D136" s="977"/>
      <c r="E136" s="977"/>
      <c r="F136" s="977"/>
      <c r="G136" s="977"/>
      <c r="H136" s="978"/>
      <c r="I136" s="1017">
        <v>0</v>
      </c>
      <c r="J136" s="1018"/>
      <c r="K136" s="992">
        <v>0</v>
      </c>
      <c r="L136" s="992"/>
    </row>
    <row r="137" spans="1:14" ht="15" customHeight="1">
      <c r="C137" s="976" t="str">
        <f>CHOOSE(jezyk,n!A1464,n!B1464,n!C1464,n!D1462)</f>
        <v>Lokaty bankowe do 3 miesięcy</v>
      </c>
      <c r="D137" s="977"/>
      <c r="E137" s="977"/>
      <c r="F137" s="977"/>
      <c r="G137" s="977"/>
      <c r="H137" s="978"/>
      <c r="I137" s="1017">
        <v>0</v>
      </c>
      <c r="J137" s="1018"/>
      <c r="K137" s="992">
        <v>0</v>
      </c>
      <c r="L137" s="992"/>
    </row>
    <row r="138" spans="1:14" ht="15" customHeight="1">
      <c r="C138" s="976" t="str">
        <f>CHOOSE(jezyk,n!A1465,n!B1465,n!C1465,n!D1463)</f>
        <v>Ekwiwalenty środków pieniężnych, w tym:</v>
      </c>
      <c r="D138" s="977"/>
      <c r="E138" s="977"/>
      <c r="F138" s="977"/>
      <c r="G138" s="977"/>
      <c r="H138" s="978"/>
      <c r="I138" s="1019">
        <f>I139+I140+I141</f>
        <v>0</v>
      </c>
      <c r="J138" s="1020"/>
      <c r="K138" s="990">
        <f>K139+K140+K141</f>
        <v>0</v>
      </c>
      <c r="L138" s="990"/>
    </row>
    <row r="139" spans="1:14" ht="15" customHeight="1">
      <c r="C139" s="979" t="str">
        <f>"   "&amp;CHOOSE(jezyk,n!A1466,n!B1466,n!C1466,n!D1464)</f>
        <v xml:space="preserve">   –  czeki,</v>
      </c>
      <c r="D139" s="980"/>
      <c r="E139" s="980"/>
      <c r="F139" s="980"/>
      <c r="G139" s="980"/>
      <c r="H139" s="981"/>
      <c r="I139" s="1021">
        <v>0</v>
      </c>
      <c r="J139" s="1022"/>
      <c r="K139" s="1011">
        <v>0</v>
      </c>
      <c r="L139" s="1011"/>
    </row>
    <row r="140" spans="1:14" ht="15" customHeight="1">
      <c r="C140" s="982" t="str">
        <f>"   "&amp;CHOOSE(jezyk,n!A1467,n!B1467,n!C1467,n!D1465)</f>
        <v xml:space="preserve">   –  weksle,</v>
      </c>
      <c r="D140" s="983"/>
      <c r="E140" s="983"/>
      <c r="F140" s="983"/>
      <c r="G140" s="983"/>
      <c r="H140" s="984"/>
      <c r="I140" s="1023">
        <v>0</v>
      </c>
      <c r="J140" s="1024"/>
      <c r="K140" s="1012">
        <v>0</v>
      </c>
      <c r="L140" s="1012"/>
    </row>
    <row r="141" spans="1:14" ht="15" customHeight="1">
      <c r="C141" s="1033" t="str">
        <f>"   "&amp;CHOOSE(jezyk,n!A1468,n!B1468,n!C1468,n!D1466)</f>
        <v xml:space="preserve">   –  inne</v>
      </c>
      <c r="D141" s="1034"/>
      <c r="E141" s="1034"/>
      <c r="F141" s="1034"/>
      <c r="G141" s="1034"/>
      <c r="H141" s="1035"/>
      <c r="I141" s="1025">
        <v>0</v>
      </c>
      <c r="J141" s="1026"/>
      <c r="K141" s="1009">
        <v>0</v>
      </c>
      <c r="L141" s="1009"/>
      <c r="M141" s="65" t="str">
        <f>dzb</f>
        <v>31.12.2024</v>
      </c>
      <c r="N141" s="65" t="str">
        <f>pdz</f>
        <v>31.12.2023</v>
      </c>
    </row>
    <row r="142" spans="1:14" ht="15" customHeight="1">
      <c r="C142" s="976" t="str">
        <f>CHOOSE(jezyk,n!A1469,n!B1469,n!C1469,n!D1467)</f>
        <v>Razem środki pieniężne oraz ekwiwalenty środków pieniężnych</v>
      </c>
      <c r="D142" s="977"/>
      <c r="E142" s="977"/>
      <c r="F142" s="977"/>
      <c r="G142" s="977"/>
      <c r="H142" s="978"/>
      <c r="I142" s="1019">
        <f>I135+I136+I137+I138</f>
        <v>0</v>
      </c>
      <c r="J142" s="1020"/>
      <c r="K142" s="990">
        <f>K135+K136+K137+K138</f>
        <v>0</v>
      </c>
      <c r="L142" s="990"/>
      <c r="M142" s="222">
        <f>ROUND(I142-Bilans!J127,2)</f>
        <v>0</v>
      </c>
      <c r="N142" s="222">
        <f>ROUND(K142-Bilans!K127,2)</f>
        <v>0</v>
      </c>
    </row>
    <row r="143" spans="1:14" ht="24.95" customHeight="1">
      <c r="C143" s="976" t="str">
        <f>CHOOSE(jezyk,n!A1470,n!B1470,n!C1470,n!D1468)</f>
        <v>Zmiana środków pieniężnych oraz ekwiwalentów środków pieniężnych</v>
      </c>
      <c r="D143" s="977"/>
      <c r="E143" s="977"/>
      <c r="F143" s="977"/>
      <c r="G143" s="977"/>
      <c r="H143" s="978"/>
      <c r="I143" s="1031">
        <f>I142-K142</f>
        <v>0</v>
      </c>
      <c r="J143" s="1032"/>
      <c r="K143" s="804"/>
      <c r="L143" s="804"/>
    </row>
    <row r="144" spans="1:14" ht="15" customHeight="1">
      <c r="C144" s="976" t="str">
        <f>CHOOSE(jezyk,n!A1471,n!B1471,n!C1471,n!D1469)</f>
        <v>Wycena bilansowa środków pieniężnych</v>
      </c>
      <c r="D144" s="977"/>
      <c r="E144" s="977"/>
      <c r="F144" s="977"/>
      <c r="G144" s="977"/>
      <c r="H144" s="978"/>
      <c r="I144" s="1017">
        <v>0</v>
      </c>
      <c r="J144" s="1018"/>
      <c r="K144" s="992">
        <v>0</v>
      </c>
      <c r="L144" s="992"/>
    </row>
    <row r="145" spans="1:13" ht="15" customHeight="1">
      <c r="A145" s="72"/>
      <c r="C145" s="976" t="str">
        <f>CHOOSE(jezyk,n!A1472,n!B1472,n!C1472,n!D1470)</f>
        <v>Zmiana stanu środków pieniężnych z tytułu różnic kursowych</v>
      </c>
      <c r="D145" s="977"/>
      <c r="E145" s="977"/>
      <c r="F145" s="977"/>
      <c r="G145" s="977"/>
      <c r="H145" s="978"/>
      <c r="I145" s="1019">
        <f>K144-I144</f>
        <v>0</v>
      </c>
      <c r="J145" s="1020"/>
      <c r="K145" s="1027"/>
      <c r="L145" s="1028"/>
    </row>
    <row r="146" spans="1:13" ht="15" customHeight="1">
      <c r="C146" s="976" t="str">
        <f>CHOOSE(jezyk,n!A1473,n!B1473,n!C1473,n!D1471)</f>
        <v>Środki pieniężne o ograniczonej możliwości dysponowania</v>
      </c>
      <c r="D146" s="977"/>
      <c r="E146" s="977"/>
      <c r="F146" s="977"/>
      <c r="G146" s="977"/>
      <c r="H146" s="978"/>
      <c r="I146" s="1017">
        <f>'CF mp'!I93</f>
        <v>0</v>
      </c>
      <c r="J146" s="1018"/>
      <c r="K146" s="1029"/>
      <c r="L146" s="1030"/>
      <c r="M146" s="225"/>
    </row>
  </sheetData>
  <mergeCells count="358">
    <mergeCell ref="K81:L81"/>
    <mergeCell ref="K82:L82"/>
    <mergeCell ref="I81:J81"/>
    <mergeCell ref="I82:J82"/>
    <mergeCell ref="I84:J84"/>
    <mergeCell ref="I85:J85"/>
    <mergeCell ref="I86:J86"/>
    <mergeCell ref="I87:J87"/>
    <mergeCell ref="I88:J88"/>
    <mergeCell ref="K86:L86"/>
    <mergeCell ref="K87:L87"/>
    <mergeCell ref="K88:L88"/>
    <mergeCell ref="K69:L69"/>
    <mergeCell ref="C69:H69"/>
    <mergeCell ref="I69:J69"/>
    <mergeCell ref="C70:H70"/>
    <mergeCell ref="I70:J70"/>
    <mergeCell ref="C110:H110"/>
    <mergeCell ref="I110:J110"/>
    <mergeCell ref="K110:L110"/>
    <mergeCell ref="I80:J80"/>
    <mergeCell ref="C101:H101"/>
    <mergeCell ref="C102:H102"/>
    <mergeCell ref="I93:J93"/>
    <mergeCell ref="I91:J91"/>
    <mergeCell ref="I92:J92"/>
    <mergeCell ref="K107:L107"/>
    <mergeCell ref="K108:L108"/>
    <mergeCell ref="K109:L109"/>
    <mergeCell ref="K97:L97"/>
    <mergeCell ref="K98:L98"/>
    <mergeCell ref="K96:L96"/>
    <mergeCell ref="K99:L99"/>
    <mergeCell ref="K84:L84"/>
    <mergeCell ref="K85:L85"/>
    <mergeCell ref="I102:J102"/>
    <mergeCell ref="I99:J99"/>
    <mergeCell ref="I72:J72"/>
    <mergeCell ref="I73:J73"/>
    <mergeCell ref="I74:J74"/>
    <mergeCell ref="I75:J75"/>
    <mergeCell ref="I76:J76"/>
    <mergeCell ref="I77:J77"/>
    <mergeCell ref="I78:J78"/>
    <mergeCell ref="I79:J79"/>
    <mergeCell ref="I89:J89"/>
    <mergeCell ref="I90:J90"/>
    <mergeCell ref="K72:L72"/>
    <mergeCell ref="K73:L73"/>
    <mergeCell ref="K74:L74"/>
    <mergeCell ref="K75:L75"/>
    <mergeCell ref="K76:L76"/>
    <mergeCell ref="K77:L77"/>
    <mergeCell ref="K78:L78"/>
    <mergeCell ref="K79:L79"/>
    <mergeCell ref="K80:L80"/>
    <mergeCell ref="K65:L65"/>
    <mergeCell ref="C66:H66"/>
    <mergeCell ref="I66:J66"/>
    <mergeCell ref="K66:L66"/>
    <mergeCell ref="C67:H67"/>
    <mergeCell ref="I67:J67"/>
    <mergeCell ref="K67:L67"/>
    <mergeCell ref="C68:H68"/>
    <mergeCell ref="I68:J68"/>
    <mergeCell ref="K68:L68"/>
    <mergeCell ref="C130:H130"/>
    <mergeCell ref="C131:H131"/>
    <mergeCell ref="C132:H132"/>
    <mergeCell ref="I65:J65"/>
    <mergeCell ref="C117:H117"/>
    <mergeCell ref="I117:J117"/>
    <mergeCell ref="C120:H120"/>
    <mergeCell ref="C114:H114"/>
    <mergeCell ref="C115:H115"/>
    <mergeCell ref="C116:H116"/>
    <mergeCell ref="C107:H107"/>
    <mergeCell ref="C65:H65"/>
    <mergeCell ref="C118:H118"/>
    <mergeCell ref="C121:H121"/>
    <mergeCell ref="C124:H124"/>
    <mergeCell ref="C123:H123"/>
    <mergeCell ref="I101:J101"/>
    <mergeCell ref="I94:J94"/>
    <mergeCell ref="I95:J95"/>
    <mergeCell ref="C111:H111"/>
    <mergeCell ref="I111:J111"/>
    <mergeCell ref="I96:J96"/>
    <mergeCell ref="I97:J97"/>
    <mergeCell ref="I98:J98"/>
    <mergeCell ref="C94:H94"/>
    <mergeCell ref="C95:H95"/>
    <mergeCell ref="C119:H119"/>
    <mergeCell ref="C84:H84"/>
    <mergeCell ref="C125:H125"/>
    <mergeCell ref="C126:H126"/>
    <mergeCell ref="C127:H127"/>
    <mergeCell ref="C128:H128"/>
    <mergeCell ref="C129:H129"/>
    <mergeCell ref="C103:H103"/>
    <mergeCell ref="C104:H104"/>
    <mergeCell ref="C108:H108"/>
    <mergeCell ref="C109:H109"/>
    <mergeCell ref="C112:H112"/>
    <mergeCell ref="C113:H113"/>
    <mergeCell ref="C105:H105"/>
    <mergeCell ref="C96:H96"/>
    <mergeCell ref="C97:H97"/>
    <mergeCell ref="C98:H98"/>
    <mergeCell ref="C99:H99"/>
    <mergeCell ref="C100:H100"/>
    <mergeCell ref="C85:H85"/>
    <mergeCell ref="C86:H86"/>
    <mergeCell ref="C87:H87"/>
    <mergeCell ref="C88:H88"/>
    <mergeCell ref="C89:H89"/>
    <mergeCell ref="C90:H90"/>
    <mergeCell ref="C91:H91"/>
    <mergeCell ref="C92:H92"/>
    <mergeCell ref="C93:H93"/>
    <mergeCell ref="C59:H59"/>
    <mergeCell ref="C60:H60"/>
    <mergeCell ref="C61:H61"/>
    <mergeCell ref="C62:H62"/>
    <mergeCell ref="C58:H58"/>
    <mergeCell ref="C63:H63"/>
    <mergeCell ref="C72:H72"/>
    <mergeCell ref="C82:H82"/>
    <mergeCell ref="C73:H73"/>
    <mergeCell ref="C74:H74"/>
    <mergeCell ref="C75:H75"/>
    <mergeCell ref="C76:H76"/>
    <mergeCell ref="C77:H77"/>
    <mergeCell ref="C78:H78"/>
    <mergeCell ref="C79:H79"/>
    <mergeCell ref="C80:H80"/>
    <mergeCell ref="C81:H81"/>
    <mergeCell ref="C23:H23"/>
    <mergeCell ref="C24:H24"/>
    <mergeCell ref="C25:H25"/>
    <mergeCell ref="C26:H26"/>
    <mergeCell ref="C27:H27"/>
    <mergeCell ref="I21:J22"/>
    <mergeCell ref="K21:L22"/>
    <mergeCell ref="K23:L23"/>
    <mergeCell ref="K24:L24"/>
    <mergeCell ref="K25:L25"/>
    <mergeCell ref="K26:L26"/>
    <mergeCell ref="K27:L27"/>
    <mergeCell ref="K28:L28"/>
    <mergeCell ref="I23:J23"/>
    <mergeCell ref="I24:J24"/>
    <mergeCell ref="I25:J25"/>
    <mergeCell ref="I26:J26"/>
    <mergeCell ref="I27:J27"/>
    <mergeCell ref="I28:J28"/>
    <mergeCell ref="K63:L63"/>
    <mergeCell ref="I63:J63"/>
    <mergeCell ref="K58:L58"/>
    <mergeCell ref="K59:L59"/>
    <mergeCell ref="K60:L60"/>
    <mergeCell ref="K61:L61"/>
    <mergeCell ref="K62:L62"/>
    <mergeCell ref="K54:L54"/>
    <mergeCell ref="K55:L55"/>
    <mergeCell ref="K56:L56"/>
    <mergeCell ref="K30:L30"/>
    <mergeCell ref="K31:L31"/>
    <mergeCell ref="K32:L32"/>
    <mergeCell ref="K33:L33"/>
    <mergeCell ref="K36:L36"/>
    <mergeCell ref="K37:L37"/>
    <mergeCell ref="K38:L38"/>
    <mergeCell ref="C28:H28"/>
    <mergeCell ref="I58:J58"/>
    <mergeCell ref="I59:J59"/>
    <mergeCell ref="I60:J60"/>
    <mergeCell ref="I61:J61"/>
    <mergeCell ref="I62:J62"/>
    <mergeCell ref="C54:H54"/>
    <mergeCell ref="C55:H55"/>
    <mergeCell ref="C56:H56"/>
    <mergeCell ref="I56:J56"/>
    <mergeCell ref="I55:J55"/>
    <mergeCell ref="I54:J54"/>
    <mergeCell ref="C36:H36"/>
    <mergeCell ref="C38:H38"/>
    <mergeCell ref="C39:H39"/>
    <mergeCell ref="C37:H37"/>
    <mergeCell ref="C40:H40"/>
    <mergeCell ref="C41:H41"/>
    <mergeCell ref="C42:H42"/>
    <mergeCell ref="C43:H43"/>
    <mergeCell ref="I36:J36"/>
    <mergeCell ref="I33:J33"/>
    <mergeCell ref="I35:J35"/>
    <mergeCell ref="C30:H30"/>
    <mergeCell ref="I103:J103"/>
    <mergeCell ref="I104:J104"/>
    <mergeCell ref="I105:J105"/>
    <mergeCell ref="I100:J100"/>
    <mergeCell ref="K102:L102"/>
    <mergeCell ref="K103:L103"/>
    <mergeCell ref="K104:L104"/>
    <mergeCell ref="K105:L105"/>
    <mergeCell ref="K100:L100"/>
    <mergeCell ref="K101:L101"/>
    <mergeCell ref="K113:L113"/>
    <mergeCell ref="K114:L114"/>
    <mergeCell ref="K115:L115"/>
    <mergeCell ref="I107:J107"/>
    <mergeCell ref="I108:J108"/>
    <mergeCell ref="I109:J109"/>
    <mergeCell ref="I112:J112"/>
    <mergeCell ref="I113:J113"/>
    <mergeCell ref="I114:J114"/>
    <mergeCell ref="I115:J115"/>
    <mergeCell ref="K112:L112"/>
    <mergeCell ref="K111:L111"/>
    <mergeCell ref="K124:L124"/>
    <mergeCell ref="K125:L125"/>
    <mergeCell ref="K126:L126"/>
    <mergeCell ref="K127:L127"/>
    <mergeCell ref="K128:L128"/>
    <mergeCell ref="K129:L129"/>
    <mergeCell ref="K130:L130"/>
    <mergeCell ref="I116:J116"/>
    <mergeCell ref="I119:J119"/>
    <mergeCell ref="I118:J118"/>
    <mergeCell ref="K119:L119"/>
    <mergeCell ref="K123:L123"/>
    <mergeCell ref="I124:J124"/>
    <mergeCell ref="I125:J125"/>
    <mergeCell ref="I126:J126"/>
    <mergeCell ref="I127:J127"/>
    <mergeCell ref="I123:J123"/>
    <mergeCell ref="I121:J121"/>
    <mergeCell ref="K120:L120"/>
    <mergeCell ref="I120:J120"/>
    <mergeCell ref="K121:L121"/>
    <mergeCell ref="K116:L116"/>
    <mergeCell ref="K118:L118"/>
    <mergeCell ref="K117:L117"/>
    <mergeCell ref="K142:L142"/>
    <mergeCell ref="K143:L143"/>
    <mergeCell ref="K144:L144"/>
    <mergeCell ref="K145:L145"/>
    <mergeCell ref="K146:L146"/>
    <mergeCell ref="K134:L134"/>
    <mergeCell ref="I146:J146"/>
    <mergeCell ref="C135:H135"/>
    <mergeCell ref="C136:H136"/>
    <mergeCell ref="C137:H137"/>
    <mergeCell ref="C138:H138"/>
    <mergeCell ref="I142:J142"/>
    <mergeCell ref="I143:J143"/>
    <mergeCell ref="I144:J144"/>
    <mergeCell ref="I145:J145"/>
    <mergeCell ref="C139:H139"/>
    <mergeCell ref="C140:H140"/>
    <mergeCell ref="C141:H141"/>
    <mergeCell ref="C142:H142"/>
    <mergeCell ref="C143:H143"/>
    <mergeCell ref="C144:H144"/>
    <mergeCell ref="C145:H145"/>
    <mergeCell ref="C146:H146"/>
    <mergeCell ref="C134:H134"/>
    <mergeCell ref="U127:V127"/>
    <mergeCell ref="I135:J135"/>
    <mergeCell ref="I136:J136"/>
    <mergeCell ref="I137:J137"/>
    <mergeCell ref="I138:J138"/>
    <mergeCell ref="I139:J139"/>
    <mergeCell ref="I140:J140"/>
    <mergeCell ref="I141:J141"/>
    <mergeCell ref="K135:L135"/>
    <mergeCell ref="K136:L136"/>
    <mergeCell ref="K137:L137"/>
    <mergeCell ref="K138:L138"/>
    <mergeCell ref="K139:L139"/>
    <mergeCell ref="K140:L140"/>
    <mergeCell ref="K141:L141"/>
    <mergeCell ref="I131:J131"/>
    <mergeCell ref="I132:J132"/>
    <mergeCell ref="K131:L131"/>
    <mergeCell ref="K132:L132"/>
    <mergeCell ref="I134:J134"/>
    <mergeCell ref="I128:J128"/>
    <mergeCell ref="I129:J129"/>
    <mergeCell ref="I130:J130"/>
    <mergeCell ref="C19:L19"/>
    <mergeCell ref="C17:L17"/>
    <mergeCell ref="C8:L8"/>
    <mergeCell ref="B1:L1"/>
    <mergeCell ref="B4:L4"/>
    <mergeCell ref="C15:L15"/>
    <mergeCell ref="C16:L16"/>
    <mergeCell ref="B12:L12"/>
    <mergeCell ref="C18:L18"/>
    <mergeCell ref="C10:L10"/>
    <mergeCell ref="C6:L6"/>
    <mergeCell ref="K89:L89"/>
    <mergeCell ref="K93:L93"/>
    <mergeCell ref="K94:L94"/>
    <mergeCell ref="K95:L95"/>
    <mergeCell ref="K90:L90"/>
    <mergeCell ref="K91:L91"/>
    <mergeCell ref="K92:L92"/>
    <mergeCell ref="C31:H31"/>
    <mergeCell ref="C32:H32"/>
    <mergeCell ref="C33:H33"/>
    <mergeCell ref="C34:H34"/>
    <mergeCell ref="C35:H35"/>
    <mergeCell ref="I34:J34"/>
    <mergeCell ref="K34:L34"/>
    <mergeCell ref="K35:L35"/>
    <mergeCell ref="K45:L45"/>
    <mergeCell ref="K46:L46"/>
    <mergeCell ref="K47:L47"/>
    <mergeCell ref="K48:L48"/>
    <mergeCell ref="K49:L49"/>
    <mergeCell ref="K50:L50"/>
    <mergeCell ref="K51:L51"/>
    <mergeCell ref="K52:L52"/>
    <mergeCell ref="K53:L53"/>
    <mergeCell ref="I30:J30"/>
    <mergeCell ref="I31:J31"/>
    <mergeCell ref="I32:J32"/>
    <mergeCell ref="K39:L39"/>
    <mergeCell ref="K40:L40"/>
    <mergeCell ref="K41:L41"/>
    <mergeCell ref="K42:L42"/>
    <mergeCell ref="K43:L43"/>
    <mergeCell ref="I37:J37"/>
    <mergeCell ref="I38:J38"/>
    <mergeCell ref="I39:J39"/>
    <mergeCell ref="I40:J40"/>
    <mergeCell ref="I41:J41"/>
    <mergeCell ref="I42:J42"/>
    <mergeCell ref="I43:J43"/>
    <mergeCell ref="I45:J45"/>
    <mergeCell ref="C46:H46"/>
    <mergeCell ref="C47:H47"/>
    <mergeCell ref="C48:H48"/>
    <mergeCell ref="C49:H49"/>
    <mergeCell ref="C50:H50"/>
    <mergeCell ref="C51:H51"/>
    <mergeCell ref="C52:H52"/>
    <mergeCell ref="C53:H53"/>
    <mergeCell ref="I49:J49"/>
    <mergeCell ref="I48:J48"/>
    <mergeCell ref="I47:J47"/>
    <mergeCell ref="I46:J46"/>
    <mergeCell ref="I50:J50"/>
    <mergeCell ref="I53:J53"/>
    <mergeCell ref="I52:J52"/>
    <mergeCell ref="I51:J51"/>
    <mergeCell ref="C45:H45"/>
  </mergeCells>
  <hyperlinks>
    <hyperlink ref="B1:L1" location="'spis treści'!A1" display="SPIS TREŚCI" xr:uid="{00000000-0004-0000-2A00-000000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3,4</oddFooter>
  </headerFooter>
  <rowBreaks count="4" manualBreakCount="4">
    <brk id="43" min="1" max="11" man="1"/>
    <brk id="82" max="16383" man="1"/>
    <brk id="121" min="1" max="11" man="1"/>
    <brk id="147" min="1" max="11"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25">
    <pageSetUpPr fitToPage="1"/>
  </sheetPr>
  <dimension ref="A1:M63"/>
  <sheetViews>
    <sheetView showGridLines="0" view="pageBreakPreview" zoomScaleNormal="100" zoomScaleSheetLayoutView="100" workbookViewId="0"/>
  </sheetViews>
  <sheetFormatPr defaultColWidth="9.140625" defaultRowHeight="12.75"/>
  <cols>
    <col min="1" max="1" width="20" style="66" bestFit="1" customWidth="1"/>
    <col min="2" max="2" width="5" style="72" customWidth="1"/>
    <col min="3" max="8" width="9.140625" style="66"/>
    <col min="9" max="9" width="9.85546875" style="66" customWidth="1"/>
    <col min="10" max="10" width="9.140625" style="66"/>
    <col min="11" max="11" width="19.42578125" style="66" customWidth="1"/>
    <col min="12" max="12" width="9.28515625" style="66"/>
    <col min="13" max="16384" width="9.140625" style="66"/>
  </cols>
  <sheetData>
    <row r="1" spans="1:12">
      <c r="B1" s="749" t="s">
        <v>3202</v>
      </c>
      <c r="C1" s="749"/>
      <c r="D1" s="749"/>
      <c r="E1" s="749"/>
      <c r="F1" s="749"/>
      <c r="G1" s="749"/>
      <c r="H1" s="749"/>
      <c r="I1" s="749"/>
      <c r="J1" s="749"/>
      <c r="K1" s="749"/>
      <c r="L1" s="749"/>
    </row>
    <row r="2" spans="1:12">
      <c r="B2" s="386" t="str">
        <f>nazwa_spolki</f>
        <v>Rhenus Digital Workforce Sp. z o.o.</v>
      </c>
      <c r="C2" s="390"/>
      <c r="D2" s="390"/>
      <c r="E2" s="390"/>
      <c r="F2" s="390"/>
      <c r="G2" s="390"/>
      <c r="H2" s="390"/>
      <c r="I2" s="390"/>
      <c r="J2" s="390"/>
      <c r="K2" s="390"/>
      <c r="L2" s="390"/>
    </row>
    <row r="3" spans="1:12" ht="45.95" customHeight="1">
      <c r="B3" s="129" t="str">
        <f>tytul</f>
        <v>Sprawozdanie finansowe sporządzone za rok obrotowy 2024</v>
      </c>
      <c r="C3" s="390"/>
      <c r="D3" s="390"/>
      <c r="E3" s="390"/>
      <c r="F3" s="390"/>
      <c r="G3" s="390"/>
      <c r="H3" s="390"/>
      <c r="I3" s="390"/>
      <c r="J3" s="390"/>
      <c r="K3" s="390"/>
      <c r="L3" s="390"/>
    </row>
    <row r="4" spans="1:12" s="178" customFormat="1" ht="20.25">
      <c r="B4" s="789" t="str">
        <f>"5. "&amp;CHOOSE(jezyk,n!A613,n!B613,n!C613,n!D611)</f>
        <v>5. DODATKOWE INFORMACJE I OBJAŚNIENIA</v>
      </c>
      <c r="C4" s="789"/>
      <c r="D4" s="789"/>
      <c r="E4" s="789"/>
      <c r="F4" s="789"/>
      <c r="G4" s="789"/>
      <c r="H4" s="789"/>
      <c r="I4" s="789"/>
      <c r="J4" s="789"/>
      <c r="K4" s="789"/>
    </row>
    <row r="7" spans="1:12" ht="27" customHeight="1">
      <c r="A7" s="72"/>
      <c r="B7" s="111" t="s">
        <v>6551</v>
      </c>
      <c r="C7" s="808" t="str">
        <f>CHOOSE(jezyk,n!A1008,n!B1008,n!C1008,n!D1006)</f>
        <v xml:space="preserve">Informacje o charakterze i celu gospodarczym zawartych przez jednostkę umów nieuwzględnionych w bilansie w zakresie niezbędnym do oceny ich wpływu na sytuację majątkową, finansową i wynik finansowy </v>
      </c>
      <c r="D7" s="808"/>
      <c r="E7" s="808"/>
      <c r="F7" s="808"/>
      <c r="G7" s="808"/>
      <c r="H7" s="808"/>
      <c r="I7" s="808"/>
      <c r="J7" s="808"/>
      <c r="K7" s="808"/>
    </row>
    <row r="8" spans="1:12">
      <c r="B8" s="111"/>
      <c r="C8" s="418"/>
      <c r="D8" s="418"/>
      <c r="E8" s="418"/>
      <c r="F8" s="418"/>
      <c r="G8" s="418"/>
      <c r="H8" s="418"/>
      <c r="I8" s="418"/>
      <c r="J8" s="418"/>
      <c r="K8" s="418"/>
    </row>
    <row r="9" spans="1:12">
      <c r="C9" s="731" t="str">
        <f>CHOOSE(jezyk,n!A1009,n!B1009,n!C1009,n!D1007)</f>
        <v>Nie wystąpiły takie umowy, zarówno w bieżącym roku obrotowym, jak i w roku poprzednim.</v>
      </c>
      <c r="D9" s="731"/>
      <c r="E9" s="731"/>
      <c r="F9" s="731"/>
      <c r="G9" s="731"/>
      <c r="H9" s="731"/>
      <c r="I9" s="731"/>
      <c r="J9" s="731"/>
      <c r="K9" s="731"/>
      <c r="L9" s="130" t="s">
        <v>6785</v>
      </c>
    </row>
    <row r="11" spans="1:12" ht="12.75" customHeight="1">
      <c r="A11" s="72"/>
      <c r="B11" s="111" t="s">
        <v>6571</v>
      </c>
      <c r="C11" s="725" t="str">
        <f>CHOOSE(jezyk,n!A1012,n!B1012,n!C1012,n!D1009)</f>
        <v>Istotne transakcje zawarte przez spółkę na innych warunkach niż rynkowe ze stronami powiązanymi</v>
      </c>
      <c r="D11" s="725"/>
      <c r="E11" s="725"/>
      <c r="F11" s="725"/>
      <c r="G11" s="725"/>
      <c r="H11" s="725"/>
      <c r="I11" s="725"/>
      <c r="J11" s="725"/>
      <c r="K11" s="725"/>
    </row>
    <row r="13" spans="1:12" ht="12.75" customHeight="1">
      <c r="C13" s="731" t="str">
        <f>IF(GA!F75&lt;&gt;"nie",IF(GA!F73&lt;&gt;"nie",CHOOSE(jezyk,n!A1013,n!B1013,n!C1013,n!D1011),CHOOSE(jezyk,n!A1015,n!B1015,n!C1015,n!D1015)),IF(GA!F73&lt;&gt;"nie",CHOOSE(jezyk,n!A1014,n!B1014,n!C1014,n!D1014),CHOOSE(jezyk,n!A1016,n!B1016,n!C1016,n!D1016)))</f>
        <v>Warunki transakcji zawieranych przez Spółkę ze stronami powiązanymi w roku obrotowym, jak i w roku poprzednim, nie odbiegały od warunków rynkowych.</v>
      </c>
      <c r="D13" s="731"/>
      <c r="E13" s="731"/>
      <c r="F13" s="731"/>
      <c r="G13" s="731"/>
      <c r="H13" s="731"/>
      <c r="I13" s="731"/>
      <c r="J13" s="731"/>
      <c r="K13" s="731"/>
      <c r="L13" s="130" t="s">
        <v>6785</v>
      </c>
    </row>
    <row r="14" spans="1:12">
      <c r="C14" s="731"/>
      <c r="D14" s="731"/>
      <c r="E14" s="731"/>
      <c r="F14" s="731"/>
      <c r="G14" s="731"/>
      <c r="H14" s="731"/>
      <c r="I14" s="731"/>
      <c r="J14" s="731"/>
      <c r="K14" s="731"/>
    </row>
    <row r="16" spans="1:12" ht="12.75" customHeight="1">
      <c r="B16" s="111" t="s">
        <v>6572</v>
      </c>
      <c r="C16" s="725" t="str">
        <f>CHOOSE(jezyk,n!A1017,n!B1017,n!C1017,n!D1012)</f>
        <v>Informacje o przeciętnym zatrudnieniu w roku obrotowym z podziałem na grupy zawodowe</v>
      </c>
      <c r="D16" s="725"/>
      <c r="E16" s="725"/>
      <c r="F16" s="725"/>
      <c r="G16" s="725"/>
      <c r="H16" s="725"/>
      <c r="I16" s="725"/>
      <c r="J16" s="725"/>
      <c r="K16" s="725"/>
    </row>
    <row r="18" spans="2:13" s="149" customFormat="1" ht="18" customHeight="1">
      <c r="B18" s="72"/>
      <c r="C18" s="821" t="str">
        <f>CHOOSE(jezyk,n!A1018,n!B1018,n!C1018,n!D1013)</f>
        <v>Przeciętny stan zatrudnienia w roku obrotowym</v>
      </c>
      <c r="D18" s="821"/>
      <c r="E18" s="821"/>
      <c r="F18" s="821"/>
      <c r="G18" s="821"/>
      <c r="H18" s="400">
        <f>ro</f>
        <v>2024</v>
      </c>
      <c r="I18" s="400">
        <f>IF(LEN(ro)&gt;4,_xlfn.TEXTBEFORE(ro,"/")-1&amp;"/"&amp;_xlfn.TEXTAFTER(ro,"/")-1,ro-1)</f>
        <v>2023</v>
      </c>
      <c r="M18" s="226"/>
    </row>
    <row r="19" spans="2:13" s="149" customFormat="1" ht="18" customHeight="1">
      <c r="B19" s="72"/>
      <c r="C19" s="823" t="str">
        <f>CHOOSE(jezyk,n!A1019,n!B1019,n!C1019,n!D1017)</f>
        <v>pracownicy administracyjni</v>
      </c>
      <c r="D19" s="823"/>
      <c r="E19" s="823"/>
      <c r="F19" s="823"/>
      <c r="G19" s="823"/>
      <c r="H19" s="227"/>
      <c r="I19" s="227"/>
      <c r="L19" s="147" t="s">
        <v>6847</v>
      </c>
    </row>
    <row r="20" spans="2:13" s="149" customFormat="1" ht="18" customHeight="1">
      <c r="B20" s="72"/>
      <c r="C20" s="823" t="str">
        <f>CHOOSE(jezyk,n!A1020,n!B1020,n!C1020,n!D1018)</f>
        <v>pracownicy umysłowi</v>
      </c>
      <c r="D20" s="823"/>
      <c r="E20" s="823"/>
      <c r="F20" s="823"/>
      <c r="G20" s="823"/>
      <c r="H20" s="227"/>
      <c r="I20" s="227"/>
      <c r="L20" s="228"/>
    </row>
    <row r="21" spans="2:13" s="149" customFormat="1" ht="18" customHeight="1">
      <c r="B21" s="72"/>
      <c r="C21" s="823" t="str">
        <f>CHOOSE(jezyk,n!A1021,n!B1021,n!C1021,n!D1019)</f>
        <v>pracownicy fizyczni</v>
      </c>
      <c r="D21" s="823"/>
      <c r="E21" s="823"/>
      <c r="F21" s="823"/>
      <c r="G21" s="823"/>
      <c r="H21" s="227"/>
      <c r="I21" s="227"/>
    </row>
    <row r="22" spans="2:13" s="149" customFormat="1" ht="18" customHeight="1">
      <c r="B22" s="72"/>
      <c r="C22" s="823" t="str">
        <f>CHOOSE(jezyk,n!A1022,n!B1022,n!C1022,n!D1020)</f>
        <v>pozostali</v>
      </c>
      <c r="D22" s="823"/>
      <c r="E22" s="823"/>
      <c r="F22" s="823"/>
      <c r="G22" s="823"/>
      <c r="H22" s="227"/>
      <c r="I22" s="227"/>
    </row>
    <row r="23" spans="2:13" s="149" customFormat="1" ht="18" customHeight="1">
      <c r="B23" s="72"/>
      <c r="H23" s="229">
        <f>SUM(H19:H22)</f>
        <v>0</v>
      </c>
      <c r="I23" s="229">
        <f>SUM(I19:I22)</f>
        <v>0</v>
      </c>
    </row>
    <row r="25" spans="2:13">
      <c r="C25" s="721" t="str">
        <f>IF(GA!F75&lt;&gt;"nie",CHOOSE(jezyk,n!A1023,n!B1023,n!C1023,n!D1021),CHOOSE(jezyk,n!A1024,n!B1024,n!C1024,n!D1024))</f>
        <v>Spółka nie zatrudnia pracowników.</v>
      </c>
      <c r="D25" s="721"/>
      <c r="E25" s="721"/>
      <c r="F25" s="721"/>
      <c r="G25" s="721"/>
      <c r="H25" s="721"/>
      <c r="I25" s="721"/>
      <c r="J25" s="721"/>
      <c r="K25" s="721"/>
      <c r="L25" s="130" t="s">
        <v>6848</v>
      </c>
    </row>
    <row r="26" spans="2:13">
      <c r="C26" s="106"/>
      <c r="D26" s="106"/>
      <c r="E26" s="106"/>
      <c r="F26" s="106"/>
      <c r="G26" s="106"/>
      <c r="H26" s="106"/>
      <c r="I26" s="106"/>
      <c r="J26" s="106"/>
      <c r="K26" s="106"/>
    </row>
    <row r="27" spans="2:13" ht="64.5" customHeight="1">
      <c r="B27" s="111" t="s">
        <v>6574</v>
      </c>
      <c r="C27" s="725" t="str">
        <f>CHOOSE(jezyk,n!A1028,n!B1028,n!C1028,n!D1026)</f>
        <v>Wynagrodzenia, łącznie z wynagrodzeniem z zysku, wypłacone lub należne osobom wchodzącym w skład organów zarządzających, nadzorujących albo administrujących spółek handlowych (dla każdej grupy osobno) za rok obrotowy oraz wszelkie zobowiązania wynikające z emerytur i świadczeń o podobnym charakterze dla byłych członków tych organów lub zobowiązania zaciągnięte w związku z tymi emeryturami, ze wskazaniem kwoty ogółem dla każdej kategorii organu</v>
      </c>
      <c r="D27" s="725"/>
      <c r="E27" s="725"/>
      <c r="F27" s="725"/>
      <c r="G27" s="725"/>
      <c r="H27" s="725"/>
      <c r="I27" s="725"/>
      <c r="J27" s="725"/>
      <c r="K27" s="725"/>
    </row>
    <row r="28" spans="2:13">
      <c r="C28" s="725"/>
      <c r="D28" s="725"/>
      <c r="E28" s="725"/>
      <c r="F28" s="725"/>
      <c r="G28" s="725"/>
      <c r="H28" s="725"/>
      <c r="I28" s="725"/>
      <c r="J28" s="725"/>
      <c r="K28" s="725"/>
    </row>
    <row r="29" spans="2:13" ht="25.5" customHeight="1">
      <c r="C29" s="721" t="str">
        <f>IF(GA!F75&lt;&gt;"nie",IF(GA!F73&lt;&gt;"nie",CHOOSE(jezyk,n!A1029,n!B1029,n!C1029,n!D1027),CHOOSE(jezyk,n!A1031,n!B1031,n!C1031,n!D1031)),IF(GA!F73&lt;&gt;"nie",CHOOSE(jezyk,n!A1030,n!B1030,n!C1030,n!D1030),CHOOSE(jezyk,n!A1032,n!B1032,n!C1032,n!D1032)))</f>
        <v>Spółka nie wypłacała wynagrodzeń członkom organów zarządzających i nadzorujących, zarówno w bieżącym roku obrotowym jak i w roku poprzednim.</v>
      </c>
      <c r="D29" s="721"/>
      <c r="E29" s="721"/>
      <c r="F29" s="721"/>
      <c r="G29" s="721"/>
      <c r="H29" s="721"/>
      <c r="I29" s="721"/>
      <c r="J29" s="721"/>
      <c r="K29" s="721"/>
      <c r="L29" s="130" t="s">
        <v>6849</v>
      </c>
    </row>
    <row r="31" spans="2:13" ht="15" customHeight="1">
      <c r="G31" s="945">
        <f>ro</f>
        <v>2024</v>
      </c>
      <c r="H31" s="946"/>
      <c r="I31" s="945">
        <f>IF(LEN(ro)&gt;4,_xlfn.TEXTBEFORE(ro,"/")-1&amp;"/"&amp;_xlfn.TEXTAFTER(ro,"/")-1,ro-1)</f>
        <v>2023</v>
      </c>
      <c r="J31" s="946"/>
    </row>
    <row r="32" spans="2:13" ht="15" customHeight="1">
      <c r="C32" s="1048" t="str">
        <f>IF(GA!H16=2,CHOOSE(jezyk,n!A1034,n!B1034,n!C1034,n!D1029),CHOOSE(jezyk,n!A1033,n!B1033,n!C1033,n!D1028))</f>
        <v>Wynagrodzenie Członków Zarządu</v>
      </c>
      <c r="D32" s="1048"/>
      <c r="E32" s="1048"/>
      <c r="F32" s="1048"/>
      <c r="G32" s="916"/>
      <c r="H32" s="916"/>
      <c r="I32" s="916"/>
      <c r="J32" s="916"/>
    </row>
    <row r="33" spans="1:13" ht="15" customHeight="1">
      <c r="C33" s="1048" t="str">
        <f>CHOOSE(jezyk,n!A1035,n!B1035,n!C1035,n!D1033)</f>
        <v>Wynagrodzenie Rady Nadzorczej</v>
      </c>
      <c r="D33" s="1048"/>
      <c r="E33" s="1048"/>
      <c r="F33" s="1048"/>
      <c r="G33" s="916"/>
      <c r="H33" s="916"/>
      <c r="I33" s="916"/>
      <c r="J33" s="916"/>
    </row>
    <row r="34" spans="1:13" ht="15" customHeight="1">
      <c r="G34" s="1066">
        <f>SUM(G32:H33)</f>
        <v>0</v>
      </c>
      <c r="H34" s="1066"/>
      <c r="I34" s="1066">
        <f>SUM(I32:J33)</f>
        <v>0</v>
      </c>
      <c r="J34" s="1066"/>
    </row>
    <row r="37" spans="1:13" ht="53.25" customHeight="1">
      <c r="A37" s="72"/>
      <c r="B37" s="111" t="s">
        <v>6779</v>
      </c>
      <c r="C37" s="725" t="str">
        <f>CHOOSE(jezyk,n!A1036,n!B1036,n!C1036,n!D1034)</f>
        <v>Zaliczki, kredyty, pożyczki i świadczenia o podobnym charakterze udzielone osobom wchodzącym w skład organów zarządzających, nadzorujących i administrujących jednostki, ze wskazaniem ich głównych warunków, wysokości oprocentowania oraz wszelkich kwot spłaconych, odpisanych lub umorzonych, a także zobowiązania zaciągnięte w ich imieniu tytułem gwarancji i poręczeń wszelkiego rodzaju, ze wskazaniem kwoty ogółem dla każdego z tych organów</v>
      </c>
      <c r="D37" s="725"/>
      <c r="E37" s="725"/>
      <c r="F37" s="725"/>
      <c r="G37" s="725"/>
      <c r="H37" s="725"/>
      <c r="I37" s="725"/>
      <c r="J37" s="725"/>
      <c r="K37" s="725"/>
    </row>
    <row r="38" spans="1:13">
      <c r="C38" s="725"/>
      <c r="D38" s="725"/>
      <c r="E38" s="725"/>
      <c r="F38" s="725"/>
      <c r="G38" s="725"/>
      <c r="H38" s="725"/>
      <c r="I38" s="725"/>
      <c r="J38" s="725"/>
      <c r="K38" s="725"/>
    </row>
    <row r="39" spans="1:13" ht="27.75" customHeight="1">
      <c r="C39" s="721" t="str">
        <f>IF(GA!F75&lt;&gt;"nie",IF(GA!F73&lt;&gt;"nie",CHOOSE(jezyk,n!A1037,n!B1037,n!C1037,n!D1035),CHOOSE(jezyk,n!A1039,n!B1039,n!C1039,n!D1039)),IF(GA!F73&lt;&gt;"nie",CHOOSE(jezyk,n!A1038,n!B1038,n!C1038,n!D1038),CHOOSE(jezyk,n!A1040,n!B1040,n!C1040,n!D1040)))</f>
        <v>Spółka nie wypłacała w/w świadczeń członkom organów zarządzających i nadzorujących, zarówno w bieżącym roku obrotowym jak i w roku poprzednim.</v>
      </c>
      <c r="D39" s="721"/>
      <c r="E39" s="721"/>
      <c r="F39" s="721"/>
      <c r="G39" s="721"/>
      <c r="H39" s="721"/>
      <c r="I39" s="721"/>
      <c r="J39" s="721"/>
      <c r="K39" s="721"/>
      <c r="L39" s="130" t="s">
        <v>6785</v>
      </c>
    </row>
    <row r="41" spans="1:13" ht="15" customHeight="1">
      <c r="C41" s="921" t="str">
        <f>IF(GA!H16=2,CHOOSE(jezyk,n!A1052,n!B1052,n!C1052,n!D1050),CHOOSE(jezyk,n!A1051,n!B1051,n!C1051,n!D1049))</f>
        <v>Udzielone członkom Zarządu</v>
      </c>
      <c r="D41" s="922"/>
      <c r="E41" s="922"/>
      <c r="F41" s="922"/>
      <c r="G41" s="923"/>
      <c r="H41" s="149"/>
      <c r="I41" s="149"/>
      <c r="J41" s="149"/>
      <c r="K41" s="149"/>
      <c r="M41" s="230"/>
    </row>
    <row r="42" spans="1:13" ht="15" customHeight="1">
      <c r="C42" s="821" t="str">
        <f>CHOOSE(jezyk,n!A1053,n!B1053,n!C1053,n!D1051)</f>
        <v>Tytuł</v>
      </c>
      <c r="D42" s="821"/>
      <c r="E42" s="821"/>
      <c r="F42" s="821" t="str">
        <f>CHOOSE(jezyk,n!A1054,n!B1054,n!C1054,n!D1052)</f>
        <v>Kwota udzielona</v>
      </c>
      <c r="G42" s="821"/>
      <c r="H42" s="821" t="str">
        <f>CHOOSE(jezyk,n!A1055,n!B1055,n!C1055,n!D1053)</f>
        <v>Kwota spłacona</v>
      </c>
      <c r="I42" s="821"/>
      <c r="J42" s="821" t="str">
        <f>CHOOSE(jezyk,n!A1056,n!B1056,n!C1056,n!D1054)</f>
        <v>Stopa procentowa</v>
      </c>
      <c r="K42" s="821"/>
    </row>
    <row r="43" spans="1:13" ht="15" customHeight="1">
      <c r="C43" s="823" t="str">
        <f>CHOOSE(jezyk,n!A1644,n!B1644,n!C1644,n!D1640)</f>
        <v>Pożyczka 1</v>
      </c>
      <c r="D43" s="823"/>
      <c r="E43" s="823"/>
      <c r="F43" s="916"/>
      <c r="G43" s="916"/>
      <c r="H43" s="1061"/>
      <c r="I43" s="1061"/>
      <c r="J43" s="1062"/>
      <c r="K43" s="1062"/>
    </row>
    <row r="44" spans="1:13" ht="15" customHeight="1">
      <c r="C44" s="823" t="str">
        <f>CHOOSE(jezyk,n!A1645,n!B1645,n!C1645,n!D1641)</f>
        <v>Pożyczka 2</v>
      </c>
      <c r="D44" s="823"/>
      <c r="E44" s="823"/>
      <c r="F44" s="916"/>
      <c r="G44" s="916"/>
      <c r="H44" s="1061"/>
      <c r="I44" s="1061"/>
      <c r="J44" s="1062"/>
      <c r="K44" s="1062"/>
    </row>
    <row r="45" spans="1:13" ht="15" customHeight="1">
      <c r="C45" s="231"/>
      <c r="D45" s="231"/>
      <c r="E45" s="231"/>
      <c r="F45" s="806">
        <f>SUM(F43:G44)</f>
        <v>0</v>
      </c>
      <c r="G45" s="806"/>
      <c r="H45" s="149"/>
      <c r="I45" s="149"/>
      <c r="J45" s="149"/>
      <c r="K45" s="149"/>
    </row>
    <row r="46" spans="1:13" ht="15" customHeight="1">
      <c r="C46" s="149"/>
      <c r="D46" s="149"/>
      <c r="E46" s="149"/>
      <c r="F46" s="149"/>
      <c r="G46" s="149"/>
      <c r="H46" s="149"/>
      <c r="I46" s="149"/>
      <c r="J46" s="149"/>
      <c r="K46" s="149"/>
    </row>
    <row r="47" spans="1:13" ht="15" customHeight="1">
      <c r="C47" s="921" t="str">
        <f>CHOOSE(jezyk,n!A1057,n!B1057,n!C1057,n!D1055)</f>
        <v>Udzielone członkom Rady Nadzorczej</v>
      </c>
      <c r="D47" s="922"/>
      <c r="E47" s="922"/>
      <c r="F47" s="922"/>
      <c r="G47" s="923"/>
      <c r="H47" s="149"/>
      <c r="I47" s="149"/>
      <c r="J47" s="149"/>
      <c r="K47" s="149"/>
    </row>
    <row r="48" spans="1:13" ht="15" customHeight="1">
      <c r="C48" s="945" t="str">
        <f>CHOOSE(jezyk,n!A1053,n!B1053,n!C1053,n!D1051)</f>
        <v>Tytuł</v>
      </c>
      <c r="D48" s="1063"/>
      <c r="E48" s="946"/>
      <c r="F48" s="945" t="str">
        <f>CHOOSE(jezyk,n!A1054,n!B1054,n!C1054,n!D1052)</f>
        <v>Kwota udzielona</v>
      </c>
      <c r="G48" s="946"/>
      <c r="H48" s="945" t="str">
        <f>CHOOSE(jezyk,n!A1055,n!B1055,n!C1055,n!D1053)</f>
        <v>Kwota spłacona</v>
      </c>
      <c r="I48" s="946"/>
      <c r="J48" s="945" t="str">
        <f>CHOOSE(jezyk,n!A1056,n!B1056,n!C1056,n!D1054)</f>
        <v>Stopa procentowa</v>
      </c>
      <c r="K48" s="946"/>
    </row>
    <row r="49" spans="1:12" ht="15" customHeight="1">
      <c r="C49" s="823" t="str">
        <f>CHOOSE(jezyk,n!A1644,n!B1644,n!C1644,n!D1640)</f>
        <v>Pożyczka 1</v>
      </c>
      <c r="D49" s="823"/>
      <c r="E49" s="823"/>
      <c r="F49" s="916"/>
      <c r="G49" s="916"/>
      <c r="H49" s="1061"/>
      <c r="I49" s="1061"/>
      <c r="J49" s="1062"/>
      <c r="K49" s="1062"/>
    </row>
    <row r="50" spans="1:12" ht="15" customHeight="1">
      <c r="C50" s="823" t="str">
        <f>CHOOSE(jezyk,n!A1645,n!B1645,n!C1645,n!D1641)</f>
        <v>Pożyczka 2</v>
      </c>
      <c r="D50" s="823"/>
      <c r="E50" s="823"/>
      <c r="F50" s="916"/>
      <c r="G50" s="916"/>
      <c r="H50" s="1061"/>
      <c r="I50" s="1061"/>
      <c r="J50" s="1062"/>
      <c r="K50" s="1062"/>
    </row>
    <row r="51" spans="1:12" ht="15" customHeight="1">
      <c r="C51" s="231"/>
      <c r="D51" s="231"/>
      <c r="E51" s="231"/>
      <c r="F51" s="806">
        <f>SUM(F49:G50)</f>
        <v>0</v>
      </c>
      <c r="G51" s="806"/>
      <c r="H51" s="149"/>
      <c r="I51" s="149"/>
      <c r="J51" s="149"/>
      <c r="K51" s="149"/>
    </row>
    <row r="53" spans="1:12" ht="12.75" customHeight="1">
      <c r="A53" s="72"/>
      <c r="B53" s="111" t="s">
        <v>6780</v>
      </c>
      <c r="C53" s="725" t="str">
        <f>CHOOSE(jezyk,n!A1041,n!B1041,n!C1041,n!D1036)</f>
        <v>Informacja o wynagrodzeniu firmy audytorskiej, wypłaconym lub należnym za rok obrotowy</v>
      </c>
      <c r="D53" s="725"/>
      <c r="E53" s="725"/>
      <c r="F53" s="725"/>
      <c r="G53" s="725"/>
      <c r="H53" s="725"/>
      <c r="I53" s="725"/>
      <c r="J53" s="725"/>
      <c r="K53" s="725"/>
    </row>
    <row r="54" spans="1:12">
      <c r="C54" s="725"/>
      <c r="D54" s="725"/>
      <c r="E54" s="725"/>
      <c r="F54" s="725"/>
      <c r="G54" s="725"/>
      <c r="H54" s="725"/>
      <c r="I54" s="725"/>
      <c r="J54" s="725"/>
      <c r="K54" s="725"/>
    </row>
    <row r="55" spans="1:12" ht="27" customHeight="1">
      <c r="C55" s="721" t="str">
        <f>IF(GA!F75&lt;&gt;"nie",IF(GA!F73&lt;&gt;"nie",CHOOSE(jezyk,n!A1042,n!B1042,n!C1042,n!D1042),CHOOSE(jezyk,n!A1044,n!B1044,n!C1044,n!D1044)),IF(GA!F73&lt;&gt;"nie",CHOOSE(jezyk,n!A1043,n!B1043,n!C1043,n!D1043),CHOOSE(jezyk,n!A1045,n!B1045,n!C1045,n!D1045)))</f>
        <v>Spółka nie korzystała z usług firmy audytorskiej, zarówno w bieżącym roku obrotowym jak i w roku poprzednim.</v>
      </c>
      <c r="D55" s="721"/>
      <c r="E55" s="721"/>
      <c r="F55" s="721"/>
      <c r="G55" s="721"/>
      <c r="H55" s="721"/>
      <c r="I55" s="721"/>
      <c r="J55" s="721"/>
      <c r="K55" s="721"/>
      <c r="L55" s="130" t="s">
        <v>6785</v>
      </c>
    </row>
    <row r="56" spans="1:12">
      <c r="C56" s="251"/>
      <c r="D56" s="251"/>
      <c r="E56" s="251"/>
      <c r="F56" s="251"/>
      <c r="G56" s="251"/>
      <c r="H56" s="251"/>
      <c r="I56" s="251"/>
      <c r="J56" s="251"/>
      <c r="K56" s="251"/>
      <c r="L56" s="130"/>
    </row>
    <row r="57" spans="1:12" ht="15" customHeight="1">
      <c r="G57" s="1064">
        <f>ro</f>
        <v>2024</v>
      </c>
      <c r="H57" s="1065"/>
      <c r="I57" s="1064">
        <f>IF(LEN(ro)&gt;4,_xlfn.TEXTBEFORE(ro,"/")-1&amp;"/"&amp;_xlfn.TEXTAFTER(ro,"/")-1,ro-1)</f>
        <v>2023</v>
      </c>
      <c r="J57" s="1065"/>
    </row>
    <row r="58" spans="1:12" ht="24" customHeight="1">
      <c r="A58" s="72"/>
      <c r="C58" s="895" t="str">
        <f>CHOOSE(jezyk,n!A1046,n!B1046,n!C1046,n!D1041)</f>
        <v>Badanie ustawowe w rozumieniu art. 2 pkt 1 ustawy o biegłych rewidentach</v>
      </c>
      <c r="D58" s="896"/>
      <c r="E58" s="896"/>
      <c r="F58" s="897"/>
      <c r="G58" s="919">
        <v>0</v>
      </c>
      <c r="H58" s="920"/>
      <c r="I58" s="919">
        <v>0</v>
      </c>
      <c r="J58" s="920"/>
      <c r="L58" s="130" t="s">
        <v>6850</v>
      </c>
    </row>
    <row r="59" spans="1:12" ht="27" customHeight="1">
      <c r="A59" s="72"/>
      <c r="C59" s="895" t="str">
        <f>CHOOSE(jezyk,n!A1047,n!B1047,n!C1047,n!D1042)</f>
        <v>Fakultatywne badanie rocznego sprawozdania finansowego</v>
      </c>
      <c r="D59" s="896"/>
      <c r="E59" s="896"/>
      <c r="F59" s="897"/>
      <c r="G59" s="919">
        <v>0</v>
      </c>
      <c r="H59" s="920"/>
      <c r="I59" s="919">
        <v>0</v>
      </c>
      <c r="J59" s="920"/>
      <c r="L59" s="130"/>
    </row>
    <row r="60" spans="1:12" ht="15" customHeight="1">
      <c r="C60" s="895" t="str">
        <f>CHOOSE(jezyk,n!A1048,n!B1048,n!C1048,n!D1046)</f>
        <v>Inne usługi atestacyjne</v>
      </c>
      <c r="D60" s="896"/>
      <c r="E60" s="896"/>
      <c r="F60" s="897"/>
      <c r="G60" s="919">
        <v>0</v>
      </c>
      <c r="H60" s="920"/>
      <c r="I60" s="919">
        <v>0</v>
      </c>
      <c r="J60" s="920"/>
      <c r="L60" s="130" t="s">
        <v>6851</v>
      </c>
    </row>
    <row r="61" spans="1:12" ht="15" customHeight="1">
      <c r="C61" s="895" t="str">
        <f>CHOOSE(jezyk,n!A1049,n!B1049,n!C1049,n!D1047)</f>
        <v>Usługi doradztwa podatkowego</v>
      </c>
      <c r="D61" s="896"/>
      <c r="E61" s="896"/>
      <c r="F61" s="897"/>
      <c r="G61" s="919">
        <v>0</v>
      </c>
      <c r="H61" s="920"/>
      <c r="I61" s="919">
        <v>0</v>
      </c>
      <c r="J61" s="920"/>
      <c r="L61" s="130" t="s">
        <v>6559</v>
      </c>
    </row>
    <row r="62" spans="1:12" ht="15" customHeight="1">
      <c r="C62" s="895" t="str">
        <f>CHOOSE(jezyk,n!A1050,n!B1050,n!C1050,n!D1048)</f>
        <v>Pozostałe usługi</v>
      </c>
      <c r="D62" s="896"/>
      <c r="E62" s="896"/>
      <c r="F62" s="897"/>
      <c r="G62" s="919">
        <v>0</v>
      </c>
      <c r="H62" s="920"/>
      <c r="I62" s="919">
        <v>0</v>
      </c>
      <c r="J62" s="920"/>
    </row>
    <row r="63" spans="1:12" ht="15" customHeight="1">
      <c r="G63" s="917">
        <f>SUM(G58:G62)</f>
        <v>0</v>
      </c>
      <c r="H63" s="918"/>
      <c r="I63" s="917">
        <f>SUM(I58:I62)</f>
        <v>0</v>
      </c>
      <c r="J63" s="918"/>
    </row>
  </sheetData>
  <sheetProtection formatCells="0" formatColumns="0" formatRows="0" insertRows="0" insertHyperlinks="0" sort="0" autoFilter="0" pivotTables="0"/>
  <mergeCells count="79">
    <mergeCell ref="C32:F32"/>
    <mergeCell ref="C38:K38"/>
    <mergeCell ref="C28:K28"/>
    <mergeCell ref="G32:H32"/>
    <mergeCell ref="G31:H31"/>
    <mergeCell ref="I31:J31"/>
    <mergeCell ref="I32:J32"/>
    <mergeCell ref="I33:J33"/>
    <mergeCell ref="C33:F33"/>
    <mergeCell ref="G33:H33"/>
    <mergeCell ref="G34:H34"/>
    <mergeCell ref="I34:J34"/>
    <mergeCell ref="C29:K29"/>
    <mergeCell ref="C37:K37"/>
    <mergeCell ref="C39:K39"/>
    <mergeCell ref="C42:E42"/>
    <mergeCell ref="C43:E43"/>
    <mergeCell ref="F45:G45"/>
    <mergeCell ref="C47:G47"/>
    <mergeCell ref="F43:G43"/>
    <mergeCell ref="C44:E44"/>
    <mergeCell ref="I57:J57"/>
    <mergeCell ref="G57:H57"/>
    <mergeCell ref="F42:G42"/>
    <mergeCell ref="J44:K44"/>
    <mergeCell ref="H48:I48"/>
    <mergeCell ref="J42:K42"/>
    <mergeCell ref="F48:G48"/>
    <mergeCell ref="J48:K48"/>
    <mergeCell ref="F50:G50"/>
    <mergeCell ref="H50:I50"/>
    <mergeCell ref="J50:K50"/>
    <mergeCell ref="F49:G49"/>
    <mergeCell ref="H49:I49"/>
    <mergeCell ref="J49:K49"/>
    <mergeCell ref="C53:K53"/>
    <mergeCell ref="F51:G51"/>
    <mergeCell ref="C55:K55"/>
    <mergeCell ref="C41:G41"/>
    <mergeCell ref="H43:I43"/>
    <mergeCell ref="J43:K43"/>
    <mergeCell ref="F44:G44"/>
    <mergeCell ref="H44:I44"/>
    <mergeCell ref="H42:I42"/>
    <mergeCell ref="C54:K54"/>
    <mergeCell ref="C48:E48"/>
    <mergeCell ref="C50:E50"/>
    <mergeCell ref="C49:E49"/>
    <mergeCell ref="I63:J63"/>
    <mergeCell ref="I61:J61"/>
    <mergeCell ref="I62:J62"/>
    <mergeCell ref="G63:H63"/>
    <mergeCell ref="G60:H60"/>
    <mergeCell ref="G61:H61"/>
    <mergeCell ref="G62:H62"/>
    <mergeCell ref="C60:F60"/>
    <mergeCell ref="C61:F61"/>
    <mergeCell ref="C62:F62"/>
    <mergeCell ref="G58:H58"/>
    <mergeCell ref="I58:J58"/>
    <mergeCell ref="I60:J60"/>
    <mergeCell ref="C59:F59"/>
    <mergeCell ref="G59:H59"/>
    <mergeCell ref="I59:J59"/>
    <mergeCell ref="C58:F58"/>
    <mergeCell ref="B1:L1"/>
    <mergeCell ref="C16:K16"/>
    <mergeCell ref="C27:K27"/>
    <mergeCell ref="C18:G18"/>
    <mergeCell ref="C19:G19"/>
    <mergeCell ref="C20:G20"/>
    <mergeCell ref="C21:G21"/>
    <mergeCell ref="C11:K11"/>
    <mergeCell ref="C9:K9"/>
    <mergeCell ref="C22:G22"/>
    <mergeCell ref="B4:K4"/>
    <mergeCell ref="C25:K25"/>
    <mergeCell ref="C13:K14"/>
    <mergeCell ref="C7:K7"/>
  </mergeCells>
  <phoneticPr fontId="0" type="noConversion"/>
  <hyperlinks>
    <hyperlink ref="B1:L1" location="'spis treści'!A1" display="SPIS TREŚCI" xr:uid="{00000000-0004-0000-2C00-000000000000}"/>
    <hyperlink ref="L1" location="'spis treści'!A1" display="SPIS TREŚCI" xr:uid="{00000000-0004-0000-2C00-000001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5</oddFooter>
  </headerFooter>
  <rowBreaks count="1" manualBreakCount="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26">
    <pageSetUpPr fitToPage="1"/>
  </sheetPr>
  <dimension ref="A1:R60"/>
  <sheetViews>
    <sheetView showGridLines="0" view="pageBreakPreview" zoomScaleNormal="100" zoomScaleSheetLayoutView="100" workbookViewId="0">
      <selection sqref="A1:A1048576"/>
    </sheetView>
  </sheetViews>
  <sheetFormatPr defaultColWidth="9.140625" defaultRowHeight="12.75" customHeight="1"/>
  <cols>
    <col min="1" max="1" width="20" style="66" bestFit="1" customWidth="1"/>
    <col min="2" max="2" width="4.7109375" style="72" customWidth="1"/>
    <col min="3" max="16384" width="9.140625" style="66"/>
  </cols>
  <sheetData>
    <row r="1" spans="1:14" ht="12.75" customHeight="1">
      <c r="B1" s="749" t="s">
        <v>3202</v>
      </c>
      <c r="C1" s="749"/>
      <c r="D1" s="749"/>
      <c r="E1" s="749"/>
      <c r="F1" s="749"/>
      <c r="G1" s="749"/>
      <c r="H1" s="749"/>
      <c r="I1" s="749"/>
      <c r="J1" s="749"/>
      <c r="K1" s="749"/>
      <c r="L1" s="749"/>
    </row>
    <row r="2" spans="1:14" ht="12.75" customHeight="1">
      <c r="B2" s="386" t="str">
        <f>nazwa_spolki</f>
        <v>Rhenus Digital Workforce Sp. z o.o.</v>
      </c>
      <c r="C2" s="390"/>
      <c r="D2" s="390"/>
      <c r="E2" s="390"/>
      <c r="F2" s="390"/>
      <c r="G2" s="390"/>
      <c r="H2" s="390"/>
      <c r="I2" s="390"/>
      <c r="J2" s="390"/>
      <c r="K2" s="390"/>
      <c r="L2" s="390"/>
    </row>
    <row r="3" spans="1:14" ht="45.95" customHeight="1">
      <c r="B3" s="129" t="str">
        <f>tytul</f>
        <v>Sprawozdanie finansowe sporządzone za rok obrotowy 2024</v>
      </c>
      <c r="C3" s="390"/>
      <c r="D3" s="390"/>
      <c r="E3" s="390"/>
      <c r="F3" s="390"/>
      <c r="G3" s="390"/>
      <c r="H3" s="390"/>
      <c r="I3" s="390"/>
      <c r="J3" s="390"/>
      <c r="K3" s="390"/>
      <c r="L3" s="390"/>
    </row>
    <row r="4" spans="1:14" s="178" customFormat="1" ht="21.75" customHeight="1">
      <c r="B4" s="789" t="str">
        <f>"6. "&amp;CHOOSE(jezyk,n!A613,n!B613,n!C613,n!D611)</f>
        <v>6. DODATKOWE INFORMACJE I OBJAŚNIENIA</v>
      </c>
      <c r="C4" s="1202"/>
      <c r="D4" s="1202"/>
      <c r="E4" s="1202"/>
      <c r="F4" s="1202"/>
      <c r="G4" s="1202"/>
      <c r="H4" s="1202"/>
      <c r="I4" s="1202"/>
      <c r="J4" s="1202"/>
      <c r="K4" s="1202"/>
      <c r="L4" s="1202"/>
      <c r="M4" s="158"/>
    </row>
    <row r="6" spans="1:14" ht="12.75" customHeight="1">
      <c r="M6" s="230"/>
    </row>
    <row r="7" spans="1:14" ht="26.25" customHeight="1">
      <c r="B7" s="111" t="s">
        <v>6852</v>
      </c>
      <c r="C7" s="725" t="str">
        <f>CHOOSE(jezyk,n!A1059,n!B1059,n!C1059,n!D1057)</f>
        <v>Przychody i koszty z tytułu błędów popełnionych w latach ubiegłych odnoszonych w roku obrotowym na kapitał (fundusz) własny</v>
      </c>
      <c r="D7" s="725"/>
      <c r="E7" s="725"/>
      <c r="F7" s="725"/>
      <c r="G7" s="725"/>
      <c r="H7" s="725"/>
      <c r="I7" s="725"/>
      <c r="J7" s="725"/>
      <c r="K7" s="725"/>
      <c r="L7" s="725"/>
      <c r="M7" s="232"/>
    </row>
    <row r="8" spans="1:14" ht="12.75" customHeight="1">
      <c r="C8" s="725"/>
      <c r="D8" s="725"/>
      <c r="E8" s="725"/>
      <c r="F8" s="725"/>
      <c r="G8" s="725"/>
      <c r="H8" s="725"/>
      <c r="I8" s="725"/>
      <c r="J8" s="725"/>
      <c r="K8" s="725"/>
      <c r="L8" s="725"/>
    </row>
    <row r="9" spans="1:14" ht="12.75" customHeight="1">
      <c r="C9" s="731" t="str">
        <f>CHOOSE(jezyk,n!A1060,n!B1060,n!C1060,n!D1058)</f>
        <v>W roku obrotowym nie dokonywano korekty błędów lat ubiegłych.</v>
      </c>
      <c r="D9" s="731"/>
      <c r="E9" s="731"/>
      <c r="F9" s="731"/>
      <c r="G9" s="731"/>
      <c r="H9" s="731"/>
      <c r="I9" s="731"/>
      <c r="J9" s="731"/>
      <c r="K9" s="731"/>
      <c r="L9" s="731"/>
      <c r="M9" s="130" t="s">
        <v>6785</v>
      </c>
    </row>
    <row r="11" spans="1:14" s="111" customFormat="1" ht="25.5" customHeight="1">
      <c r="A11" s="72"/>
      <c r="B11" s="111" t="s">
        <v>6853</v>
      </c>
      <c r="C11" s="725" t="str">
        <f>CHOOSE(jezyk,n!A1061,n!B1061,n!C1061,n!D1059)</f>
        <v>Informacje o znaczących zdarzeniach, jakie nastąpiły po dniu bilansowym, a nieuwzględnionych w sprawozdaniu finansowym oraz o ich wpływie na sytuację majątkową, finansową oraz wynik finansowy jednostki</v>
      </c>
      <c r="D11" s="725"/>
      <c r="E11" s="725"/>
      <c r="F11" s="725"/>
      <c r="G11" s="725"/>
      <c r="H11" s="725"/>
      <c r="I11" s="725"/>
      <c r="J11" s="725"/>
      <c r="K11" s="725"/>
      <c r="L11" s="725"/>
      <c r="M11" s="232"/>
      <c r="N11" s="72"/>
    </row>
    <row r="12" spans="1:14" ht="12.75" customHeight="1">
      <c r="C12" s="725"/>
      <c r="D12" s="725"/>
      <c r="E12" s="725"/>
      <c r="F12" s="725"/>
      <c r="G12" s="725"/>
      <c r="H12" s="725"/>
      <c r="I12" s="725"/>
      <c r="J12" s="725"/>
      <c r="K12" s="725"/>
      <c r="L12" s="725"/>
    </row>
    <row r="13" spans="1:14" ht="24" customHeight="1">
      <c r="C13" s="731" t="str">
        <f>CHOOSE(jezyk,n!A1062,n!B1062,n!C1062,n!D1060)</f>
        <v>Po dniu bilansowym nie wystąpiły istotne zdarzenia, mające wpływ na sprawozdanie finansowe za rok obrotowy 2024.</v>
      </c>
      <c r="D13" s="731"/>
      <c r="E13" s="731"/>
      <c r="F13" s="731"/>
      <c r="G13" s="731"/>
      <c r="H13" s="731"/>
      <c r="I13" s="731"/>
      <c r="J13" s="731"/>
      <c r="K13" s="731"/>
      <c r="L13" s="731"/>
      <c r="M13" s="130" t="s">
        <v>6785</v>
      </c>
    </row>
    <row r="14" spans="1:14">
      <c r="M14" s="130"/>
    </row>
    <row r="15" spans="1:14" ht="52.5" customHeight="1">
      <c r="A15" s="72"/>
      <c r="B15" s="111" t="s">
        <v>6854</v>
      </c>
      <c r="C15" s="725" t="str">
        <f>CHOOSE(jezyk,n!A1064,n!B1064,n!C1064,n!D1062)</f>
        <v>Dokonane w roku obrotowym zmiany zasad (polityki) rachunkowości, w tym metody wyceny, jeżeli wywierają one istotny wpływ na sytuację majątkową, finansową i wynik finansowy jednostki, ich przyczyny i spowodowaną zmianami kwotę wyniku finansowego oraz zmian w kapitale (funduszu) własnym, oraz przedstawienie zmiany sposobu sporządzania sprawozdania finansowego wraz z podaniem jej przyczyny</v>
      </c>
      <c r="D15" s="725"/>
      <c r="E15" s="725"/>
      <c r="F15" s="725"/>
      <c r="G15" s="725"/>
      <c r="H15" s="725"/>
      <c r="I15" s="725"/>
      <c r="J15" s="725"/>
      <c r="K15" s="725"/>
      <c r="L15" s="725"/>
      <c r="M15" s="233"/>
    </row>
    <row r="16" spans="1:14" ht="12.75" customHeight="1">
      <c r="B16" s="111"/>
      <c r="C16" s="725"/>
      <c r="D16" s="725"/>
      <c r="E16" s="725"/>
      <c r="F16" s="725"/>
      <c r="G16" s="725"/>
      <c r="H16" s="725"/>
      <c r="I16" s="725"/>
      <c r="J16" s="725"/>
      <c r="K16" s="725"/>
      <c r="L16" s="725"/>
      <c r="M16" s="315"/>
    </row>
    <row r="17" spans="1:13" ht="12.75" customHeight="1">
      <c r="C17" s="731" t="str">
        <f>CHOOSE(jezyk,n!A1065,n!B1065,n!C1065,n!D1063)</f>
        <v>W roku obrotowym 2024 nie dokonywano zmian zasad rachunkowości, w tym metod wyceny.</v>
      </c>
      <c r="D17" s="731"/>
      <c r="E17" s="731"/>
      <c r="F17" s="731"/>
      <c r="G17" s="731"/>
      <c r="H17" s="731"/>
      <c r="I17" s="731"/>
      <c r="J17" s="731"/>
      <c r="K17" s="731"/>
      <c r="L17" s="731"/>
      <c r="M17" s="130" t="s">
        <v>6785</v>
      </c>
    </row>
    <row r="18" spans="1:13" ht="12.75" customHeight="1">
      <c r="B18" s="111"/>
      <c r="C18" s="1118"/>
      <c r="D18" s="756"/>
      <c r="E18" s="756"/>
      <c r="F18" s="756"/>
      <c r="G18" s="756"/>
      <c r="H18" s="756"/>
      <c r="I18" s="756"/>
      <c r="J18" s="756"/>
      <c r="K18" s="756"/>
      <c r="L18" s="756"/>
      <c r="M18" s="756"/>
    </row>
    <row r="19" spans="1:13" ht="27" customHeight="1">
      <c r="B19" s="111" t="s">
        <v>6855</v>
      </c>
      <c r="C19" s="725" t="str">
        <f>CHOOSE(jezyk,n!A1066,n!B1066,n!C1066,n!D1064)</f>
        <v>Informacje liczbowe, wraz z wyjaśnieniem, zapewniające porównywalność danych sprawozdania finansowego za rok poprzedzający ze sprawozdaniem za rok obrotowy</v>
      </c>
      <c r="D19" s="725"/>
      <c r="E19" s="725"/>
      <c r="F19" s="725"/>
      <c r="G19" s="725"/>
      <c r="H19" s="725"/>
      <c r="I19" s="725"/>
      <c r="J19" s="725"/>
      <c r="K19" s="725"/>
      <c r="L19" s="725"/>
      <c r="M19" s="233"/>
    </row>
    <row r="20" spans="1:13" ht="12.75" customHeight="1">
      <c r="C20" s="725"/>
      <c r="D20" s="725"/>
      <c r="E20" s="725"/>
      <c r="F20" s="725"/>
      <c r="G20" s="725"/>
      <c r="H20" s="725"/>
      <c r="I20" s="725"/>
      <c r="J20" s="725"/>
      <c r="K20" s="725"/>
      <c r="L20" s="725"/>
    </row>
    <row r="21" spans="1:13" ht="12.75" customHeight="1">
      <c r="C21" s="731" t="str">
        <f>IF(GA!F75&lt;&gt;"nie",CHOOSE(jezyk,n!A1067,n!B1067,n!C1067,n!D1067),CHOOSE(jezyk,n!A1070,n!B1070,n!C1070,n!D1070))</f>
        <v>Dane za poprzedni rok obrotowy nie uległy zmianie w porówaniu do zatwierdzonego sprawozdania za rok 2023. Nie wprowadzono również żadnych istotnych zmian w metodach prezentacji i wyceny, które mogłyby mieć wpływ na porównywalność danych w sprawozdaniu finansowym.</v>
      </c>
      <c r="D21" s="731"/>
      <c r="E21" s="731"/>
      <c r="F21" s="731"/>
      <c r="G21" s="731"/>
      <c r="H21" s="731"/>
      <c r="I21" s="731"/>
      <c r="J21" s="731"/>
      <c r="K21" s="731"/>
      <c r="L21" s="731"/>
      <c r="M21" s="130" t="s">
        <v>6785</v>
      </c>
    </row>
    <row r="22" spans="1:13" ht="27" customHeight="1">
      <c r="C22" s="731"/>
      <c r="D22" s="731"/>
      <c r="E22" s="731"/>
      <c r="F22" s="731"/>
      <c r="G22" s="731"/>
      <c r="H22" s="731"/>
      <c r="I22" s="731"/>
      <c r="J22" s="731"/>
      <c r="K22" s="731"/>
      <c r="L22" s="731"/>
      <c r="M22" s="130"/>
    </row>
    <row r="23" spans="1:13">
      <c r="C23" s="388"/>
      <c r="D23" s="388"/>
      <c r="E23" s="388"/>
      <c r="F23" s="388"/>
      <c r="G23" s="388"/>
      <c r="H23" s="388"/>
      <c r="I23" s="388"/>
      <c r="J23" s="388"/>
      <c r="K23" s="388"/>
      <c r="L23" s="388"/>
      <c r="M23" s="130"/>
    </row>
    <row r="24" spans="1:13">
      <c r="C24" s="1117" t="s">
        <v>6856</v>
      </c>
      <c r="D24" s="1117"/>
      <c r="E24" s="1117"/>
      <c r="F24" s="1117"/>
      <c r="G24" s="1117"/>
      <c r="H24" s="1117"/>
      <c r="I24" s="1117"/>
      <c r="J24" s="1117"/>
      <c r="K24" s="1117"/>
      <c r="L24" s="1117"/>
      <c r="M24" s="212" t="s">
        <v>6857</v>
      </c>
    </row>
    <row r="25" spans="1:13">
      <c r="C25" s="234"/>
      <c r="D25" s="234"/>
      <c r="E25" s="234"/>
      <c r="F25" s="234"/>
      <c r="G25" s="234"/>
      <c r="H25" s="234"/>
      <c r="I25" s="234"/>
      <c r="J25" s="234"/>
      <c r="K25" s="234"/>
      <c r="L25" s="234"/>
      <c r="M25" s="130"/>
    </row>
    <row r="26" spans="1:13" ht="12.75" customHeight="1">
      <c r="C26" s="731" t="str">
        <f>CHOOSE(jezyk,n!A1069,n!B1069,n!C1069,n!D1067)</f>
        <v>Skorygowane dane finansowe za poprzedni rok obrotowy zostały zaprezentowane jako trzecia kolumna do bilansu i rachunku zysków i strat.</v>
      </c>
      <c r="D26" s="731"/>
      <c r="E26" s="731"/>
      <c r="F26" s="731"/>
      <c r="G26" s="731"/>
      <c r="H26" s="731"/>
      <c r="I26" s="731"/>
      <c r="J26" s="731"/>
      <c r="K26" s="731"/>
      <c r="L26" s="731"/>
    </row>
    <row r="27" spans="1:13" ht="12.75" customHeight="1">
      <c r="C27" s="731"/>
      <c r="D27" s="731"/>
      <c r="E27" s="731"/>
      <c r="F27" s="731"/>
      <c r="G27" s="731"/>
      <c r="H27" s="731"/>
      <c r="I27" s="731"/>
      <c r="J27" s="731"/>
      <c r="K27" s="731"/>
      <c r="L27" s="731"/>
      <c r="M27" s="212" t="s">
        <v>6858</v>
      </c>
    </row>
    <row r="28" spans="1:13" ht="12.75" customHeight="1">
      <c r="C28" s="388"/>
      <c r="D28" s="388"/>
      <c r="E28" s="388"/>
      <c r="F28" s="388"/>
      <c r="G28" s="388"/>
      <c r="H28" s="388"/>
      <c r="I28" s="388"/>
      <c r="J28" s="388"/>
      <c r="K28" s="388"/>
      <c r="L28" s="388"/>
    </row>
    <row r="29" spans="1:13" ht="12.75" customHeight="1">
      <c r="A29" s="72"/>
      <c r="C29" s="731" t="str">
        <f>CHOOSE(jezyk,n!A1068,n!B1068,n!C1068,n!D1066)</f>
        <v>Wpływ wyżej opisanych zdarzeń na sprawozdanie finansowe za rok ubiegły prezentuje poniższa tabela:</v>
      </c>
      <c r="D29" s="731"/>
      <c r="E29" s="731"/>
      <c r="F29" s="731"/>
      <c r="G29" s="731"/>
      <c r="H29" s="731"/>
      <c r="I29" s="731"/>
      <c r="J29" s="731"/>
      <c r="K29" s="731"/>
      <c r="L29" s="731"/>
      <c r="M29" s="130" t="s">
        <v>6859</v>
      </c>
    </row>
    <row r="31" spans="1:13" ht="28.5" customHeight="1">
      <c r="C31" s="821" t="str">
        <f>CHOOSE(jezyk,n!A1071,n!B1071,n!C1071,n!D1068)</f>
        <v>AKTYWA</v>
      </c>
      <c r="D31" s="821"/>
      <c r="E31" s="821"/>
      <c r="F31" s="805" t="str">
        <f>CHOOSE(jezyk,n!A1074,n!B1074,n!C1074,n!D1072)</f>
        <v>Dane zatwierdzone na 31.12.2023</v>
      </c>
      <c r="G31" s="805"/>
      <c r="H31" s="805" t="str">
        <f>CHOOSE(jezyk,n!A1075,n!B1075,n!C1075,n!D1073)</f>
        <v>Przekształcone dane na 31.12.2023</v>
      </c>
      <c r="I31" s="805"/>
      <c r="J31" s="945" t="str">
        <f>CHOOSE(jezyk,n!A1076,n!B1076,n!C1076,n!D1074)</f>
        <v>Zmiana</v>
      </c>
      <c r="K31" s="946"/>
    </row>
    <row r="32" spans="1:13" ht="12.75" customHeight="1">
      <c r="C32" s="1093" t="str">
        <f>CHOOSE(jezyk,n!A293,n!B293,n!C293,n!D293)</f>
        <v>Aktywa trwałe</v>
      </c>
      <c r="D32" s="1094"/>
      <c r="E32" s="1094"/>
      <c r="F32" s="1087">
        <f>Bilans!K10</f>
        <v>0</v>
      </c>
      <c r="G32" s="1088"/>
      <c r="H32" s="1089">
        <f>F32</f>
        <v>0</v>
      </c>
      <c r="I32" s="1090"/>
      <c r="J32" s="1087">
        <f>F32-H32</f>
        <v>0</v>
      </c>
      <c r="K32" s="1088"/>
    </row>
    <row r="33" spans="1:11" ht="12.75" customHeight="1">
      <c r="C33" s="235" t="str">
        <f>CHOOSE(jezyk,n!A1073,n!B1073,n!C1073,n!D1071)</f>
        <v>w tym:</v>
      </c>
      <c r="D33" s="92"/>
      <c r="E33" s="92"/>
      <c r="F33" s="1075"/>
      <c r="G33" s="1076"/>
      <c r="H33" s="1075"/>
      <c r="I33" s="1076"/>
      <c r="J33" s="1075"/>
      <c r="K33" s="1076"/>
    </row>
    <row r="34" spans="1:11" ht="12.75" customHeight="1">
      <c r="A34" s="72"/>
      <c r="C34" s="1077"/>
      <c r="D34" s="1078"/>
      <c r="E34" s="1078"/>
      <c r="F34" s="1080">
        <v>0</v>
      </c>
      <c r="G34" s="1116"/>
      <c r="H34" s="1080">
        <v>0</v>
      </c>
      <c r="I34" s="1116"/>
      <c r="J34" s="1082">
        <f>F34-H34</f>
        <v>0</v>
      </c>
      <c r="K34" s="1083"/>
    </row>
    <row r="35" spans="1:11" ht="12.75" customHeight="1">
      <c r="C35" s="1093" t="str">
        <f>CHOOSE(jezyk,n!A327,n!B327,n!C327,n!D327)</f>
        <v>Aktywa obrotowe</v>
      </c>
      <c r="D35" s="1094"/>
      <c r="E35" s="1094"/>
      <c r="F35" s="1087">
        <f>Bilans!J70</f>
        <v>0</v>
      </c>
      <c r="G35" s="1088"/>
      <c r="H35" s="1089">
        <v>0</v>
      </c>
      <c r="I35" s="1090"/>
      <c r="J35" s="1087">
        <f>H35-F35</f>
        <v>0</v>
      </c>
      <c r="K35" s="1088"/>
    </row>
    <row r="36" spans="1:11" ht="12.75" customHeight="1">
      <c r="C36" s="235" t="str">
        <f>CHOOSE(jezyk,n!A1073,n!B1073,n!C1073,n!D1071)</f>
        <v>w tym:</v>
      </c>
      <c r="D36" s="92"/>
      <c r="E36" s="92"/>
      <c r="F36" s="1075"/>
      <c r="G36" s="1076"/>
      <c r="H36" s="1075"/>
      <c r="I36" s="1076"/>
      <c r="J36" s="1075"/>
      <c r="K36" s="1076"/>
    </row>
    <row r="37" spans="1:11" ht="12.75" customHeight="1">
      <c r="A37" s="72"/>
      <c r="C37" s="1077"/>
      <c r="D37" s="1078"/>
      <c r="E37" s="1078"/>
      <c r="F37" s="1080">
        <v>0</v>
      </c>
      <c r="G37" s="1116"/>
      <c r="H37" s="1080">
        <v>0</v>
      </c>
      <c r="I37" s="1116"/>
      <c r="J37" s="1082">
        <f>H37-F37</f>
        <v>0</v>
      </c>
      <c r="K37" s="1083"/>
    </row>
    <row r="38" spans="1:11" ht="16.5" customHeight="1">
      <c r="C38" s="1067" t="str">
        <f>CHOOSE(jezyk,n!A359,n!B359,n!C359,n!D359)</f>
        <v>Aktywa razem</v>
      </c>
      <c r="D38" s="1068"/>
      <c r="E38" s="1069"/>
      <c r="F38" s="1070">
        <f>F32+F35</f>
        <v>0</v>
      </c>
      <c r="G38" s="1070"/>
      <c r="H38" s="1070">
        <f>H32+H35</f>
        <v>0</v>
      </c>
      <c r="I38" s="1070"/>
      <c r="J38" s="1070">
        <f>F38-H38</f>
        <v>0</v>
      </c>
      <c r="K38" s="1070"/>
    </row>
    <row r="41" spans="1:11" ht="24.75" customHeight="1">
      <c r="C41" s="821" t="str">
        <f>CHOOSE(jezyk,n!A1072,n!B1072,n!C1072,n!A1070)</f>
        <v>PASYWA</v>
      </c>
      <c r="D41" s="821"/>
      <c r="E41" s="821"/>
      <c r="F41" s="805" t="str">
        <f>F31</f>
        <v>Dane zatwierdzone na 31.12.2023</v>
      </c>
      <c r="G41" s="805"/>
      <c r="H41" s="805" t="str">
        <f>H31</f>
        <v>Przekształcone dane na 31.12.2023</v>
      </c>
      <c r="I41" s="805"/>
      <c r="J41" s="945" t="str">
        <f>CHOOSE(jezyk,n!A1076,n!B1076,n!C1076,n!D1074)</f>
        <v>Zmiana</v>
      </c>
      <c r="K41" s="946"/>
    </row>
    <row r="42" spans="1:11" ht="12.75" customHeight="1">
      <c r="C42" s="1093" t="str">
        <f>CHOOSE(jezyk,n!A361,n!B361,n!C361,n!D361)</f>
        <v>Kapitał  (fundusz) własny</v>
      </c>
      <c r="D42" s="1094"/>
      <c r="E42" s="1095"/>
      <c r="F42" s="1087">
        <f>Bilans!T10</f>
        <v>0</v>
      </c>
      <c r="G42" s="1088"/>
      <c r="H42" s="1112">
        <f>F42</f>
        <v>0</v>
      </c>
      <c r="I42" s="1113"/>
      <c r="J42" s="1087">
        <f>H42-F42</f>
        <v>0</v>
      </c>
      <c r="K42" s="1088"/>
    </row>
    <row r="43" spans="1:11" ht="12.75" customHeight="1">
      <c r="C43" s="235" t="str">
        <f>CHOOSE(jezyk,n!A1073,n!B1073,n!C1073,n!D1071)</f>
        <v>w tym:</v>
      </c>
      <c r="D43" s="92"/>
      <c r="E43" s="236"/>
      <c r="F43" s="1114"/>
      <c r="G43" s="1115"/>
      <c r="H43" s="1114"/>
      <c r="I43" s="1115"/>
      <c r="J43" s="1075"/>
      <c r="K43" s="1076"/>
    </row>
    <row r="44" spans="1:11" ht="12.75" customHeight="1">
      <c r="C44" s="1102" t="str">
        <f>CHOOSE(jezyk,n!A372,n!B372,n!C372,n!D372)</f>
        <v>Zysk (strata) z lat ubiegłych</v>
      </c>
      <c r="D44" s="746"/>
      <c r="E44" s="1103"/>
      <c r="F44" s="1096">
        <f>Bilans!T20</f>
        <v>-313.37990000000002</v>
      </c>
      <c r="G44" s="1097"/>
      <c r="H44" s="1100">
        <v>0</v>
      </c>
      <c r="I44" s="1101"/>
      <c r="J44" s="1096">
        <f>F44-H44</f>
        <v>-313.37990000000002</v>
      </c>
      <c r="K44" s="1097"/>
    </row>
    <row r="45" spans="1:11" ht="12.75" customHeight="1">
      <c r="C45" s="1104" t="str">
        <f>CHOOSE(jezyk,n!A373,n!B373,n!C373,n!D373)</f>
        <v>Zysk (strata) netto</v>
      </c>
      <c r="D45" s="1105"/>
      <c r="E45" s="1106"/>
      <c r="F45" s="1096">
        <f>Bilans!T21</f>
        <v>0</v>
      </c>
      <c r="G45" s="1097"/>
      <c r="H45" s="1107">
        <f>F45</f>
        <v>0</v>
      </c>
      <c r="I45" s="1108"/>
      <c r="J45" s="1082">
        <f>H45-F45</f>
        <v>0</v>
      </c>
      <c r="K45" s="1083"/>
    </row>
    <row r="46" spans="1:11" ht="25.5" customHeight="1">
      <c r="A46" s="72"/>
      <c r="C46" s="1109" t="str">
        <f>CHOOSE(jezyk,n!A375,n!B375,n!C375,n!D375)</f>
        <v>Zobowiązania i rezerwy na zobowiązania</v>
      </c>
      <c r="D46" s="1110"/>
      <c r="E46" s="1111"/>
      <c r="F46" s="1087">
        <f>Bilans!T27</f>
        <v>0</v>
      </c>
      <c r="G46" s="1088"/>
      <c r="H46" s="1089">
        <v>0</v>
      </c>
      <c r="I46" s="1090"/>
      <c r="J46" s="1087">
        <f>H46-F46</f>
        <v>0</v>
      </c>
      <c r="K46" s="1088"/>
    </row>
    <row r="47" spans="1:11" ht="12.75" customHeight="1">
      <c r="C47" s="237" t="str">
        <f>CHOOSE(jezyk,n!A1073,n!B1073,n!C1073,n!D1071)</f>
        <v>w tym:</v>
      </c>
      <c r="D47" s="38"/>
      <c r="E47" s="38"/>
      <c r="F47" s="237"/>
      <c r="G47" s="238"/>
      <c r="H47" s="237"/>
      <c r="I47" s="238"/>
      <c r="J47" s="1075"/>
      <c r="K47" s="1076"/>
    </row>
    <row r="48" spans="1:11" ht="12.75" customHeight="1">
      <c r="A48" s="72"/>
      <c r="C48" s="1098"/>
      <c r="D48" s="732"/>
      <c r="E48" s="1099"/>
      <c r="F48" s="1100">
        <v>0</v>
      </c>
      <c r="G48" s="1101"/>
      <c r="H48" s="1100">
        <v>0</v>
      </c>
      <c r="I48" s="1101"/>
      <c r="J48" s="1096">
        <f>H48-F48</f>
        <v>0</v>
      </c>
      <c r="K48" s="1097"/>
    </row>
    <row r="49" spans="1:18" ht="12.75" customHeight="1">
      <c r="A49" s="72"/>
      <c r="C49" s="1098"/>
      <c r="D49" s="732"/>
      <c r="E49" s="1099"/>
      <c r="F49" s="1100"/>
      <c r="G49" s="1101"/>
      <c r="H49" s="1100"/>
      <c r="I49" s="1101"/>
      <c r="J49" s="1096">
        <f>H49-F49</f>
        <v>0</v>
      </c>
      <c r="K49" s="1097"/>
    </row>
    <row r="50" spans="1:18" ht="12.75" customHeight="1">
      <c r="A50" s="72"/>
      <c r="C50" s="1098"/>
      <c r="D50" s="732"/>
      <c r="E50" s="1099"/>
      <c r="F50" s="1100">
        <v>0</v>
      </c>
      <c r="G50" s="1101"/>
      <c r="H50" s="1100">
        <v>0</v>
      </c>
      <c r="I50" s="1101"/>
      <c r="J50" s="1082">
        <f>H50-F50</f>
        <v>0</v>
      </c>
      <c r="K50" s="1083"/>
      <c r="P50" s="1074"/>
      <c r="Q50" s="1074"/>
      <c r="R50" s="1074"/>
    </row>
    <row r="51" spans="1:18" ht="17.25" customHeight="1">
      <c r="C51" s="1067" t="str">
        <f>CHOOSE(jezyk,n!A411,n!B411,n!C411,n!D411)</f>
        <v>Pasywa razem</v>
      </c>
      <c r="D51" s="1068"/>
      <c r="E51" s="1069"/>
      <c r="F51" s="1070">
        <f>F42+F46</f>
        <v>0</v>
      </c>
      <c r="G51" s="1070"/>
      <c r="H51" s="1070">
        <f>H42+H46</f>
        <v>0</v>
      </c>
      <c r="I51" s="1070"/>
      <c r="J51" s="1082">
        <f>H51-F51</f>
        <v>0</v>
      </c>
      <c r="K51" s="1083"/>
    </row>
    <row r="53" spans="1:18" ht="24.75" customHeight="1">
      <c r="C53" s="821" t="str">
        <f>CHOOSE(jezyk,n!A417,n!B417,n!C417,n!D417)</f>
        <v>Rachunek zysków i strat</v>
      </c>
      <c r="D53" s="821"/>
      <c r="E53" s="821"/>
      <c r="F53" s="805" t="str">
        <f>CHOOSE(jezyk,n!A1077,n!B1077,n!C1077,n!D1075)</f>
        <v>Dane zatwierdzone za rok 2023</v>
      </c>
      <c r="G53" s="805"/>
      <c r="H53" s="805" t="str">
        <f>CHOOSE(jezyk,n!A1078,n!B1078,n!C1078,n!D1076)</f>
        <v>Przekształcone dane za rok 2023</v>
      </c>
      <c r="I53" s="805"/>
      <c r="J53" s="945" t="str">
        <f>CHOOSE(jezyk,n!A1076,n!B1076,n!C1076,n!D1074)</f>
        <v>Zmiana</v>
      </c>
      <c r="K53" s="946"/>
    </row>
    <row r="54" spans="1:18" ht="12.75" customHeight="1">
      <c r="C54" s="1093" t="str">
        <f>CHOOSE(jezyk,n!A1079,n!B1079,n!C1079,n!D1077)</f>
        <v>Przychody ze sprzedaży</v>
      </c>
      <c r="D54" s="1094"/>
      <c r="E54" s="1095"/>
      <c r="F54" s="1087">
        <f>'RZiS Por. '!F12</f>
        <v>0</v>
      </c>
      <c r="G54" s="1088"/>
      <c r="H54" s="1089">
        <f>F54</f>
        <v>0</v>
      </c>
      <c r="I54" s="1090"/>
      <c r="J54" s="1087">
        <f>H54-F54</f>
        <v>0</v>
      </c>
      <c r="K54" s="1088"/>
    </row>
    <row r="55" spans="1:18" ht="12.75" customHeight="1">
      <c r="C55" s="235" t="str">
        <f>CHOOSE(jezyk,n!A1073,n!B1073,n!C1073,n!D1071)</f>
        <v>w tym:</v>
      </c>
      <c r="D55" s="92"/>
      <c r="E55" s="236"/>
      <c r="F55" s="1091"/>
      <c r="G55" s="1092"/>
      <c r="H55" s="1091"/>
      <c r="I55" s="1092"/>
      <c r="J55" s="1075"/>
      <c r="K55" s="1076"/>
    </row>
    <row r="56" spans="1:18" ht="12.75" customHeight="1">
      <c r="A56" s="72"/>
      <c r="C56" s="1077"/>
      <c r="D56" s="1078"/>
      <c r="E56" s="1079"/>
      <c r="F56" s="1080">
        <f>Bilans!T33</f>
        <v>0</v>
      </c>
      <c r="G56" s="1081"/>
      <c r="H56" s="1080">
        <f>F56</f>
        <v>0</v>
      </c>
      <c r="I56" s="1081"/>
      <c r="J56" s="1082">
        <f>H56-F56</f>
        <v>0</v>
      </c>
      <c r="K56" s="1083"/>
    </row>
    <row r="57" spans="1:18" ht="12.75" customHeight="1">
      <c r="A57" s="72"/>
      <c r="C57" s="1084" t="str">
        <f>CHOOSE(jezyk,n!A426,n!B426,n!C426,n!D426)</f>
        <v>Koszty działalności operacyjnej</v>
      </c>
      <c r="D57" s="1085"/>
      <c r="E57" s="1086"/>
      <c r="F57" s="1087">
        <f>'RZiS Por. '!F20</f>
        <v>395.48</v>
      </c>
      <c r="G57" s="1088"/>
      <c r="H57" s="1089">
        <v>0</v>
      </c>
      <c r="I57" s="1090"/>
      <c r="J57" s="1087">
        <f>H57-F57</f>
        <v>-395.48</v>
      </c>
      <c r="K57" s="1088"/>
    </row>
    <row r="58" spans="1:18" ht="12.75" customHeight="1">
      <c r="C58" s="235" t="str">
        <f>CHOOSE(jezyk,n!A1073,n!B1073,n!C1073,n!D1071)</f>
        <v>w tym:</v>
      </c>
      <c r="D58" s="92"/>
      <c r="E58" s="92"/>
      <c r="F58" s="235"/>
      <c r="G58" s="236"/>
      <c r="H58" s="235"/>
      <c r="I58" s="236"/>
      <c r="J58" s="1075"/>
      <c r="K58" s="1076"/>
    </row>
    <row r="59" spans="1:18" ht="12.75" customHeight="1">
      <c r="A59" s="72"/>
      <c r="C59" s="1077"/>
      <c r="D59" s="1078"/>
      <c r="E59" s="1079"/>
      <c r="F59" s="1080">
        <v>0</v>
      </c>
      <c r="G59" s="1081"/>
      <c r="H59" s="1080">
        <v>0</v>
      </c>
      <c r="I59" s="1081"/>
      <c r="J59" s="1082">
        <f>H59-F59</f>
        <v>0</v>
      </c>
      <c r="K59" s="1083"/>
    </row>
    <row r="60" spans="1:18" s="149" customFormat="1" ht="20.25" customHeight="1">
      <c r="B60" s="72"/>
      <c r="C60" s="1067" t="str">
        <f>CHOOSE(jezyk,n!A373,n!B373,n!C373,n!D373)</f>
        <v>Zysk (strata) netto</v>
      </c>
      <c r="D60" s="1068"/>
      <c r="E60" s="1069"/>
      <c r="F60" s="1070">
        <f>'RZiS Por. '!F81</f>
        <v>-313.37990000000002</v>
      </c>
      <c r="G60" s="1070"/>
      <c r="H60" s="1071">
        <f>H54+H57</f>
        <v>0</v>
      </c>
      <c r="I60" s="1071"/>
      <c r="J60" s="1072">
        <f>H60-F60</f>
        <v>313.37990000000002</v>
      </c>
      <c r="K60" s="1073"/>
    </row>
  </sheetData>
  <mergeCells count="117">
    <mergeCell ref="B1:L1"/>
    <mergeCell ref="C18:M18"/>
    <mergeCell ref="C7:L7"/>
    <mergeCell ref="C17:L17"/>
    <mergeCell ref="C15:L15"/>
    <mergeCell ref="C11:L11"/>
    <mergeCell ref="C9:L9"/>
    <mergeCell ref="C13:L13"/>
    <mergeCell ref="C8:L8"/>
    <mergeCell ref="C12:L12"/>
    <mergeCell ref="C16:L16"/>
    <mergeCell ref="C29:L29"/>
    <mergeCell ref="C31:E31"/>
    <mergeCell ref="F31:G31"/>
    <mergeCell ref="H31:I31"/>
    <mergeCell ref="J31:K31"/>
    <mergeCell ref="B4:L4"/>
    <mergeCell ref="C19:L19"/>
    <mergeCell ref="C21:L22"/>
    <mergeCell ref="C24:L24"/>
    <mergeCell ref="C26:L27"/>
    <mergeCell ref="C20:L20"/>
    <mergeCell ref="J36:K36"/>
    <mergeCell ref="C37:E37"/>
    <mergeCell ref="F37:G37"/>
    <mergeCell ref="H37:I37"/>
    <mergeCell ref="J37:K37"/>
    <mergeCell ref="F36:G36"/>
    <mergeCell ref="H36:I36"/>
    <mergeCell ref="C32:E32"/>
    <mergeCell ref="F32:G32"/>
    <mergeCell ref="H32:I32"/>
    <mergeCell ref="J32:K32"/>
    <mergeCell ref="C35:E35"/>
    <mergeCell ref="F35:G35"/>
    <mergeCell ref="H35:I35"/>
    <mergeCell ref="J35:K35"/>
    <mergeCell ref="C34:E34"/>
    <mergeCell ref="J33:K33"/>
    <mergeCell ref="F34:G34"/>
    <mergeCell ref="H34:I34"/>
    <mergeCell ref="J34:K34"/>
    <mergeCell ref="F33:G33"/>
    <mergeCell ref="H33:I33"/>
    <mergeCell ref="C42:E42"/>
    <mergeCell ref="F42:G42"/>
    <mergeCell ref="H42:I42"/>
    <mergeCell ref="J42:K42"/>
    <mergeCell ref="J43:K43"/>
    <mergeCell ref="C38:E38"/>
    <mergeCell ref="F38:G38"/>
    <mergeCell ref="H38:I38"/>
    <mergeCell ref="J38:K38"/>
    <mergeCell ref="C41:E41"/>
    <mergeCell ref="F41:G41"/>
    <mergeCell ref="H41:I41"/>
    <mergeCell ref="J41:K41"/>
    <mergeCell ref="F43:G43"/>
    <mergeCell ref="H43:I43"/>
    <mergeCell ref="F48:G48"/>
    <mergeCell ref="H48:I48"/>
    <mergeCell ref="J48:K48"/>
    <mergeCell ref="C45:E45"/>
    <mergeCell ref="F45:G45"/>
    <mergeCell ref="H45:I45"/>
    <mergeCell ref="J45:K45"/>
    <mergeCell ref="C46:E46"/>
    <mergeCell ref="F46:G46"/>
    <mergeCell ref="H46:I46"/>
    <mergeCell ref="J53:K53"/>
    <mergeCell ref="C54:E54"/>
    <mergeCell ref="F54:G54"/>
    <mergeCell ref="H54:I54"/>
    <mergeCell ref="J54:K54"/>
    <mergeCell ref="J44:K44"/>
    <mergeCell ref="C49:E49"/>
    <mergeCell ref="F49:G49"/>
    <mergeCell ref="H49:I49"/>
    <mergeCell ref="J49:K49"/>
    <mergeCell ref="C44:E44"/>
    <mergeCell ref="J46:K46"/>
    <mergeCell ref="F44:G44"/>
    <mergeCell ref="H44:I44"/>
    <mergeCell ref="C50:E50"/>
    <mergeCell ref="F50:G50"/>
    <mergeCell ref="H50:I50"/>
    <mergeCell ref="J50:K50"/>
    <mergeCell ref="C51:E51"/>
    <mergeCell ref="F51:G51"/>
    <mergeCell ref="H51:I51"/>
    <mergeCell ref="J51:K51"/>
    <mergeCell ref="J47:K47"/>
    <mergeCell ref="C48:E48"/>
    <mergeCell ref="C60:E60"/>
    <mergeCell ref="F60:G60"/>
    <mergeCell ref="H60:I60"/>
    <mergeCell ref="J60:K60"/>
    <mergeCell ref="P50:R50"/>
    <mergeCell ref="J58:K58"/>
    <mergeCell ref="C59:E59"/>
    <mergeCell ref="F59:G59"/>
    <mergeCell ref="H59:I59"/>
    <mergeCell ref="J59:K59"/>
    <mergeCell ref="C56:E56"/>
    <mergeCell ref="F56:G56"/>
    <mergeCell ref="H56:I56"/>
    <mergeCell ref="J56:K56"/>
    <mergeCell ref="C57:E57"/>
    <mergeCell ref="F57:G57"/>
    <mergeCell ref="H57:I57"/>
    <mergeCell ref="J57:K57"/>
    <mergeCell ref="F55:G55"/>
    <mergeCell ref="H55:I55"/>
    <mergeCell ref="J55:K55"/>
    <mergeCell ref="C53:E53"/>
    <mergeCell ref="F53:G53"/>
    <mergeCell ref="H53:I53"/>
  </mergeCells>
  <phoneticPr fontId="0" type="noConversion"/>
  <hyperlinks>
    <hyperlink ref="B1:L1" location="'spis treści'!A1" display="SPIS TREŚCI" xr:uid="{00000000-0004-0000-2D00-000000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6</oddFooter>
  </headerFooter>
  <rowBreaks count="1" manualBreakCount="1">
    <brk id="39" min="1"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27">
    <pageSetUpPr fitToPage="1"/>
  </sheetPr>
  <dimension ref="A1:W132"/>
  <sheetViews>
    <sheetView showGridLines="0" view="pageBreakPreview" zoomScaleNormal="75" zoomScaleSheetLayoutView="100" workbookViewId="0">
      <selection sqref="A1:A1048576"/>
    </sheetView>
  </sheetViews>
  <sheetFormatPr defaultColWidth="9.140625" defaultRowHeight="12.75"/>
  <cols>
    <col min="1" max="1" width="20" style="66" bestFit="1" customWidth="1"/>
    <col min="2" max="2" width="4.7109375" style="72" customWidth="1"/>
    <col min="3" max="4" width="11.5703125" style="66" customWidth="1"/>
    <col min="5" max="5" width="10" style="66" customWidth="1"/>
    <col min="6" max="6" width="12.140625" style="66" customWidth="1"/>
    <col min="7" max="7" width="13.28515625" style="66" customWidth="1"/>
    <col min="8" max="8" width="13.140625" style="66" customWidth="1"/>
    <col min="9" max="9" width="16.85546875" style="66" customWidth="1"/>
    <col min="10" max="10" width="0.7109375" style="66" customWidth="1"/>
    <col min="11" max="11" width="0.42578125" style="66" customWidth="1"/>
    <col min="12" max="12" width="0.85546875" style="66" customWidth="1"/>
    <col min="13" max="13" width="3.85546875" style="66" customWidth="1"/>
    <col min="14" max="15" width="9.140625" style="66"/>
    <col min="16" max="16" width="13.28515625" style="66" customWidth="1"/>
    <col min="17" max="17" width="15.28515625" style="66" customWidth="1"/>
    <col min="18" max="16384" width="9.140625" style="66"/>
  </cols>
  <sheetData>
    <row r="1" spans="2:14">
      <c r="B1" s="749" t="s">
        <v>3202</v>
      </c>
      <c r="C1" s="749"/>
      <c r="D1" s="749"/>
      <c r="E1" s="749"/>
      <c r="F1" s="749"/>
      <c r="G1" s="749"/>
      <c r="H1" s="749"/>
      <c r="I1" s="749"/>
      <c r="J1" s="749"/>
      <c r="K1" s="749"/>
      <c r="L1" s="749"/>
      <c r="M1" s="749"/>
    </row>
    <row r="2" spans="2:14">
      <c r="B2" s="386" t="str">
        <f>nazwa_spolki</f>
        <v>Rhenus Digital Workforce Sp. z o.o.</v>
      </c>
      <c r="C2" s="390"/>
      <c r="D2" s="390"/>
      <c r="E2" s="390"/>
      <c r="F2" s="390"/>
      <c r="G2" s="390"/>
      <c r="H2" s="390"/>
      <c r="I2" s="390"/>
      <c r="J2" s="390"/>
      <c r="K2" s="390"/>
      <c r="L2" s="390"/>
      <c r="M2" s="390"/>
    </row>
    <row r="3" spans="2:14" ht="45.95" customHeight="1">
      <c r="B3" s="129" t="str">
        <f>tytul</f>
        <v>Sprawozdanie finansowe sporządzone za rok obrotowy 2024</v>
      </c>
      <c r="C3" s="390"/>
      <c r="D3" s="390"/>
      <c r="E3" s="390"/>
      <c r="F3" s="390"/>
      <c r="G3" s="390"/>
      <c r="H3" s="390"/>
      <c r="I3" s="390"/>
      <c r="J3" s="390"/>
      <c r="K3" s="390"/>
      <c r="L3" s="390"/>
      <c r="M3" s="390"/>
    </row>
    <row r="4" spans="2:14" s="178" customFormat="1" ht="20.25">
      <c r="B4" s="789" t="str">
        <f>"7. "&amp;CHOOSE(jezyk,n!A613,n!B613,n!C613,n!D611)</f>
        <v>7. DODATKOWE INFORMACJE I OBJAŚNIENIA</v>
      </c>
      <c r="C4" s="1202"/>
      <c r="D4" s="1202"/>
      <c r="E4" s="1202"/>
      <c r="F4" s="1202"/>
      <c r="G4" s="1202"/>
      <c r="H4" s="1202"/>
      <c r="I4" s="1202"/>
      <c r="J4" s="1202"/>
      <c r="K4" s="1202"/>
      <c r="L4" s="1202"/>
      <c r="M4" s="1202"/>
    </row>
    <row r="5" spans="2:14">
      <c r="C5" s="392"/>
      <c r="D5" s="392"/>
      <c r="E5" s="392"/>
      <c r="F5" s="392"/>
      <c r="G5" s="392"/>
      <c r="H5" s="392"/>
      <c r="I5" s="1119"/>
      <c r="J5" s="756"/>
      <c r="K5" s="756"/>
      <c r="L5" s="1194"/>
      <c r="M5" s="1194"/>
    </row>
    <row r="6" spans="2:14" s="72" customFormat="1" ht="12.75" customHeight="1">
      <c r="B6" s="111" t="s">
        <v>6860</v>
      </c>
      <c r="C6" s="1130" t="str">
        <f>CHOOSE(jezyk,n!A1081,n!B1081,n!C1081,n!D1079)</f>
        <v>Wspólne przedsięwzięcia, które nie podlegają konsolidacji</v>
      </c>
      <c r="D6" s="767"/>
      <c r="E6" s="767"/>
      <c r="F6" s="767"/>
      <c r="G6" s="767"/>
      <c r="H6" s="767"/>
      <c r="I6" s="767"/>
      <c r="J6" s="767"/>
      <c r="K6" s="767"/>
      <c r="L6" s="767"/>
      <c r="M6" s="767"/>
    </row>
    <row r="7" spans="2:14" ht="12.75" customHeight="1">
      <c r="B7" s="111"/>
      <c r="C7" s="377"/>
      <c r="D7" s="315"/>
      <c r="E7" s="315"/>
      <c r="F7" s="315"/>
      <c r="G7" s="315"/>
      <c r="H7" s="315"/>
      <c r="I7" s="1119"/>
      <c r="J7" s="756"/>
      <c r="K7" s="756"/>
      <c r="L7" s="1194"/>
      <c r="M7" s="1194"/>
    </row>
    <row r="8" spans="2:14">
      <c r="C8" s="731" t="str">
        <f>CHOOSE(jezyk,n!A1131,n!B1131,n!C1131,n!D1129)</f>
        <v>Nie dotyczy</v>
      </c>
      <c r="D8" s="731"/>
      <c r="E8" s="731"/>
      <c r="F8" s="731"/>
      <c r="G8" s="731"/>
      <c r="H8" s="731"/>
      <c r="I8" s="731"/>
      <c r="J8" s="731"/>
      <c r="K8" s="731"/>
      <c r="L8" s="731"/>
      <c r="M8" s="731"/>
      <c r="N8" s="130" t="s">
        <v>6785</v>
      </c>
    </row>
    <row r="9" spans="2:14">
      <c r="C9" s="399"/>
      <c r="D9" s="399"/>
      <c r="E9" s="399"/>
      <c r="F9" s="399"/>
      <c r="G9" s="399"/>
      <c r="H9" s="399"/>
      <c r="I9" s="399"/>
      <c r="J9" s="399"/>
      <c r="K9" s="399"/>
      <c r="L9" s="399"/>
      <c r="M9" s="399"/>
    </row>
    <row r="10" spans="2:14" s="149" customFormat="1" ht="19.5" customHeight="1">
      <c r="C10" s="185"/>
      <c r="D10" s="185"/>
      <c r="E10" s="185"/>
      <c r="F10" s="805" t="str">
        <f>CHOOSE(jezyk,n!A1091,n!B1091,n!C1091,n!D1089)</f>
        <v>Opis szczegółowy</v>
      </c>
      <c r="G10" s="805"/>
      <c r="H10" s="805"/>
      <c r="I10" s="395" t="str">
        <f>CHOOSE(jezyk,n!A1092,n!B1092,n!C1092,n!D1090)</f>
        <v>Kwota</v>
      </c>
      <c r="J10" s="185"/>
      <c r="K10" s="185"/>
      <c r="L10" s="185"/>
      <c r="M10" s="185"/>
    </row>
    <row r="11" spans="2:14" ht="27.75" customHeight="1">
      <c r="C11" s="822" t="str">
        <f>CHOOSE(jezyk,n!A1082,n!B1082,n!C1082,n!D1080)</f>
        <v>Nazwa i zakres działalności wspólnego przedsięwzięcia</v>
      </c>
      <c r="D11" s="822"/>
      <c r="E11" s="822"/>
      <c r="F11" s="823"/>
      <c r="G11" s="823"/>
      <c r="H11" s="823"/>
      <c r="I11" s="406"/>
    </row>
    <row r="12" spans="2:14" ht="27" customHeight="1">
      <c r="C12" s="822" t="str">
        <f>CHOOSE(jezyk,n!A1083,n!B1083,n!C1083,n!D1081)</f>
        <v>Procentowy udział jednostki w przedsięwzięciu</v>
      </c>
      <c r="D12" s="822"/>
      <c r="E12" s="822"/>
      <c r="F12" s="823"/>
      <c r="G12" s="823"/>
      <c r="H12" s="823"/>
      <c r="I12" s="406"/>
    </row>
    <row r="13" spans="2:14" ht="51" customHeight="1">
      <c r="C13" s="822" t="str">
        <f>CHOOSE(jezyk,n!A1084,n!B1084,n!C1084,n!D1082)</f>
        <v>Część wspólnie kontrolowanych rzeczowych składników aktywów trwałych oraz wartości niematerialnych i prawnych</v>
      </c>
      <c r="D13" s="822"/>
      <c r="E13" s="822"/>
      <c r="F13" s="823"/>
      <c r="G13" s="823"/>
      <c r="H13" s="823"/>
      <c r="I13" s="406"/>
    </row>
    <row r="14" spans="2:14">
      <c r="C14" s="822" t="str">
        <f>CHOOSE(jezyk,n!A1085,n!B1085,n!C1085,n!D1083)</f>
        <v>Zobowiązania zaciągnięte na potrzeby przedsięwzięcia lub zakup używanych rzeczowych składników aktywów trwałych</v>
      </c>
      <c r="D14" s="822"/>
      <c r="E14" s="822"/>
      <c r="F14" s="823"/>
      <c r="G14" s="823"/>
      <c r="H14" s="823"/>
      <c r="I14" s="406"/>
    </row>
    <row r="15" spans="2:14" ht="25.5" customHeight="1">
      <c r="C15" s="822" t="str">
        <f>CHOOSE(jezyk,n!A1086,n!B1086,n!C1086,n!D1084)</f>
        <v>Część zobowiązań wspólnie zaciągniętych</v>
      </c>
      <c r="D15" s="822"/>
      <c r="E15" s="822"/>
      <c r="F15" s="823"/>
      <c r="G15" s="823"/>
      <c r="H15" s="823"/>
      <c r="I15" s="406"/>
    </row>
    <row r="16" spans="2:14" ht="27" customHeight="1">
      <c r="C16" s="822" t="str">
        <f>CHOOSE(jezyk,n!A1087,n!B1087,n!C1087,n!D1085)</f>
        <v>Przychody uzyskane ze wspólnego przedsięwzięcia</v>
      </c>
      <c r="D16" s="822"/>
      <c r="E16" s="822"/>
      <c r="F16" s="823"/>
      <c r="G16" s="823"/>
      <c r="H16" s="823"/>
      <c r="I16" s="406"/>
    </row>
    <row r="17" spans="1:21" ht="27" customHeight="1">
      <c r="C17" s="822" t="str">
        <f>CHOOSE(jezyk,n!A1088,n!B1088,n!C1088,n!D1086)</f>
        <v>Koszty związane ze wspólnym przedsięwzięciem</v>
      </c>
      <c r="D17" s="822"/>
      <c r="E17" s="822"/>
      <c r="F17" s="823"/>
      <c r="G17" s="823"/>
      <c r="H17" s="823"/>
      <c r="I17" s="406"/>
    </row>
    <row r="18" spans="1:21" ht="28.5" customHeight="1">
      <c r="C18" s="822" t="str">
        <f>CHOOSE(jezyk,n!A1090,n!B1090,n!C1090,n!D1088)</f>
        <v>Zobowiązania inwestycyjne dotyczące wspólnego przedsięwzięcia</v>
      </c>
      <c r="D18" s="822"/>
      <c r="E18" s="822"/>
      <c r="F18" s="823"/>
      <c r="G18" s="823"/>
      <c r="H18" s="823"/>
      <c r="I18" s="406"/>
    </row>
    <row r="19" spans="1:21">
      <c r="I19" s="133"/>
      <c r="J19" s="315"/>
      <c r="K19" s="315"/>
    </row>
    <row r="20" spans="1:21">
      <c r="B20" s="111" t="s">
        <v>6861</v>
      </c>
      <c r="C20" s="1130" t="str">
        <f>CHOOSE(jezyk,n!A1093,n!B1093,n!C1093,n!D1091)</f>
        <v>Informacje o transakcjach z jednostkami powiązanymi</v>
      </c>
      <c r="D20" s="767"/>
      <c r="E20" s="767"/>
      <c r="F20" s="767"/>
      <c r="G20" s="767"/>
      <c r="H20" s="767"/>
      <c r="I20" s="767"/>
      <c r="J20" s="767"/>
      <c r="K20" s="767"/>
      <c r="L20" s="767"/>
      <c r="M20" s="767"/>
      <c r="N20" s="130" t="s">
        <v>6862</v>
      </c>
    </row>
    <row r="21" spans="1:21">
      <c r="C21" s="1118"/>
      <c r="D21" s="756"/>
      <c r="E21" s="756"/>
      <c r="F21" s="756"/>
      <c r="G21" s="756"/>
      <c r="H21" s="756"/>
      <c r="I21" s="756"/>
      <c r="J21" s="756"/>
      <c r="K21" s="756"/>
      <c r="L21" s="756"/>
      <c r="M21" s="756"/>
      <c r="N21" s="130"/>
    </row>
    <row r="22" spans="1:21" ht="26.25" customHeight="1">
      <c r="C22" s="721" t="str">
        <f>CHOOSE(jezyk,n!A1099,n!B1099,n!C1099,n!D1099)</f>
        <v>Zarówno w roku obrotowym 2024, jak i w roku poprzednim Spółka nie przeprowadzała transakcji z podmiotami powiązanymi.</v>
      </c>
      <c r="D22" s="721"/>
      <c r="E22" s="721"/>
      <c r="F22" s="721"/>
      <c r="G22" s="721"/>
      <c r="H22" s="721"/>
      <c r="I22" s="721"/>
      <c r="J22" s="721"/>
      <c r="K22" s="721"/>
      <c r="L22" s="721"/>
      <c r="M22" s="721"/>
      <c r="N22" s="130"/>
    </row>
    <row r="23" spans="1:21">
      <c r="C23" s="377"/>
      <c r="D23" s="315"/>
      <c r="E23" s="315"/>
      <c r="F23" s="315"/>
      <c r="G23" s="315"/>
      <c r="H23" s="315"/>
      <c r="I23" s="315"/>
      <c r="J23" s="315"/>
      <c r="K23" s="315"/>
      <c r="L23" s="315"/>
      <c r="M23" s="315"/>
      <c r="N23" s="130"/>
    </row>
    <row r="24" spans="1:21" ht="15" customHeight="1">
      <c r="C24" s="1128" t="str">
        <f>CHOOSE(jezyk,n!A616,n!B616,n!C616,n!D614)</f>
        <v>Rok obrotowy 2024</v>
      </c>
      <c r="D24" s="1129"/>
      <c r="E24" s="315"/>
      <c r="F24" s="315"/>
      <c r="G24" s="315"/>
      <c r="H24" s="315"/>
      <c r="I24" s="315"/>
      <c r="J24" s="315"/>
      <c r="K24" s="315"/>
      <c r="L24" s="315"/>
      <c r="M24" s="315"/>
      <c r="N24" s="130"/>
    </row>
    <row r="25" spans="1:21">
      <c r="C25" s="239"/>
      <c r="D25" s="239"/>
      <c r="E25" s="315"/>
      <c r="F25" s="315"/>
      <c r="G25" s="315"/>
      <c r="H25" s="315"/>
      <c r="I25" s="315"/>
      <c r="J25" s="315"/>
      <c r="K25" s="315"/>
      <c r="L25" s="315"/>
      <c r="M25" s="315"/>
      <c r="N25" s="130"/>
    </row>
    <row r="26" spans="1:21">
      <c r="C26" s="721" t="str">
        <f>CHOOSE(jezyk,n!A1094,n!B1094,n!C1094,n!D1092)</f>
        <v>W roku obrotowym 2024 Spółka nie przeprowadzała transakcji z podmiotami powiązanymi.</v>
      </c>
      <c r="D26" s="721"/>
      <c r="E26" s="721"/>
      <c r="F26" s="721"/>
      <c r="G26" s="721"/>
      <c r="H26" s="721"/>
      <c r="I26" s="721"/>
      <c r="J26" s="721"/>
      <c r="K26" s="721"/>
      <c r="L26" s="721"/>
      <c r="M26" s="721"/>
      <c r="N26" s="130" t="s">
        <v>6785</v>
      </c>
    </row>
    <row r="27" spans="1:21">
      <c r="I27" s="133"/>
      <c r="J27" s="315"/>
      <c r="K27" s="315"/>
    </row>
    <row r="28" spans="1:21" s="315" customFormat="1" ht="38.25">
      <c r="A28" s="66"/>
      <c r="B28" s="99"/>
      <c r="C28" s="827" t="str">
        <f>CHOOSE(jezyk,n!A1101,n!B1101,n!C1101,n!D1096)</f>
        <v>nazwa jednostki powiązanej</v>
      </c>
      <c r="D28" s="828"/>
      <c r="E28" s="829"/>
      <c r="F28" s="395" t="str">
        <f>CHOOSE(jezyk,n!A1102,n!B1102,n!C1102,n!D1098)</f>
        <v>waluta transakcji</v>
      </c>
      <c r="G28" s="395" t="str">
        <f>CHOOSE(jezyk,n!A1103,n!B1103,n!C1103,n!D1101)</f>
        <v>wartość transakcji w walucie</v>
      </c>
      <c r="H28" s="395" t="str">
        <f>CHOOSE(jezyk,n!A1104,n!B1104,n!C1104,n!D1102)</f>
        <v>wartość transakcji w PLN</v>
      </c>
      <c r="I28" s="805" t="str">
        <f>CHOOSE(jezyk,n!A1105,n!B1105,n!C1105,n!D1103)</f>
        <v>informacja o rodzaju transakcji</v>
      </c>
      <c r="J28" s="1124"/>
      <c r="K28" s="1124"/>
      <c r="L28" s="1124"/>
      <c r="M28" s="1124"/>
      <c r="N28" s="230"/>
    </row>
    <row r="29" spans="1:21" ht="27.95" customHeight="1">
      <c r="C29" s="1125"/>
      <c r="D29" s="1125"/>
      <c r="E29" s="1125"/>
      <c r="F29" s="240"/>
      <c r="G29" s="406"/>
      <c r="H29" s="406"/>
      <c r="I29" s="1125" t="str">
        <f>CHOOSE(jezyk,n!A1106,n!B1106,n!C1106,n!D1104)</f>
        <v>Zakupy</v>
      </c>
      <c r="J29" s="1125"/>
      <c r="K29" s="1125"/>
      <c r="L29" s="823"/>
      <c r="M29" s="823"/>
      <c r="S29" s="66">
        <f>rok</f>
        <v>2024</v>
      </c>
      <c r="U29" s="241" t="s">
        <v>6863</v>
      </c>
    </row>
    <row r="30" spans="1:21" ht="27.95" customHeight="1">
      <c r="C30" s="1125"/>
      <c r="D30" s="1125"/>
      <c r="E30" s="1125"/>
      <c r="F30" s="240"/>
      <c r="G30" s="406"/>
      <c r="H30" s="406"/>
      <c r="I30" s="1125" t="str">
        <f>CHOOSE(jezyk,n!A1107,n!B1107,n!C1107,n!D1105)</f>
        <v>Sprzedaż</v>
      </c>
      <c r="J30" s="1125"/>
      <c r="K30" s="1125"/>
      <c r="L30" s="823"/>
      <c r="M30" s="823"/>
      <c r="O30" s="242" t="s">
        <v>6864</v>
      </c>
      <c r="P30" s="243"/>
      <c r="Q30" s="243"/>
      <c r="R30" s="243"/>
      <c r="S30" s="244">
        <f>'RZiS Por. '!E14</f>
        <v>0</v>
      </c>
      <c r="T30" s="243"/>
      <c r="U30" s="245">
        <f ca="1">S30-SUMIF(I29:M36,"Sprzedaż",H29:H36)</f>
        <v>0</v>
      </c>
    </row>
    <row r="31" spans="1:21" ht="27.95" customHeight="1">
      <c r="C31" s="1125"/>
      <c r="D31" s="1125"/>
      <c r="E31" s="1125"/>
      <c r="F31" s="240"/>
      <c r="G31" s="406"/>
      <c r="H31" s="406"/>
      <c r="I31" s="1126" t="str">
        <f>CHOOSE(jezyk,n!A1108,n!B1108,n!C1108,n!D1106)</f>
        <v>Odsetki - koszty finansowe</v>
      </c>
      <c r="J31" s="1126"/>
      <c r="K31" s="1126"/>
      <c r="L31" s="1127"/>
      <c r="M31" s="1127"/>
      <c r="O31" s="246" t="s">
        <v>6865</v>
      </c>
      <c r="S31" s="38">
        <f>'RZiS Por. '!E58</f>
        <v>0</v>
      </c>
      <c r="T31" s="66" t="s">
        <v>6866</v>
      </c>
      <c r="U31" s="238">
        <f ca="1">S31-SUMIF(I29:M36,"Odsetki - przychody finansowe",H29:H36)</f>
        <v>0</v>
      </c>
    </row>
    <row r="32" spans="1:21" ht="27.95" customHeight="1">
      <c r="C32" s="1125"/>
      <c r="D32" s="1125"/>
      <c r="E32" s="1125"/>
      <c r="F32" s="240"/>
      <c r="G32" s="406"/>
      <c r="H32" s="406"/>
      <c r="I32" s="1126" t="str">
        <f>CHOOSE(jezyk,n!A1109,n!B1109,n!C1109,n!D1107)</f>
        <v>Odsetki - przychody finansowe</v>
      </c>
      <c r="J32" s="1126"/>
      <c r="K32" s="1126"/>
      <c r="L32" s="1127"/>
      <c r="M32" s="1127"/>
      <c r="O32" s="247" t="s">
        <v>6865</v>
      </c>
      <c r="P32" s="152"/>
      <c r="Q32" s="152"/>
      <c r="R32" s="152"/>
      <c r="S32" s="248">
        <f>'RZiS Por. '!E67</f>
        <v>0</v>
      </c>
      <c r="T32" s="152" t="s">
        <v>6867</v>
      </c>
      <c r="U32" s="249">
        <f ca="1">S32-SUMIF(I29:M36,"Odsetki - koszty finansowe",H29:H36)</f>
        <v>0</v>
      </c>
    </row>
    <row r="33" spans="3:21" ht="27.95" customHeight="1">
      <c r="C33" s="1125"/>
      <c r="D33" s="1125"/>
      <c r="E33" s="1125"/>
      <c r="F33" s="240"/>
      <c r="G33" s="406"/>
      <c r="H33" s="406"/>
      <c r="I33" s="1126" t="str">
        <f>CHOOSE(jezyk,n!A1110,n!B1110,n!C1110,n!D1108)</f>
        <v>Otrzymane dywidendy i udziały w zyskach</v>
      </c>
      <c r="J33" s="1126"/>
      <c r="K33" s="1126"/>
      <c r="L33" s="1127"/>
      <c r="M33" s="1127"/>
      <c r="U33" s="38">
        <f ca="1">ROUND(SUM(U30:U32),2)</f>
        <v>0</v>
      </c>
    </row>
    <row r="34" spans="3:21" ht="27.95" customHeight="1">
      <c r="C34" s="1125"/>
      <c r="D34" s="1125"/>
      <c r="E34" s="1125"/>
      <c r="F34" s="240"/>
      <c r="G34" s="406"/>
      <c r="H34" s="406"/>
      <c r="I34" s="1126" t="str">
        <f>CHOOSE(jezyk,n!A1111,n!B1112,n!C1112,n!D1109)</f>
        <v>Otrzymane pożyczki</v>
      </c>
      <c r="J34" s="1126"/>
      <c r="K34" s="1126"/>
      <c r="L34" s="1127"/>
      <c r="M34" s="1127"/>
    </row>
    <row r="35" spans="3:21" ht="27.95" customHeight="1">
      <c r="C35" s="1125"/>
      <c r="D35" s="1125"/>
      <c r="E35" s="1125"/>
      <c r="F35" s="240"/>
      <c r="G35" s="406"/>
      <c r="H35" s="406"/>
      <c r="I35" s="1126" t="str">
        <f>CHOOSE(jezyk,n!A1112,n!B1111,n!C1111,n!D1110)</f>
        <v>Udzielone pożyczki</v>
      </c>
      <c r="J35" s="1126"/>
      <c r="K35" s="1126"/>
      <c r="L35" s="1127"/>
      <c r="M35" s="1127"/>
    </row>
    <row r="36" spans="3:21" ht="27.95" customHeight="1">
      <c r="C36" s="1125"/>
      <c r="D36" s="1125"/>
      <c r="E36" s="1125"/>
      <c r="F36" s="240"/>
      <c r="G36" s="406"/>
      <c r="H36" s="406"/>
      <c r="I36" s="1126" t="str">
        <f>CHOOSE(jezyk,n!A1113,n!B1113,n!C1113,n!#REF!)</f>
        <v>Zakup środków trwałych</v>
      </c>
      <c r="J36" s="1126"/>
      <c r="K36" s="1126"/>
      <c r="L36" s="1127"/>
      <c r="M36" s="1127"/>
    </row>
    <row r="37" spans="3:21">
      <c r="C37" s="250"/>
      <c r="D37" s="250"/>
      <c r="E37" s="250"/>
      <c r="F37" s="231"/>
      <c r="G37" s="138"/>
      <c r="H37" s="138"/>
      <c r="I37" s="185"/>
      <c r="J37" s="185"/>
      <c r="K37" s="185"/>
      <c r="L37" s="250"/>
      <c r="M37" s="250"/>
    </row>
    <row r="38" spans="3:21" ht="15" customHeight="1">
      <c r="C38" s="1128" t="str">
        <f>CHOOSE(jezyk,n!A617,n!B617,n!C617,n!D615)</f>
        <v>Rok obrotowy 2023</v>
      </c>
      <c r="D38" s="1129"/>
      <c r="E38" s="315"/>
      <c r="F38" s="315"/>
      <c r="G38" s="315"/>
      <c r="H38" s="315"/>
      <c r="I38" s="315"/>
      <c r="J38" s="185"/>
      <c r="K38" s="185"/>
      <c r="L38" s="250"/>
      <c r="M38" s="250"/>
    </row>
    <row r="39" spans="3:21" ht="15" customHeight="1">
      <c r="C39" s="239"/>
      <c r="D39" s="239"/>
      <c r="E39" s="315"/>
      <c r="F39" s="315"/>
      <c r="G39" s="315"/>
      <c r="H39" s="315"/>
      <c r="I39" s="315"/>
      <c r="J39" s="185"/>
      <c r="K39" s="185"/>
      <c r="L39" s="250"/>
      <c r="M39" s="250"/>
    </row>
    <row r="40" spans="3:21">
      <c r="C40" s="721" t="str">
        <f>CHOOSE(jezyk,n!A1096,n!B1096,n!C1096,n!D1096)</f>
        <v>W roku obrotowym 2023 Spółka nie przeprowadzała transakcji z podmiotami powiązanymi.</v>
      </c>
      <c r="D40" s="721"/>
      <c r="E40" s="721"/>
      <c r="F40" s="721"/>
      <c r="G40" s="721"/>
      <c r="H40" s="721"/>
      <c r="I40" s="721"/>
      <c r="J40" s="721"/>
      <c r="K40" s="721"/>
      <c r="L40" s="721"/>
      <c r="M40" s="721"/>
      <c r="N40" s="130" t="s">
        <v>6785</v>
      </c>
    </row>
    <row r="41" spans="3:21">
      <c r="C41" s="250"/>
      <c r="D41" s="250"/>
      <c r="E41" s="250"/>
      <c r="F41" s="231"/>
      <c r="G41" s="138"/>
      <c r="H41" s="138"/>
      <c r="I41" s="185"/>
      <c r="J41" s="185"/>
      <c r="K41" s="185"/>
      <c r="L41" s="250"/>
      <c r="M41" s="250"/>
    </row>
    <row r="42" spans="3:21" ht="39.75" customHeight="1">
      <c r="C42" s="827" t="str">
        <f>C28</f>
        <v>nazwa jednostki powiązanej</v>
      </c>
      <c r="D42" s="828"/>
      <c r="E42" s="829"/>
      <c r="F42" s="395" t="str">
        <f>F28</f>
        <v>waluta transakcji</v>
      </c>
      <c r="G42" s="395" t="str">
        <f>G28</f>
        <v>wartość transakcji w walucie</v>
      </c>
      <c r="H42" s="395" t="str">
        <f>H28</f>
        <v>wartość transakcji w PLN</v>
      </c>
      <c r="I42" s="805" t="str">
        <f>I28</f>
        <v>informacja o rodzaju transakcji</v>
      </c>
      <c r="J42" s="1124"/>
      <c r="K42" s="1124"/>
      <c r="L42" s="1124"/>
      <c r="M42" s="1124"/>
    </row>
    <row r="43" spans="3:21" ht="27.95" customHeight="1">
      <c r="C43" s="1125"/>
      <c r="D43" s="1125"/>
      <c r="E43" s="1125"/>
      <c r="F43" s="240"/>
      <c r="G43" s="406"/>
      <c r="H43" s="406"/>
      <c r="I43" s="1125" t="str">
        <f>CHOOSE(jezyk,n!A1106,n!B1106,n!C1106,n!D1104)</f>
        <v>Zakupy</v>
      </c>
      <c r="J43" s="1125"/>
      <c r="K43" s="1125"/>
      <c r="L43" s="823"/>
      <c r="M43" s="823"/>
      <c r="S43" s="66">
        <f>rok-1</f>
        <v>2023</v>
      </c>
      <c r="U43" s="241" t="s">
        <v>6863</v>
      </c>
    </row>
    <row r="44" spans="3:21" ht="27.95" customHeight="1">
      <c r="C44" s="1125"/>
      <c r="D44" s="1125"/>
      <c r="E44" s="1125"/>
      <c r="F44" s="240"/>
      <c r="G44" s="406"/>
      <c r="H44" s="406"/>
      <c r="I44" s="1125" t="str">
        <f>CHOOSE(jezyk,n!A1107,n!B1107,n!C1107,n!D1105)</f>
        <v>Sprzedaż</v>
      </c>
      <c r="J44" s="1125"/>
      <c r="K44" s="1125"/>
      <c r="L44" s="823"/>
      <c r="M44" s="823"/>
      <c r="O44" s="242" t="s">
        <v>6864</v>
      </c>
      <c r="P44" s="243"/>
      <c r="Q44" s="243"/>
      <c r="R44" s="243"/>
      <c r="S44" s="244">
        <f>'RZiS Por. '!F14</f>
        <v>0</v>
      </c>
      <c r="T44" s="243"/>
      <c r="U44" s="245">
        <f ca="1">S44-SUMIF(I43:M50,"Sprzedaż",H43:H50)</f>
        <v>0</v>
      </c>
    </row>
    <row r="45" spans="3:21" ht="27.95" customHeight="1">
      <c r="C45" s="1125"/>
      <c r="D45" s="1125"/>
      <c r="E45" s="1125"/>
      <c r="F45" s="240"/>
      <c r="G45" s="406"/>
      <c r="H45" s="406"/>
      <c r="I45" s="1125" t="str">
        <f>CHOOSE(jezyk,n!A1108,n!B1108,n!C1108,n!D1106)</f>
        <v>Odsetki - koszty finansowe</v>
      </c>
      <c r="J45" s="1125"/>
      <c r="K45" s="1125"/>
      <c r="L45" s="823"/>
      <c r="M45" s="823"/>
      <c r="O45" s="246" t="s">
        <v>6865</v>
      </c>
      <c r="S45" s="38">
        <f>'RZiS Por. '!F58</f>
        <v>0</v>
      </c>
      <c r="T45" s="66" t="s">
        <v>6866</v>
      </c>
      <c r="U45" s="238">
        <f ca="1">S45-SUMIF(I43:M50,"Odsetki - przychody finansowe",H43:H50)</f>
        <v>0</v>
      </c>
    </row>
    <row r="46" spans="3:21" ht="27.95" customHeight="1">
      <c r="C46" s="1125"/>
      <c r="D46" s="1125"/>
      <c r="E46" s="1125"/>
      <c r="F46" s="240"/>
      <c r="G46" s="406"/>
      <c r="H46" s="406"/>
      <c r="I46" s="1125" t="str">
        <f>CHOOSE(jezyk,n!A1109,n!B1109,n!C1109,n!D1107)</f>
        <v>Odsetki - przychody finansowe</v>
      </c>
      <c r="J46" s="1125"/>
      <c r="K46" s="1125"/>
      <c r="L46" s="823"/>
      <c r="M46" s="823"/>
      <c r="O46" s="247" t="s">
        <v>6865</v>
      </c>
      <c r="P46" s="152"/>
      <c r="Q46" s="152"/>
      <c r="R46" s="152"/>
      <c r="S46" s="248">
        <f>'RZiS Por. '!F67</f>
        <v>0</v>
      </c>
      <c r="T46" s="152" t="s">
        <v>6867</v>
      </c>
      <c r="U46" s="249">
        <f ca="1">S46-SUMIF(I43:M50,"Odsetki - koszty finansowe",H43:H50)</f>
        <v>0</v>
      </c>
    </row>
    <row r="47" spans="3:21" ht="27.95" customHeight="1">
      <c r="C47" s="1125"/>
      <c r="D47" s="1125"/>
      <c r="E47" s="1125"/>
      <c r="F47" s="240"/>
      <c r="G47" s="406"/>
      <c r="H47" s="406"/>
      <c r="I47" s="1125" t="str">
        <f>CHOOSE(jezyk,n!A1110,n!B1110,n!C1110,n!D1108)</f>
        <v>Otrzymane dywidendy i udziały w zyskach</v>
      </c>
      <c r="J47" s="1125"/>
      <c r="K47" s="1125"/>
      <c r="L47" s="823"/>
      <c r="M47" s="823"/>
      <c r="U47" s="38">
        <f ca="1">ROUND(SUM(U44:U46),2)</f>
        <v>0</v>
      </c>
    </row>
    <row r="48" spans="3:21" ht="27.95" customHeight="1">
      <c r="C48" s="1125"/>
      <c r="D48" s="1125"/>
      <c r="E48" s="1125"/>
      <c r="F48" s="240"/>
      <c r="G48" s="406"/>
      <c r="H48" s="406"/>
      <c r="I48" s="1125" t="str">
        <f>CHOOSE(jezyk,n!A1111,n!B1112,n!C1112,n!D1109)</f>
        <v>Otrzymane pożyczki</v>
      </c>
      <c r="J48" s="1125"/>
      <c r="K48" s="1125"/>
      <c r="L48" s="823"/>
      <c r="M48" s="823"/>
    </row>
    <row r="49" spans="1:14" ht="27.95" customHeight="1">
      <c r="C49" s="1125"/>
      <c r="D49" s="1125"/>
      <c r="E49" s="1125"/>
      <c r="F49" s="240"/>
      <c r="G49" s="406"/>
      <c r="H49" s="406"/>
      <c r="I49" s="1125" t="str">
        <f>CHOOSE(jezyk,n!A1112,n!B1111,n!C1111,n!D1110)</f>
        <v>Udzielone pożyczki</v>
      </c>
      <c r="J49" s="1125"/>
      <c r="K49" s="1125"/>
      <c r="L49" s="823"/>
      <c r="M49" s="823"/>
    </row>
    <row r="50" spans="1:14" ht="27.95" customHeight="1">
      <c r="C50" s="1125"/>
      <c r="D50" s="1125"/>
      <c r="E50" s="1125"/>
      <c r="F50" s="240"/>
      <c r="G50" s="406"/>
      <c r="H50" s="406"/>
      <c r="I50" s="1125" t="str">
        <f>CHOOSE(jezyk,n!A1113,n!B1113,n!C1113,n!#REF!)</f>
        <v>Zakup środków trwałych</v>
      </c>
      <c r="J50" s="1125"/>
      <c r="K50" s="1125"/>
      <c r="L50" s="823"/>
      <c r="M50" s="823"/>
    </row>
    <row r="51" spans="1:14">
      <c r="C51" s="399"/>
      <c r="E51" s="251"/>
      <c r="F51" s="251"/>
      <c r="G51" s="251"/>
      <c r="H51" s="251"/>
      <c r="I51" s="1119"/>
      <c r="J51" s="756"/>
      <c r="K51" s="756"/>
      <c r="L51" s="1194"/>
      <c r="M51" s="1194"/>
    </row>
    <row r="52" spans="1:14" ht="27" customHeight="1">
      <c r="B52" s="111" t="s">
        <v>6868</v>
      </c>
      <c r="C52" s="725" t="str">
        <f>CHOOSE(jezyk,n!A1114,n!B1114,n!C1114,n!D1112)</f>
        <v>Wykaz spółek, w których jednostka posiada zaangażowanie w kapitale lub 20% w ogólnej liczbie głosów w organie stanowiącym Spółki</v>
      </c>
      <c r="D52" s="1123"/>
      <c r="E52" s="1123"/>
      <c r="F52" s="1123"/>
      <c r="G52" s="1123"/>
      <c r="H52" s="1123"/>
      <c r="I52" s="1123"/>
      <c r="J52" s="1123"/>
      <c r="K52" s="1123"/>
      <c r="L52" s="1123"/>
      <c r="M52" s="1123"/>
    </row>
    <row r="53" spans="1:14">
      <c r="B53" s="111"/>
      <c r="C53" s="1118"/>
      <c r="D53" s="756"/>
      <c r="E53" s="756"/>
      <c r="F53" s="756"/>
      <c r="G53" s="756"/>
      <c r="H53" s="756"/>
      <c r="I53" s="756"/>
      <c r="J53" s="756"/>
      <c r="K53" s="756"/>
      <c r="L53" s="756"/>
      <c r="M53" s="756"/>
    </row>
    <row r="54" spans="1:14">
      <c r="C54" s="731" t="str">
        <f>CHOOSE(jezyk,n!A1131,n!B1131,n!C1131,n!D1129)</f>
        <v>Nie dotyczy</v>
      </c>
      <c r="D54" s="731"/>
      <c r="E54" s="731"/>
      <c r="F54" s="731"/>
      <c r="G54" s="731"/>
      <c r="H54" s="731"/>
      <c r="I54" s="731"/>
      <c r="J54" s="731"/>
      <c r="K54" s="731"/>
      <c r="L54" s="731"/>
      <c r="M54" s="731"/>
      <c r="N54" s="130" t="s">
        <v>6785</v>
      </c>
    </row>
    <row r="55" spans="1:14">
      <c r="B55" s="111"/>
      <c r="C55" s="1118"/>
      <c r="D55" s="756"/>
      <c r="E55" s="756"/>
      <c r="F55" s="756"/>
      <c r="G55" s="756"/>
      <c r="H55" s="756"/>
      <c r="I55" s="756"/>
      <c r="J55" s="756"/>
      <c r="K55" s="756"/>
      <c r="L55" s="756"/>
      <c r="M55" s="756"/>
    </row>
    <row r="56" spans="1:14" s="315" customFormat="1" ht="32.25" customHeight="1">
      <c r="A56" s="72"/>
      <c r="B56" s="99"/>
      <c r="C56" s="805" t="str">
        <f>CHOOSE(jezyk,n!A1115,n!B1115,n!C1115,n!D1113)</f>
        <v>nazwa spółki</v>
      </c>
      <c r="D56" s="805"/>
      <c r="E56" s="805"/>
      <c r="F56" s="395" t="str">
        <f>CHOOSE(jezyk,n!A1116,n!B1116,n!C1116,n!D1114)</f>
        <v>siedziba spółki</v>
      </c>
      <c r="G56" s="395" t="str">
        <f>CHOOSE(jezyk,n!A1117,n!B1117,n!C1117,n!D1115)</f>
        <v>procent udziałów</v>
      </c>
      <c r="H56" s="395" t="str">
        <f>CHOOSE(jezyk,n!A1118,n!B1118,n!C1118,n!D1116)</f>
        <v>stopień udziału w zarządzaniu</v>
      </c>
      <c r="I56" s="805" t="str">
        <f>CHOOSE(jezyk,n!A1119,n!B1119,n!C1119,n!D1117)</f>
        <v>zysk / strata netto spółki za ostatni rok obrotowy</v>
      </c>
      <c r="J56" s="1124"/>
      <c r="K56" s="1124"/>
      <c r="L56" s="1124"/>
      <c r="M56" s="1124"/>
    </row>
    <row r="57" spans="1:14" ht="19.5" customHeight="1">
      <c r="C57" s="823"/>
      <c r="D57" s="823"/>
      <c r="E57" s="823"/>
      <c r="F57" s="401"/>
      <c r="G57" s="417"/>
      <c r="H57" s="417"/>
      <c r="I57" s="1120"/>
      <c r="J57" s="1121"/>
      <c r="K57" s="1121"/>
      <c r="L57" s="1122"/>
      <c r="M57" s="1122"/>
    </row>
    <row r="58" spans="1:14">
      <c r="I58" s="1119"/>
      <c r="J58" s="756"/>
      <c r="K58" s="756"/>
      <c r="L58" s="1194"/>
      <c r="M58" s="1194"/>
    </row>
    <row r="59" spans="1:14" ht="25.5" customHeight="1">
      <c r="B59" s="111" t="s">
        <v>6869</v>
      </c>
      <c r="C59" s="725" t="str">
        <f>CHOOSE(jezyk,n!A1120,n!B1120,n!C1120,n!D1118)</f>
        <v>Jeżeli jednostka nie sporządza skonsolidowanego sprawozdania finansowego, korzystając ze zwolnienia lub wyłączeń informacje o:</v>
      </c>
      <c r="D59" s="1123"/>
      <c r="E59" s="1123"/>
      <c r="F59" s="1123"/>
      <c r="G59" s="1123"/>
      <c r="H59" s="1123"/>
      <c r="I59" s="1123"/>
      <c r="J59" s="1123"/>
      <c r="K59" s="1123"/>
      <c r="L59" s="1123"/>
      <c r="M59" s="1123"/>
    </row>
    <row r="60" spans="1:14" ht="12.75" customHeight="1">
      <c r="C60" s="725" t="str">
        <f>CHOOSE(jezyk,n!A1121,n!B1121,n!C1121,n!D1119)</f>
        <v xml:space="preserve"> - podstawie prawnej wraz z danymi uzasadniającymi odstąpienie od konsolidacji,</v>
      </c>
      <c r="D60" s="1123"/>
      <c r="E60" s="1123"/>
      <c r="F60" s="1123"/>
      <c r="G60" s="1123"/>
      <c r="H60" s="1123"/>
      <c r="I60" s="1123"/>
      <c r="J60" s="1123"/>
      <c r="K60" s="1123"/>
      <c r="L60" s="1123"/>
      <c r="M60" s="1123"/>
    </row>
    <row r="61" spans="1:14" ht="12.75" customHeight="1">
      <c r="C61" s="377"/>
      <c r="D61" s="315"/>
      <c r="E61" s="315"/>
      <c r="F61" s="315"/>
      <c r="G61" s="315"/>
      <c r="H61" s="315"/>
      <c r="I61" s="315"/>
      <c r="J61" s="315"/>
      <c r="K61" s="315"/>
      <c r="L61" s="315"/>
      <c r="M61" s="315"/>
    </row>
    <row r="62" spans="1:14" ht="12.75" customHeight="1">
      <c r="C62" s="721" t="str">
        <f>CHOOSE(jezyk,n!A1131,n!B1131,n!C1131,n!D1129)</f>
        <v>Nie dotyczy</v>
      </c>
      <c r="D62" s="721"/>
      <c r="E62" s="721"/>
      <c r="F62" s="721"/>
      <c r="G62" s="721"/>
      <c r="H62" s="721"/>
      <c r="I62" s="721"/>
      <c r="J62" s="721"/>
      <c r="K62" s="721"/>
      <c r="L62" s="721"/>
      <c r="M62" s="721"/>
      <c r="N62" s="130" t="s">
        <v>6785</v>
      </c>
    </row>
    <row r="63" spans="1:14" ht="12.75" customHeight="1">
      <c r="C63" s="377"/>
      <c r="D63" s="315"/>
      <c r="E63" s="315"/>
      <c r="F63" s="315"/>
      <c r="G63" s="315"/>
      <c r="H63" s="315"/>
      <c r="I63" s="315"/>
      <c r="J63" s="315"/>
      <c r="K63" s="315"/>
      <c r="L63" s="315"/>
      <c r="M63" s="315"/>
    </row>
    <row r="64" spans="1:14" ht="28.5" customHeight="1">
      <c r="C64" s="725" t="str">
        <f>CHOOSE(jezyk,n!A1122,n!B1122,n!C1122,n!D1120)</f>
        <v xml:space="preserve"> - nazwie i siedzibie jednostki sporządzającej skonsolidowane sprawozdanie finansowe na wyższym szczeblu grupy kapitałowej oraz miejscu jego publikacji</v>
      </c>
      <c r="D64" s="1123"/>
      <c r="E64" s="1123"/>
      <c r="F64" s="1123"/>
      <c r="G64" s="1123"/>
      <c r="H64" s="1123"/>
      <c r="I64" s="1123"/>
      <c r="J64" s="1123"/>
      <c r="K64" s="1123"/>
      <c r="L64" s="1123"/>
      <c r="M64" s="1123"/>
      <c r="N64" s="230"/>
    </row>
    <row r="65" spans="1:14" ht="12.75" customHeight="1">
      <c r="C65" s="418"/>
      <c r="D65" s="315"/>
      <c r="E65" s="315"/>
      <c r="F65" s="315"/>
      <c r="G65" s="315"/>
      <c r="H65" s="315"/>
      <c r="I65" s="315"/>
      <c r="J65" s="315"/>
      <c r="K65" s="315"/>
      <c r="L65" s="315"/>
      <c r="M65" s="315"/>
    </row>
    <row r="66" spans="1:14" ht="12.75" customHeight="1">
      <c r="C66" s="721" t="str">
        <f>CHOOSE(jezyk,n!A1131,n!B1131,n!C1131,n!D1129)</f>
        <v>Nie dotyczy</v>
      </c>
      <c r="D66" s="721"/>
      <c r="E66" s="721"/>
      <c r="F66" s="721"/>
      <c r="G66" s="721"/>
      <c r="H66" s="721"/>
      <c r="I66" s="721"/>
      <c r="J66" s="721"/>
      <c r="K66" s="721"/>
      <c r="L66" s="721"/>
      <c r="M66" s="721"/>
      <c r="N66" s="130" t="s">
        <v>6785</v>
      </c>
    </row>
    <row r="67" spans="1:14" ht="12.75" customHeight="1">
      <c r="C67" s="377"/>
      <c r="D67" s="315"/>
      <c r="E67" s="315"/>
      <c r="F67" s="315"/>
      <c r="G67" s="315"/>
      <c r="H67" s="315"/>
      <c r="I67" s="315"/>
      <c r="J67" s="315"/>
      <c r="K67" s="315"/>
      <c r="L67" s="315"/>
      <c r="M67" s="315"/>
    </row>
    <row r="68" spans="1:14" ht="27" customHeight="1">
      <c r="C68" s="725" t="str">
        <f>CHOOSE(jezyk,n!A1123,n!B1123,n!C1123,n!D1121)</f>
        <v xml:space="preserve"> - podstawowych wskaźnikach ekonomiczno- finansowych, charakteryzujących działalność jednostek powiązanych w danym i ubiegłym roku obrotowym</v>
      </c>
      <c r="D68" s="1123"/>
      <c r="E68" s="1123"/>
      <c r="F68" s="1123"/>
      <c r="G68" s="1123"/>
      <c r="H68" s="1123"/>
      <c r="I68" s="1123"/>
      <c r="J68" s="1123"/>
      <c r="K68" s="1123"/>
      <c r="L68" s="1123"/>
      <c r="M68" s="1123"/>
    </row>
    <row r="69" spans="1:14" s="149" customFormat="1" ht="19.5" customHeight="1">
      <c r="H69" s="400">
        <f>ro</f>
        <v>2024</v>
      </c>
      <c r="I69" s="410">
        <f>ro-1</f>
        <v>2023</v>
      </c>
    </row>
    <row r="70" spans="1:14" ht="25.5" customHeight="1">
      <c r="C70" s="822" t="str">
        <f>CHOOSE(jezyk,n!A1125,n!B1125,n!C1125,n!D1123)</f>
        <v>wartość przychodów netto ze sprzedaży produktów, towarów i materiałów oraz przychodów finansowych</v>
      </c>
      <c r="D70" s="822"/>
      <c r="E70" s="822"/>
      <c r="F70" s="822"/>
      <c r="G70" s="822"/>
      <c r="H70" s="252"/>
      <c r="I70" s="252"/>
      <c r="J70" s="315"/>
      <c r="K70" s="315"/>
    </row>
    <row r="71" spans="1:14" ht="25.5" customHeight="1">
      <c r="C71" s="822" t="str">
        <f>CHOOSE(jezyk,n!A1126,n!B1126,n!C1126,n!D1124)</f>
        <v>wynik finansowy netto oraz wartość kapitału własnego, z podziałem na grupy</v>
      </c>
      <c r="D71" s="822"/>
      <c r="E71" s="822"/>
      <c r="F71" s="822"/>
      <c r="G71" s="822"/>
      <c r="H71" s="252"/>
      <c r="I71" s="252"/>
      <c r="J71" s="315"/>
      <c r="K71" s="315"/>
    </row>
    <row r="72" spans="1:14" ht="17.25" customHeight="1">
      <c r="C72" s="822" t="str">
        <f>CHOOSE(jezyk,n!A1127,n!B1127,n!C1127,n!D1125)</f>
        <v>wartość aktywów trwałych</v>
      </c>
      <c r="D72" s="822"/>
      <c r="E72" s="822"/>
      <c r="F72" s="822"/>
      <c r="G72" s="822"/>
      <c r="H72" s="252"/>
      <c r="I72" s="252"/>
      <c r="J72" s="315"/>
      <c r="K72" s="315"/>
    </row>
    <row r="73" spans="1:14" ht="15" customHeight="1">
      <c r="C73" s="822" t="str">
        <f>CHOOSE(jezyk,n!A1128,n!B1128,n!C1128,n!D1126)</f>
        <v>przeciętne roczne zatrudnienie</v>
      </c>
      <c r="D73" s="822"/>
      <c r="E73" s="822"/>
      <c r="F73" s="822"/>
      <c r="G73" s="822"/>
      <c r="H73" s="252"/>
      <c r="I73" s="252"/>
      <c r="J73" s="315"/>
      <c r="K73" s="315"/>
    </row>
    <row r="74" spans="1:14" ht="13.15" customHeight="1">
      <c r="C74" s="399"/>
      <c r="D74" s="399"/>
      <c r="E74" s="399"/>
      <c r="F74" s="399"/>
      <c r="G74" s="399"/>
      <c r="J74" s="315"/>
      <c r="K74" s="315"/>
    </row>
    <row r="75" spans="1:14" ht="13.15" customHeight="1">
      <c r="C75" s="721" t="str">
        <f>CHOOSE(jezyk,n!A1131,n!B1131,n!C1131,n!D1129)</f>
        <v>Nie dotyczy</v>
      </c>
      <c r="D75" s="721"/>
      <c r="E75" s="721"/>
      <c r="F75" s="721"/>
      <c r="G75" s="721"/>
      <c r="H75" s="721"/>
      <c r="I75" s="721"/>
      <c r="J75" s="721"/>
      <c r="K75" s="721"/>
      <c r="L75" s="721"/>
      <c r="M75" s="721"/>
      <c r="N75" s="130" t="s">
        <v>6785</v>
      </c>
    </row>
    <row r="76" spans="1:14" ht="13.15" customHeight="1">
      <c r="C76" s="399"/>
      <c r="D76" s="399"/>
      <c r="E76" s="399"/>
      <c r="F76" s="399"/>
      <c r="J76" s="315"/>
      <c r="K76" s="315"/>
    </row>
    <row r="77" spans="1:14" ht="12.75" customHeight="1">
      <c r="A77" s="72"/>
      <c r="C77" s="758" t="str">
        <f>CHOOSE(jezyk,n!A1124,n!B1124,n!C1124,n!D1122)</f>
        <v>- rodzaju stosowanych standardów rachunkowości (krajowych czy międzynarodowych) przez jednostki powiązane</v>
      </c>
      <c r="D77" s="758"/>
      <c r="E77" s="758"/>
      <c r="F77" s="758"/>
      <c r="G77" s="758"/>
      <c r="H77" s="758"/>
      <c r="I77" s="758"/>
      <c r="J77" s="758"/>
      <c r="K77" s="758"/>
      <c r="L77" s="758"/>
      <c r="M77" s="758"/>
    </row>
    <row r="78" spans="1:14" ht="13.15" customHeight="1">
      <c r="C78" s="399"/>
      <c r="D78" s="399"/>
      <c r="E78" s="399"/>
      <c r="F78" s="399"/>
      <c r="J78" s="315"/>
      <c r="K78" s="315"/>
    </row>
    <row r="79" spans="1:14" ht="13.15" customHeight="1">
      <c r="C79" s="721" t="str">
        <f>CHOOSE(jezyk,n!A1131,n!B1131,n!C1131,n!D1129)</f>
        <v>Nie dotyczy</v>
      </c>
      <c r="D79" s="721"/>
      <c r="E79" s="721"/>
      <c r="F79" s="721"/>
      <c r="G79" s="721"/>
      <c r="H79" s="721"/>
      <c r="I79" s="721"/>
      <c r="J79" s="721"/>
      <c r="K79" s="721"/>
      <c r="L79" s="721"/>
      <c r="M79" s="721"/>
      <c r="N79" s="130" t="s">
        <v>6785</v>
      </c>
    </row>
    <row r="80" spans="1:14">
      <c r="I80" s="1119"/>
      <c r="J80" s="756"/>
      <c r="K80" s="756"/>
      <c r="L80" s="1194"/>
      <c r="M80" s="1194"/>
    </row>
    <row r="81" spans="2:23" ht="40.5" customHeight="1">
      <c r="B81" s="111" t="s">
        <v>6870</v>
      </c>
      <c r="C81" s="725" t="str">
        <f>CHOOSE(jezyk,n!A1646,n!B1646,n!C1646,n!D1642)</f>
        <v>Informacje o nazwie i siedzibie jednostki  sporządzającej skonsolidowane sprawozdanie finansowe na najwyższym szczeblu grupy kapitałowej, w skład której wchodzi spółka jako jednostka zależna, oraz miejscu, w którym sprawozdanie to jest dostępne</v>
      </c>
      <c r="D81" s="725"/>
      <c r="E81" s="725"/>
      <c r="F81" s="725"/>
      <c r="G81" s="725"/>
      <c r="H81" s="725"/>
      <c r="I81" s="725"/>
      <c r="J81" s="725"/>
      <c r="K81" s="725"/>
      <c r="L81" s="725"/>
      <c r="M81" s="725"/>
      <c r="N81" s="697" t="s">
        <v>6871</v>
      </c>
      <c r="O81" s="253"/>
      <c r="Q81" s="698" t="s">
        <v>6872</v>
      </c>
      <c r="R81" s="696">
        <f>IF(Q81="najniższym",1,2)</f>
        <v>2</v>
      </c>
      <c r="S81" s="253"/>
      <c r="T81" s="253"/>
      <c r="U81" s="253"/>
      <c r="V81" s="253"/>
      <c r="W81" s="253"/>
    </row>
    <row r="82" spans="2:23">
      <c r="I82" s="1119"/>
      <c r="J82" s="756"/>
      <c r="K82" s="756"/>
      <c r="L82" s="1194"/>
      <c r="M82" s="1194"/>
    </row>
    <row r="83" spans="2:23" ht="13.35" customHeight="1">
      <c r="C83" s="721" t="str">
        <f>CHOOSE(jezyk,n!A1132,n!B1132,n!C1132,n!D1130)</f>
        <v>Sprawozdanie finansowe spółki nie podlega konsolidacji.</v>
      </c>
      <c r="D83" s="721"/>
      <c r="E83" s="721"/>
      <c r="F83" s="721"/>
      <c r="G83" s="721"/>
      <c r="H83" s="721"/>
      <c r="I83" s="721"/>
      <c r="J83" s="721"/>
      <c r="K83" s="721"/>
      <c r="L83" s="721"/>
      <c r="M83" s="721"/>
      <c r="N83" s="130" t="s">
        <v>6785</v>
      </c>
    </row>
    <row r="84" spans="2:23" s="254" customFormat="1">
      <c r="B84" s="86"/>
      <c r="I84" s="255"/>
      <c r="J84" s="256"/>
      <c r="K84" s="256"/>
      <c r="N84" s="130"/>
    </row>
    <row r="85" spans="2:23" ht="25.5" customHeight="1">
      <c r="C85" s="824" t="str">
        <f>CHOOSE(jezyk,n!A1647,n!B1647,n!C1647,n!D1645)</f>
        <v>Skonsolidowane sprawozdanie finansowe na  najwyższym  szczeblu grupy kapitałowej sporządzane jest przez spółkę xxx z siedzibą w xxx.</v>
      </c>
      <c r="D85" s="824"/>
      <c r="E85" s="824"/>
      <c r="F85" s="824"/>
      <c r="G85" s="824"/>
      <c r="H85" s="824"/>
      <c r="I85" s="824"/>
      <c r="J85" s="824"/>
      <c r="K85" s="824"/>
      <c r="L85" s="824"/>
      <c r="M85" s="824"/>
      <c r="N85" s="219"/>
      <c r="O85" s="219"/>
      <c r="P85" s="219"/>
      <c r="Q85" s="219"/>
      <c r="R85" s="219"/>
      <c r="S85" s="219"/>
      <c r="T85" s="219"/>
      <c r="U85" s="219"/>
      <c r="V85" s="219"/>
      <c r="W85" s="219"/>
    </row>
    <row r="86" spans="2:23">
      <c r="I86" s="1119"/>
      <c r="J86" s="756"/>
      <c r="K86" s="756"/>
      <c r="L86" s="1194"/>
      <c r="M86" s="1194"/>
    </row>
    <row r="87" spans="2:23" ht="25.5" customHeight="1">
      <c r="B87" s="111" t="s">
        <v>6873</v>
      </c>
      <c r="C87" s="725" t="str">
        <f>CHOOSE(jezyk,n!A1648,n!B1648,n!C1648,n!D1646)</f>
        <v xml:space="preserve">Nazwa, adres siedziby zarządu lub siedziby statutowej jednostki oraz forma prawna każdej z jednostek, których dana jednostka jest wspólnikiem ponoszącym nieograniczoną odpowiedzialność majątkową </v>
      </c>
      <c r="D87" s="725"/>
      <c r="E87" s="725"/>
      <c r="F87" s="725"/>
      <c r="G87" s="725"/>
      <c r="H87" s="725"/>
      <c r="I87" s="725"/>
      <c r="J87" s="725"/>
      <c r="K87" s="725"/>
      <c r="L87" s="725"/>
      <c r="M87" s="725"/>
    </row>
    <row r="88" spans="2:23">
      <c r="I88" s="1119"/>
      <c r="J88" s="756"/>
      <c r="K88" s="756"/>
      <c r="L88" s="1194"/>
      <c r="M88" s="1194"/>
    </row>
    <row r="89" spans="2:23">
      <c r="C89" s="721" t="str">
        <f>CHOOSE(jezyk,n!A1131,n!B1131,n!C1131,n!D1129)</f>
        <v>Nie dotyczy</v>
      </c>
      <c r="D89" s="721"/>
      <c r="E89" s="721"/>
      <c r="F89" s="721"/>
      <c r="G89" s="721"/>
      <c r="H89" s="721"/>
      <c r="I89" s="721"/>
      <c r="J89" s="721"/>
      <c r="K89" s="721"/>
      <c r="L89" s="721"/>
      <c r="M89" s="721"/>
      <c r="N89" s="130" t="s">
        <v>6785</v>
      </c>
    </row>
    <row r="90" spans="2:23">
      <c r="I90" s="1119"/>
      <c r="J90" s="756"/>
      <c r="K90" s="756"/>
      <c r="L90" s="1194"/>
      <c r="M90" s="1194"/>
    </row>
    <row r="91" spans="2:23">
      <c r="I91" s="1119"/>
      <c r="J91" s="756"/>
      <c r="K91" s="756"/>
      <c r="L91" s="1194"/>
      <c r="M91" s="1194"/>
    </row>
    <row r="92" spans="2:23">
      <c r="I92" s="1119"/>
      <c r="J92" s="756"/>
      <c r="K92" s="756"/>
      <c r="L92" s="1194"/>
      <c r="M92" s="1194"/>
    </row>
    <row r="93" spans="2:23">
      <c r="I93" s="1119"/>
      <c r="J93" s="756"/>
      <c r="K93" s="756"/>
      <c r="L93" s="1194"/>
      <c r="M93" s="1194"/>
    </row>
    <row r="94" spans="2:23">
      <c r="I94" s="1119"/>
      <c r="J94" s="756"/>
      <c r="K94" s="756"/>
      <c r="L94" s="1194"/>
      <c r="M94" s="1194"/>
    </row>
    <row r="95" spans="2:23">
      <c r="I95" s="1119"/>
      <c r="J95" s="756"/>
      <c r="K95" s="756"/>
      <c r="L95" s="1194"/>
      <c r="M95" s="1194"/>
    </row>
    <row r="96" spans="2:23">
      <c r="I96" s="1119"/>
      <c r="J96" s="756"/>
      <c r="K96" s="756"/>
      <c r="L96" s="1194"/>
      <c r="M96" s="1194"/>
    </row>
    <row r="97" spans="9:13">
      <c r="I97" s="1119"/>
      <c r="J97" s="756"/>
      <c r="K97" s="756"/>
      <c r="L97" s="1194"/>
      <c r="M97" s="1194"/>
    </row>
    <row r="98" spans="9:13">
      <c r="I98" s="1119"/>
      <c r="J98" s="756"/>
      <c r="K98" s="756"/>
      <c r="L98" s="1194"/>
      <c r="M98" s="1194"/>
    </row>
    <row r="99" spans="9:13">
      <c r="I99" s="1119"/>
      <c r="J99" s="756"/>
      <c r="K99" s="756"/>
      <c r="L99" s="1194"/>
      <c r="M99" s="1194"/>
    </row>
    <row r="100" spans="9:13">
      <c r="I100" s="1119"/>
      <c r="J100" s="756"/>
      <c r="K100" s="756"/>
      <c r="L100" s="1194"/>
      <c r="M100" s="1194"/>
    </row>
    <row r="101" spans="9:13">
      <c r="I101" s="1119"/>
      <c r="J101" s="756"/>
      <c r="K101" s="756"/>
      <c r="L101" s="1194"/>
      <c r="M101" s="1194"/>
    </row>
    <row r="102" spans="9:13">
      <c r="I102" s="1119"/>
      <c r="J102" s="756"/>
      <c r="K102" s="756"/>
      <c r="L102" s="1194"/>
      <c r="M102" s="1194"/>
    </row>
    <row r="103" spans="9:13">
      <c r="I103" s="1119"/>
      <c r="J103" s="756"/>
      <c r="K103" s="756"/>
      <c r="L103" s="1194"/>
      <c r="M103" s="1194"/>
    </row>
    <row r="104" spans="9:13">
      <c r="I104" s="1119"/>
      <c r="J104" s="756"/>
      <c r="K104" s="756"/>
      <c r="L104" s="1194"/>
      <c r="M104" s="1194"/>
    </row>
    <row r="105" spans="9:13">
      <c r="I105" s="1119"/>
      <c r="J105" s="756"/>
      <c r="K105" s="756"/>
      <c r="L105" s="1194"/>
      <c r="M105" s="1194"/>
    </row>
    <row r="106" spans="9:13">
      <c r="I106" s="1119"/>
      <c r="J106" s="756"/>
      <c r="K106" s="756"/>
      <c r="L106" s="1194"/>
      <c r="M106" s="1194"/>
    </row>
    <row r="107" spans="9:13">
      <c r="I107" s="1119"/>
      <c r="J107" s="756"/>
      <c r="K107" s="756"/>
      <c r="L107" s="1194"/>
      <c r="M107" s="1194"/>
    </row>
    <row r="108" spans="9:13">
      <c r="I108" s="1119"/>
      <c r="J108" s="756"/>
      <c r="K108" s="756"/>
      <c r="L108" s="1194"/>
      <c r="M108" s="1194"/>
    </row>
    <row r="109" spans="9:13">
      <c r="I109" s="1119"/>
      <c r="J109" s="756"/>
      <c r="K109" s="756"/>
      <c r="L109" s="1194"/>
      <c r="M109" s="1194"/>
    </row>
    <row r="110" spans="9:13">
      <c r="I110" s="1119"/>
      <c r="J110" s="756"/>
      <c r="K110" s="756"/>
      <c r="L110" s="1194"/>
      <c r="M110" s="1194"/>
    </row>
    <row r="111" spans="9:13">
      <c r="I111" s="1119"/>
      <c r="J111" s="756"/>
      <c r="K111" s="756"/>
      <c r="L111" s="1194"/>
      <c r="M111" s="1194"/>
    </row>
    <row r="112" spans="9:13">
      <c r="I112" s="1119"/>
      <c r="J112" s="756"/>
      <c r="K112" s="756"/>
      <c r="L112" s="1194"/>
      <c r="M112" s="1194"/>
    </row>
    <row r="113" spans="9:13">
      <c r="I113" s="1119"/>
      <c r="J113" s="756"/>
      <c r="K113" s="756"/>
      <c r="L113" s="1194"/>
      <c r="M113" s="1194"/>
    </row>
    <row r="114" spans="9:13">
      <c r="I114" s="1119"/>
      <c r="J114" s="756"/>
      <c r="K114" s="756"/>
      <c r="L114" s="1194"/>
      <c r="M114" s="1194"/>
    </row>
    <row r="115" spans="9:13">
      <c r="I115" s="1119"/>
      <c r="J115" s="756"/>
      <c r="K115" s="756"/>
      <c r="L115" s="1194"/>
      <c r="M115" s="1194"/>
    </row>
    <row r="116" spans="9:13">
      <c r="I116" s="1119"/>
      <c r="J116" s="756"/>
      <c r="K116" s="756"/>
      <c r="L116" s="1194"/>
      <c r="M116" s="1194"/>
    </row>
    <row r="117" spans="9:13">
      <c r="I117" s="1119"/>
      <c r="J117" s="756"/>
      <c r="K117" s="756"/>
      <c r="L117" s="1194"/>
      <c r="M117" s="1194"/>
    </row>
    <row r="118" spans="9:13">
      <c r="I118" s="1119"/>
      <c r="J118" s="756"/>
      <c r="K118" s="756"/>
      <c r="L118" s="1194"/>
      <c r="M118" s="1194"/>
    </row>
    <row r="119" spans="9:13">
      <c r="I119" s="1119"/>
      <c r="J119" s="756"/>
      <c r="K119" s="756"/>
      <c r="L119" s="1194"/>
      <c r="M119" s="1194"/>
    </row>
    <row r="120" spans="9:13">
      <c r="I120" s="1119"/>
      <c r="J120" s="756"/>
      <c r="K120" s="756"/>
      <c r="L120" s="1194"/>
      <c r="M120" s="1194"/>
    </row>
    <row r="121" spans="9:13">
      <c r="I121" s="1119"/>
      <c r="J121" s="756"/>
      <c r="K121" s="756"/>
      <c r="L121" s="1194"/>
      <c r="M121" s="1194"/>
    </row>
    <row r="122" spans="9:13">
      <c r="I122" s="1119"/>
      <c r="J122" s="756"/>
      <c r="K122" s="756"/>
      <c r="L122" s="1194"/>
      <c r="M122" s="1194"/>
    </row>
    <row r="123" spans="9:13">
      <c r="I123" s="1119"/>
      <c r="J123" s="756"/>
      <c r="K123" s="756"/>
      <c r="L123" s="1194"/>
      <c r="M123" s="1194"/>
    </row>
    <row r="124" spans="9:13">
      <c r="I124" s="1119"/>
      <c r="J124" s="756"/>
      <c r="K124" s="756"/>
      <c r="L124" s="1194"/>
      <c r="M124" s="1194"/>
    </row>
    <row r="125" spans="9:13">
      <c r="I125" s="1119"/>
      <c r="J125" s="756"/>
      <c r="K125" s="756"/>
      <c r="L125" s="1194"/>
      <c r="M125" s="1194"/>
    </row>
    <row r="126" spans="9:13">
      <c r="I126" s="1119"/>
      <c r="J126" s="756"/>
      <c r="K126" s="756"/>
      <c r="L126" s="1194"/>
      <c r="M126" s="1194"/>
    </row>
    <row r="127" spans="9:13">
      <c r="I127" s="1119"/>
      <c r="J127" s="756"/>
      <c r="K127" s="756"/>
      <c r="L127" s="1194"/>
      <c r="M127" s="1194"/>
    </row>
    <row r="128" spans="9:13">
      <c r="I128" s="1119"/>
      <c r="J128" s="756"/>
      <c r="K128" s="756"/>
      <c r="L128" s="1194"/>
      <c r="M128" s="1194"/>
    </row>
    <row r="129" spans="9:13">
      <c r="I129" s="1119"/>
      <c r="J129" s="756"/>
      <c r="K129" s="756"/>
      <c r="L129" s="1194"/>
      <c r="M129" s="1194"/>
    </row>
    <row r="130" spans="9:13">
      <c r="I130" s="1119"/>
      <c r="J130" s="756"/>
      <c r="K130" s="756"/>
      <c r="L130" s="1194"/>
      <c r="M130" s="1194"/>
    </row>
    <row r="131" spans="9:13">
      <c r="I131" s="1119"/>
      <c r="J131" s="756"/>
      <c r="K131" s="756"/>
      <c r="L131" s="1194"/>
      <c r="M131" s="1194"/>
    </row>
    <row r="132" spans="9:13">
      <c r="I132" s="1119"/>
      <c r="J132" s="756"/>
      <c r="K132" s="756"/>
      <c r="L132" s="1194"/>
      <c r="M132" s="1194"/>
    </row>
  </sheetData>
  <mergeCells count="141">
    <mergeCell ref="C33:E33"/>
    <mergeCell ref="I33:M33"/>
    <mergeCell ref="I32:M32"/>
    <mergeCell ref="I31:M31"/>
    <mergeCell ref="C28:E28"/>
    <mergeCell ref="C29:E29"/>
    <mergeCell ref="I29:M29"/>
    <mergeCell ref="C32:E32"/>
    <mergeCell ref="C40:M40"/>
    <mergeCell ref="C35:E35"/>
    <mergeCell ref="B1:M1"/>
    <mergeCell ref="B4:M4"/>
    <mergeCell ref="C6:M6"/>
    <mergeCell ref="F12:H12"/>
    <mergeCell ref="C12:E12"/>
    <mergeCell ref="C15:E15"/>
    <mergeCell ref="C20:M20"/>
    <mergeCell ref="I5:M5"/>
    <mergeCell ref="F10:H10"/>
    <mergeCell ref="F11:H11"/>
    <mergeCell ref="C11:E11"/>
    <mergeCell ref="C14:E14"/>
    <mergeCell ref="I7:M7"/>
    <mergeCell ref="C13:E13"/>
    <mergeCell ref="F13:H13"/>
    <mergeCell ref="C8:M8"/>
    <mergeCell ref="C17:E17"/>
    <mergeCell ref="C16:E16"/>
    <mergeCell ref="F14:H14"/>
    <mergeCell ref="F15:H15"/>
    <mergeCell ref="F16:H16"/>
    <mergeCell ref="F17:H17"/>
    <mergeCell ref="C22:M22"/>
    <mergeCell ref="C18:E18"/>
    <mergeCell ref="F18:H18"/>
    <mergeCell ref="C52:M52"/>
    <mergeCell ref="C53:M53"/>
    <mergeCell ref="I58:M58"/>
    <mergeCell ref="I56:M56"/>
    <mergeCell ref="I30:M30"/>
    <mergeCell ref="C34:E34"/>
    <mergeCell ref="I34:M34"/>
    <mergeCell ref="C24:D24"/>
    <mergeCell ref="C38:D38"/>
    <mergeCell ref="C49:E49"/>
    <mergeCell ref="I49:M49"/>
    <mergeCell ref="C50:E50"/>
    <mergeCell ref="I50:M50"/>
    <mergeCell ref="C26:M26"/>
    <mergeCell ref="C30:E30"/>
    <mergeCell ref="C21:M21"/>
    <mergeCell ref="I28:M28"/>
    <mergeCell ref="C36:E36"/>
    <mergeCell ref="C31:E31"/>
    <mergeCell ref="I35:M35"/>
    <mergeCell ref="I36:M36"/>
    <mergeCell ref="I51:M51"/>
    <mergeCell ref="C54:M54"/>
    <mergeCell ref="C42:E42"/>
    <mergeCell ref="I42:M42"/>
    <mergeCell ref="C43:E43"/>
    <mergeCell ref="I43:M43"/>
    <mergeCell ref="C44:E44"/>
    <mergeCell ref="I44:M44"/>
    <mergeCell ref="C45:E45"/>
    <mergeCell ref="I45:M45"/>
    <mergeCell ref="C46:E46"/>
    <mergeCell ref="I46:M46"/>
    <mergeCell ref="C47:E47"/>
    <mergeCell ref="I47:M47"/>
    <mergeCell ref="C48:E48"/>
    <mergeCell ref="I48:M48"/>
    <mergeCell ref="I80:M80"/>
    <mergeCell ref="C55:M55"/>
    <mergeCell ref="I57:M57"/>
    <mergeCell ref="C56:E56"/>
    <mergeCell ref="C57:E57"/>
    <mergeCell ref="C64:M64"/>
    <mergeCell ref="C59:M59"/>
    <mergeCell ref="C60:M60"/>
    <mergeCell ref="C62:M62"/>
    <mergeCell ref="C66:M66"/>
    <mergeCell ref="C77:M77"/>
    <mergeCell ref="C79:M79"/>
    <mergeCell ref="C70:G70"/>
    <mergeCell ref="C71:G71"/>
    <mergeCell ref="C72:G72"/>
    <mergeCell ref="C73:G73"/>
    <mergeCell ref="C75:M75"/>
    <mergeCell ref="C68:M68"/>
    <mergeCell ref="C87:M87"/>
    <mergeCell ref="C89:M89"/>
    <mergeCell ref="C81:M81"/>
    <mergeCell ref="C85:M85"/>
    <mergeCell ref="I91:M91"/>
    <mergeCell ref="I92:M92"/>
    <mergeCell ref="I93:M93"/>
    <mergeCell ref="I94:M94"/>
    <mergeCell ref="I97:M97"/>
    <mergeCell ref="I90:M90"/>
    <mergeCell ref="I95:M95"/>
    <mergeCell ref="I96:M96"/>
    <mergeCell ref="I82:M82"/>
    <mergeCell ref="I86:M86"/>
    <mergeCell ref="I88:M88"/>
    <mergeCell ref="C83:M83"/>
    <mergeCell ref="I104:M104"/>
    <mergeCell ref="I105:M105"/>
    <mergeCell ref="I106:M106"/>
    <mergeCell ref="I99:M99"/>
    <mergeCell ref="I100:M100"/>
    <mergeCell ref="I103:M103"/>
    <mergeCell ref="I101:M101"/>
    <mergeCell ref="I102:M102"/>
    <mergeCell ref="I98:M98"/>
    <mergeCell ref="I131:M131"/>
    <mergeCell ref="I132:M132"/>
    <mergeCell ref="I122:M122"/>
    <mergeCell ref="I128:M128"/>
    <mergeCell ref="I129:M129"/>
    <mergeCell ref="I130:M130"/>
    <mergeCell ref="I127:M127"/>
    <mergeCell ref="I125:M125"/>
    <mergeCell ref="I126:M126"/>
    <mergeCell ref="I121:M121"/>
    <mergeCell ref="I123:M123"/>
    <mergeCell ref="I124:M124"/>
    <mergeCell ref="I107:M107"/>
    <mergeCell ref="I108:M108"/>
    <mergeCell ref="I109:M109"/>
    <mergeCell ref="I110:M110"/>
    <mergeCell ref="I114:M114"/>
    <mergeCell ref="I111:M111"/>
    <mergeCell ref="I112:M112"/>
    <mergeCell ref="I119:M119"/>
    <mergeCell ref="I120:M120"/>
    <mergeCell ref="I113:M113"/>
    <mergeCell ref="I115:M115"/>
    <mergeCell ref="I116:M116"/>
    <mergeCell ref="I118:M118"/>
    <mergeCell ref="I117:M117"/>
  </mergeCells>
  <phoneticPr fontId="0" type="noConversion"/>
  <dataValidations count="1">
    <dataValidation type="list" allowBlank="1" showInputMessage="1" showErrorMessage="1" sqref="Q81" xr:uid="{866E65E6-10FA-4137-A5EB-AE33A9C77C3B}">
      <formula1>"najniższym,najwyższym"</formula1>
    </dataValidation>
  </dataValidations>
  <hyperlinks>
    <hyperlink ref="B1:M1" location="'spis treści'!A1" display="SPIS TREŚCI" xr:uid="{00000000-0004-0000-2E00-000000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7</oddFooter>
  </headerFooter>
  <rowBreaks count="2" manualBreakCount="2">
    <brk id="22" min="1" max="12" man="1"/>
    <brk id="50" max="1638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28">
    <pageSetUpPr fitToPage="1"/>
  </sheetPr>
  <dimension ref="A1:AA364"/>
  <sheetViews>
    <sheetView showGridLines="0" view="pageBreakPreview" zoomScaleNormal="100" zoomScaleSheetLayoutView="100" workbookViewId="0"/>
  </sheetViews>
  <sheetFormatPr defaultColWidth="9.140625" defaultRowHeight="12.75"/>
  <cols>
    <col min="1" max="1" width="20" style="66" bestFit="1" customWidth="1"/>
    <col min="2" max="2" width="5.7109375" style="72" customWidth="1"/>
    <col min="3" max="3" width="9.140625" style="66"/>
    <col min="4" max="4" width="7" style="66" customWidth="1"/>
    <col min="5" max="5" width="7.42578125" style="66" customWidth="1"/>
    <col min="6" max="6" width="4.7109375" style="66" customWidth="1"/>
    <col min="7" max="7" width="9.140625" style="66"/>
    <col min="8" max="8" width="7.5703125" style="66" customWidth="1"/>
    <col min="9" max="9" width="15.140625" style="66" customWidth="1"/>
    <col min="10" max="10" width="5.28515625" style="66" customWidth="1"/>
    <col min="11" max="11" width="12.28515625" style="66" customWidth="1"/>
    <col min="12" max="12" width="14.7109375" style="66" customWidth="1"/>
    <col min="13" max="16384" width="9.140625" style="66"/>
  </cols>
  <sheetData>
    <row r="1" spans="1:13">
      <c r="B1" s="749" t="s">
        <v>3202</v>
      </c>
      <c r="C1" s="749"/>
      <c r="D1" s="749"/>
      <c r="E1" s="749"/>
      <c r="F1" s="749"/>
      <c r="G1" s="749"/>
      <c r="H1" s="749"/>
      <c r="I1" s="749"/>
      <c r="J1" s="749"/>
      <c r="K1" s="749"/>
      <c r="L1" s="390"/>
    </row>
    <row r="2" spans="1:13">
      <c r="B2" s="386" t="str">
        <f>nazwa_spolki</f>
        <v>Rhenus Digital Workforce Sp. z o.o.</v>
      </c>
      <c r="C2" s="390"/>
      <c r="D2" s="390"/>
      <c r="E2" s="390"/>
      <c r="F2" s="390"/>
      <c r="G2" s="390"/>
      <c r="H2" s="390"/>
      <c r="I2" s="390"/>
      <c r="J2" s="390"/>
      <c r="K2" s="390"/>
      <c r="L2" s="390"/>
    </row>
    <row r="3" spans="1:13" ht="45.95" customHeight="1">
      <c r="B3" s="129" t="str">
        <f>tytul</f>
        <v>Sprawozdanie finansowe sporządzone za rok obrotowy 2024</v>
      </c>
      <c r="C3" s="390"/>
      <c r="D3" s="390"/>
      <c r="E3" s="390"/>
      <c r="F3" s="390"/>
      <c r="G3" s="390"/>
      <c r="H3" s="390"/>
      <c r="I3" s="390"/>
      <c r="J3" s="390"/>
      <c r="K3" s="390"/>
      <c r="L3" s="390"/>
    </row>
    <row r="4" spans="1:13" s="178" customFormat="1" ht="20.25">
      <c r="B4" s="789" t="str">
        <f>"8. "&amp;CHOOSE(jezyk,n!A613,n!B613,n!C613,n!D611)</f>
        <v>8. DODATKOWE INFORMACJE I OBJAŚNIENIA</v>
      </c>
      <c r="C4" s="789"/>
      <c r="D4" s="789"/>
      <c r="E4" s="789"/>
      <c r="F4" s="789"/>
      <c r="G4" s="789"/>
      <c r="H4" s="789"/>
      <c r="I4" s="789"/>
      <c r="J4" s="789"/>
      <c r="K4" s="789"/>
      <c r="L4" s="789"/>
    </row>
    <row r="6" spans="1:13" ht="27" customHeight="1">
      <c r="A6" s="72"/>
      <c r="B6" s="111" t="s">
        <v>6874</v>
      </c>
      <c r="C6" s="725" t="str">
        <f>CHOOSE(jezyk,n!A1130,n!B1130,n!C1130,n!D1128)</f>
        <v>Informacje o spółce, z którą nastąpiło połączenie rozliczone metodą nabycia</v>
      </c>
      <c r="D6" s="725"/>
      <c r="E6" s="725"/>
      <c r="F6" s="725"/>
      <c r="G6" s="725"/>
      <c r="H6" s="725"/>
      <c r="I6" s="725"/>
      <c r="J6" s="725"/>
      <c r="K6" s="725"/>
      <c r="L6" s="725"/>
      <c r="M6" s="230"/>
    </row>
    <row r="7" spans="1:13" ht="12.75" customHeight="1">
      <c r="B7" s="111"/>
      <c r="C7" s="721" t="str">
        <f>CHOOSE(jezyk,n!A1131,n!B1131,n!C1131,n!D1129)</f>
        <v>Nie dotyczy</v>
      </c>
      <c r="D7" s="721"/>
      <c r="E7" s="721"/>
      <c r="F7" s="721"/>
      <c r="G7" s="721"/>
      <c r="H7" s="721"/>
      <c r="I7" s="721"/>
      <c r="J7" s="721"/>
      <c r="K7" s="721"/>
      <c r="L7" s="721"/>
      <c r="M7" s="130" t="s">
        <v>6785</v>
      </c>
    </row>
    <row r="9" spans="1:13" ht="19.5" customHeight="1">
      <c r="B9" s="80" t="s">
        <v>6591</v>
      </c>
      <c r="C9" s="827" t="str">
        <f>CHOOSE(jezyk,n!A1134,n!B1134,n!C1134,n!D1131)</f>
        <v>Nazwa spółki</v>
      </c>
      <c r="D9" s="828"/>
      <c r="E9" s="828"/>
      <c r="F9" s="829"/>
      <c r="G9" s="945" t="str">
        <f>CHOOSE(jezyk,n!A1135,n!B1135,n!C1135,n!D1132)</f>
        <v>Przedmiot działalności spółki przejętej</v>
      </c>
      <c r="H9" s="1063"/>
      <c r="I9" s="1063"/>
      <c r="J9" s="1063"/>
      <c r="K9" s="1063"/>
      <c r="L9" s="946"/>
    </row>
    <row r="10" spans="1:13" ht="18" customHeight="1">
      <c r="B10" s="88"/>
      <c r="C10" s="1165"/>
      <c r="D10" s="1166"/>
      <c r="E10" s="1166"/>
      <c r="F10" s="1167"/>
      <c r="G10" s="1162"/>
      <c r="H10" s="1163"/>
      <c r="I10" s="1163"/>
      <c r="J10" s="1163"/>
      <c r="K10" s="1163"/>
      <c r="L10" s="1164"/>
    </row>
    <row r="11" spans="1:13">
      <c r="B11" s="88"/>
    </row>
    <row r="12" spans="1:13">
      <c r="B12" s="80" t="s">
        <v>6593</v>
      </c>
      <c r="C12" s="79" t="str">
        <f>CHOOSE(jezyk,n!A1136,n!B1136,n!C1136,n!D1134)</f>
        <v>Informacja o wyemitowanych akcjach (udziałach) w celu połączenia</v>
      </c>
    </row>
    <row r="13" spans="1:13">
      <c r="B13" s="88"/>
    </row>
    <row r="14" spans="1:13" ht="12.75" customHeight="1">
      <c r="B14" s="88"/>
      <c r="C14" s="721" t="str">
        <f>CHOOSE(jezyk,n!A1131,n!B1131,n!C1131,n!D1129)</f>
        <v>Nie dotyczy</v>
      </c>
      <c r="D14" s="721"/>
      <c r="E14" s="721"/>
      <c r="F14" s="721"/>
      <c r="G14" s="721"/>
      <c r="H14" s="721"/>
      <c r="I14" s="721"/>
      <c r="J14" s="721"/>
      <c r="K14" s="721"/>
      <c r="L14" s="721"/>
    </row>
    <row r="15" spans="1:13">
      <c r="B15" s="88"/>
    </row>
    <row r="16" spans="1:13" ht="27.75" customHeight="1">
      <c r="B16" s="88"/>
      <c r="C16" s="805" t="str">
        <f>CHOOSE(jezyk,n!A1137,n!B1137,n!C1137,n!D1135)</f>
        <v>Liczba akcji (udziałów):</v>
      </c>
      <c r="D16" s="805" t="str">
        <f>CHOOSE(jezyk,n!B1642,n!C1642,n!D1638,n!E1638)</f>
        <v>Gruppe 6</v>
      </c>
      <c r="E16" s="805" t="str">
        <f>CHOOSE(jezyk,n!C1642,n!D1638,n!E1638,n!F1638)</f>
        <v>Group 6</v>
      </c>
      <c r="F16" s="805">
        <f>CHOOSE(jezyk,n!D1638,n!E1638,n!F1638,n!G1638)</f>
        <v>0</v>
      </c>
      <c r="G16" s="805" t="str">
        <f>CHOOSE(jezyk,n!A1138,n!B1138,n!C1138,n!D1136)</f>
        <v>Wartość nominalna akcji (udziałów):</v>
      </c>
      <c r="H16" s="805">
        <f>CHOOSE(jezyk,n!F1637,n!G1637,n!H1637,n!I1637)</f>
        <v>0</v>
      </c>
      <c r="I16" s="805" t="str">
        <f>CHOOSE(jezyk,n!A1139,n!B1139,n!C1139,n!D1137)</f>
        <v>Rodzaj akcji (udziałów):</v>
      </c>
      <c r="J16" s="805"/>
      <c r="K16" s="805"/>
      <c r="L16" s="257"/>
    </row>
    <row r="17" spans="1:13" ht="18.75" customHeight="1">
      <c r="B17" s="88"/>
      <c r="C17" s="1149"/>
      <c r="D17" s="1149"/>
      <c r="E17" s="1149"/>
      <c r="F17" s="1149"/>
      <c r="G17" s="1122"/>
      <c r="H17" s="1122"/>
      <c r="I17" s="1154"/>
      <c r="J17" s="1154"/>
      <c r="K17" s="1154"/>
      <c r="L17" s="257"/>
    </row>
    <row r="18" spans="1:13" ht="15" customHeight="1">
      <c r="B18" s="88"/>
      <c r="C18" s="917">
        <f>SUM(C17:F17)</f>
        <v>0</v>
      </c>
      <c r="D18" s="1152"/>
      <c r="E18" s="1152"/>
      <c r="F18" s="918"/>
      <c r="G18" s="917">
        <f>SUM(G17:J17)</f>
        <v>0</v>
      </c>
      <c r="H18" s="918"/>
      <c r="I18" s="258"/>
      <c r="J18" s="258"/>
      <c r="K18" s="257"/>
      <c r="L18" s="257"/>
    </row>
    <row r="19" spans="1:13">
      <c r="B19" s="88"/>
      <c r="C19" s="257"/>
      <c r="D19" s="257"/>
      <c r="E19" s="257"/>
      <c r="F19" s="257"/>
      <c r="G19" s="257"/>
      <c r="H19" s="257"/>
      <c r="I19" s="257"/>
      <c r="J19" s="257"/>
      <c r="K19" s="257"/>
      <c r="L19" s="257"/>
    </row>
    <row r="20" spans="1:13">
      <c r="B20" s="80" t="s">
        <v>6594</v>
      </c>
      <c r="C20" s="79" t="str">
        <f>CHOOSE(jezyk,n!A1649,n!B1649,n!C1649,n!D1645)</f>
        <v>Informacje o cenie przejęcia i wartości firmy</v>
      </c>
    </row>
    <row r="21" spans="1:13">
      <c r="B21" s="88"/>
    </row>
    <row r="22" spans="1:13">
      <c r="B22" s="88"/>
      <c r="C22" s="1153" t="str">
        <f>CHOOSE(jezyk,n!A1650,n!B1650,n!C1650,n!D1646)</f>
        <v>Pozycja</v>
      </c>
      <c r="D22" s="1153" t="str">
        <f>CHOOSE(jezyk,n!B1652,n!C1652,n!D1648,n!E1648)</f>
        <v>Wert des Nettovermögens</v>
      </c>
      <c r="E22" s="1153" t="str">
        <f>CHOOSE(jezyk,n!C1652,n!D1648,n!E1648,n!F1648)</f>
        <v>Net assets by value</v>
      </c>
      <c r="F22" s="1153">
        <f>CHOOSE(jezyk,n!D1648,n!E1648,n!F1648,n!G1648)</f>
        <v>0</v>
      </c>
      <c r="G22" s="1151" t="str">
        <f>CHOOSE(jezyk,n!A1654,n!B1654,n!C1654,n!D1650)</f>
        <v>Spółka X</v>
      </c>
      <c r="H22" s="1151">
        <f>CHOOSE(jezyk,n!F1648,n!G1648,n!H1648,n!I1648)</f>
        <v>0</v>
      </c>
      <c r="I22" s="1151" t="str">
        <f>CHOOSE(jezyk,n!A1655,n!B1655,n!C1655,n!D1651)</f>
        <v>Spółka Y</v>
      </c>
      <c r="J22" s="1151">
        <f>CHOOSE(jezyk,n!H1648,n!I1648,n!J1648,n!K1648)</f>
        <v>0</v>
      </c>
    </row>
    <row r="23" spans="1:13" ht="16.5" customHeight="1">
      <c r="B23" s="88"/>
      <c r="C23" s="822" t="str">
        <f>CHOOSE(jezyk,n!A1651,n!B1651,n!C1651,n!D1647)</f>
        <v>Cena przejęcia</v>
      </c>
      <c r="D23" s="822" t="str">
        <f>CHOOSE(jezyk,n!B1653,n!C1653,n!D1649,n!E1649)</f>
        <v>Geschäfts- oder Firmenwert/Negativer Geschäfts- oder Firmenwert</v>
      </c>
      <c r="E23" s="822" t="str">
        <f>CHOOSE(jezyk,n!C1653,n!D1649,n!E1649,n!F1649)</f>
        <v>Goodwill / Negative goodwill</v>
      </c>
      <c r="F23" s="822">
        <f>CHOOSE(jezyk,n!D1649,n!E1649,n!F1649,n!G1649)</f>
        <v>0</v>
      </c>
      <c r="G23" s="916"/>
      <c r="H23" s="916"/>
      <c r="I23" s="916"/>
      <c r="J23" s="916"/>
    </row>
    <row r="24" spans="1:13" ht="19.5" customHeight="1">
      <c r="B24" s="88"/>
      <c r="C24" s="822" t="str">
        <f>CHOOSE(jezyk,n!A1652,n!B1652,n!C1652,n!D1648)</f>
        <v>Wartość aktywów netto</v>
      </c>
      <c r="D24" s="822" t="str">
        <f>CHOOSE(jezyk,n!B1657,n!C1657,n!D1653,n!E1653)</f>
        <v xml:space="preserve">beim Amtsgericht ……………., ………... Wirtschaftsabteilung des Landesgerichtsregisters, unter der Nummer ………….. </v>
      </c>
      <c r="E24" s="822" t="str">
        <f>CHOOSE(jezyk,n!C1657,n!D1653,n!E1653,n!F1653)</f>
        <v xml:space="preserve">in the District Court for ……………., ………... Commercial Division of the National Court Register, under number ………….. </v>
      </c>
      <c r="F24" s="822">
        <f>CHOOSE(jezyk,n!D1653,n!E1653,n!F1653,n!G1653)</f>
        <v>0</v>
      </c>
      <c r="G24" s="916"/>
      <c r="H24" s="916"/>
      <c r="I24" s="916"/>
      <c r="J24" s="916"/>
    </row>
    <row r="25" spans="1:13" ht="24.75" customHeight="1">
      <c r="A25" s="72"/>
      <c r="B25" s="88"/>
      <c r="C25" s="822" t="str">
        <f>CHOOSE(jezyk,n!A1653,n!B1653,n!C1653,n!D1649)</f>
        <v>Wartość firmy/Ujemna wartość firmy</v>
      </c>
      <c r="D25" s="822" t="str">
        <f>CHOOSE(jezyk,n!B1658,n!C1658,n!D1654,n!E1654)</f>
        <v>Die gesellschaftsrechtlichen Verhältnisse sind im Gesellschaftsvertrag in der Fassung vom  …………….., mit späteren Änderungen, geregelt. Der Gesellschaftsvertrag wurde in (Notarkanzlei) in (Stadt) unter der Urkundenrolle ……………. geschlossen.</v>
      </c>
      <c r="E25" s="822" t="str">
        <f>CHOOSE(jezyk,n!C1658,n!D1654,n!E1654,n!F1654)</f>
        <v>The Company conducts its business activity on the basis of the Articles of Association dated …………….., drawn up in the notary office in (location), and recorded in Register no. ……………., as amended.</v>
      </c>
      <c r="F25" s="822">
        <f>CHOOSE(jezyk,n!D1654,n!E1654,n!F1654,n!G1654)</f>
        <v>0</v>
      </c>
      <c r="G25" s="916"/>
      <c r="H25" s="916"/>
      <c r="I25" s="916"/>
      <c r="J25" s="916"/>
    </row>
    <row r="27" spans="1:13" ht="12.75" customHeight="1">
      <c r="C27" s="1131" t="str">
        <f>CHOOSE(jezyk,n!A1656,n!B1656,n!C1656,n!D1652)</f>
        <v>Opis metody amortyzacji wartości firmy.</v>
      </c>
      <c r="D27" s="1131"/>
      <c r="E27" s="1131"/>
      <c r="F27" s="1131"/>
      <c r="G27" s="1131"/>
      <c r="H27" s="1131"/>
      <c r="I27" s="1131"/>
      <c r="J27" s="1131"/>
      <c r="K27" s="1131"/>
      <c r="L27" s="1131"/>
    </row>
    <row r="29" spans="1:13" ht="12.75" customHeight="1">
      <c r="A29" s="72"/>
      <c r="B29" s="111" t="s">
        <v>6875</v>
      </c>
      <c r="C29" s="808" t="str">
        <f>CHOOSE(jezyk,n!A1140,n!B1140,n!C1140,n!D1138)</f>
        <v>Informacje o spółkach, z którymi nastąpiło połączenie rozliczone metodą łączenia udziałów</v>
      </c>
      <c r="D29" s="808"/>
      <c r="E29" s="808"/>
      <c r="F29" s="808"/>
      <c r="G29" s="808"/>
      <c r="H29" s="808"/>
      <c r="I29" s="808"/>
      <c r="J29" s="808"/>
      <c r="K29" s="808"/>
      <c r="L29" s="808"/>
    </row>
    <row r="30" spans="1:13">
      <c r="B30" s="111"/>
      <c r="C30" s="396"/>
      <c r="D30" s="396"/>
      <c r="E30" s="396"/>
      <c r="F30" s="396"/>
      <c r="G30" s="396"/>
      <c r="H30" s="396"/>
      <c r="I30" s="396"/>
      <c r="J30" s="396"/>
      <c r="K30" s="396"/>
      <c r="L30" s="396"/>
    </row>
    <row r="31" spans="1:13" ht="12.75" customHeight="1">
      <c r="B31" s="111"/>
      <c r="C31" s="721" t="str">
        <f>CHOOSE(jezyk,n!A1131,n!B1131,n!C1131,n!D1129)</f>
        <v>Nie dotyczy</v>
      </c>
      <c r="D31" s="721"/>
      <c r="E31" s="721"/>
      <c r="F31" s="721"/>
      <c r="G31" s="721"/>
      <c r="H31" s="721"/>
      <c r="I31" s="721"/>
      <c r="J31" s="721"/>
      <c r="K31" s="721"/>
      <c r="L31" s="721"/>
      <c r="M31" s="130" t="s">
        <v>6785</v>
      </c>
    </row>
    <row r="32" spans="1:13">
      <c r="B32" s="111"/>
      <c r="C32" s="160"/>
      <c r="M32" s="230"/>
    </row>
    <row r="33" spans="2:13" ht="19.5" customHeight="1">
      <c r="B33" s="80" t="s">
        <v>6591</v>
      </c>
      <c r="C33" s="827" t="str">
        <f>CHOOSE(jezyk,n!A1134,n!B1134,n!C1134,n!D1131)</f>
        <v>Nazwa spółki</v>
      </c>
      <c r="D33" s="828"/>
      <c r="E33" s="828"/>
      <c r="F33" s="829"/>
      <c r="G33" s="945" t="str">
        <f>CHOOSE(jezyk,n!A1141,n!B1141,n!C1141,n!D1139)</f>
        <v>Przedmiot działalności spółki:</v>
      </c>
      <c r="H33" s="1063"/>
      <c r="I33" s="1063"/>
      <c r="J33" s="1063"/>
      <c r="K33" s="1063"/>
      <c r="L33" s="946"/>
    </row>
    <row r="34" spans="2:13" ht="16.5" customHeight="1">
      <c r="B34" s="88"/>
      <c r="C34" s="1165"/>
      <c r="D34" s="1166"/>
      <c r="E34" s="1166"/>
      <c r="F34" s="1167"/>
      <c r="G34" s="1165"/>
      <c r="H34" s="1166"/>
      <c r="I34" s="1166"/>
      <c r="J34" s="1166"/>
      <c r="K34" s="1166"/>
      <c r="L34" s="1167"/>
    </row>
    <row r="35" spans="2:13">
      <c r="B35" s="88"/>
    </row>
    <row r="36" spans="2:13">
      <c r="B36" s="80" t="s">
        <v>6593</v>
      </c>
      <c r="C36" s="79" t="str">
        <f>CHOOSE(jezyk,n!A1136,n!B1136,n!C1136,n!D1134)</f>
        <v>Informacja o wyemitowanych akcjach (udziałach) w celu połączenia</v>
      </c>
    </row>
    <row r="37" spans="2:13">
      <c r="B37" s="88"/>
    </row>
    <row r="38" spans="2:13" ht="25.5" customHeight="1">
      <c r="B38" s="88"/>
      <c r="C38" s="822" t="str">
        <f>C16</f>
        <v>Liczba akcji (udziałów):</v>
      </c>
      <c r="D38" s="822" t="str">
        <f>CHOOSE(jezyk,n!B1669,n!C1669,n!D1665,n!E1665)</f>
        <v>Trotz des Konjunkturrückgangs treten keine Symptome auf, die von einer Bedrohung der Unternehmensfortführung oder der Einschränkung ihres Umfangs zeugen würden, und die erfolgten Änderungen weisen auf die Fortsetzung der Entwicklung hin.</v>
      </c>
      <c r="E38" s="822" t="str">
        <f>CHOOSE(jezyk,n!C1669,n!D1665,n!E1665,n!F1665)</f>
        <v>Despite the economic recession there are no signs indicating any threats to the Company's ability to continue as a going concern or to limitation of the size of its operations, and all changes suggest that it would continue its development.</v>
      </c>
      <c r="F38" s="822">
        <f>CHOOSE(jezyk,n!D1665,n!E1665,n!F1665,n!G1665)</f>
        <v>0</v>
      </c>
      <c r="G38" s="805" t="str">
        <f>G16</f>
        <v>Wartość nominalna akcji (udziałów):</v>
      </c>
      <c r="H38" s="805">
        <f>CHOOSE(jezyk,n!F1664,n!G1664,n!H1664,n!I1664)</f>
        <v>0</v>
      </c>
      <c r="I38" s="805" t="str">
        <f>I16</f>
        <v>Rodzaj akcji (udziałów):</v>
      </c>
      <c r="J38" s="805"/>
      <c r="K38" s="805"/>
    </row>
    <row r="39" spans="2:13" ht="15" customHeight="1">
      <c r="B39" s="88"/>
      <c r="C39" s="1149"/>
      <c r="D39" s="1149"/>
      <c r="E39" s="1149"/>
      <c r="F39" s="1149"/>
      <c r="G39" s="1122"/>
      <c r="H39" s="1122"/>
      <c r="I39" s="1150"/>
      <c r="J39" s="1150"/>
      <c r="K39" s="1150"/>
    </row>
    <row r="40" spans="2:13" ht="15" customHeight="1">
      <c r="B40" s="88"/>
      <c r="C40" s="1149"/>
      <c r="D40" s="1149"/>
      <c r="E40" s="1149"/>
      <c r="F40" s="1149"/>
      <c r="G40" s="1122"/>
      <c r="H40" s="1122"/>
      <c r="I40" s="1150"/>
      <c r="J40" s="1150"/>
      <c r="K40" s="1150"/>
      <c r="L40" s="259"/>
    </row>
    <row r="41" spans="2:13" ht="15" customHeight="1">
      <c r="B41" s="88"/>
      <c r="C41" s="917">
        <f>SUM(C39:F40)</f>
        <v>0</v>
      </c>
      <c r="D41" s="1152"/>
      <c r="E41" s="1152"/>
      <c r="F41" s="918"/>
      <c r="G41" s="917">
        <f>SUM(G39:J40)</f>
        <v>0</v>
      </c>
      <c r="H41" s="918"/>
      <c r="I41" s="258"/>
      <c r="J41" s="258"/>
      <c r="K41" s="257"/>
    </row>
    <row r="42" spans="2:13">
      <c r="B42" s="88"/>
      <c r="C42" s="160"/>
    </row>
    <row r="43" spans="2:13">
      <c r="B43" s="80" t="s">
        <v>6594</v>
      </c>
      <c r="C43" s="1136" t="str">
        <f>CHOOSE(jezyk,n!A1142,n!B1142,n!C1142,n!D1140)</f>
        <v>Dane połączonych spółek za okres od XX.XX.XXXX do XX.XX.XXXX</v>
      </c>
      <c r="D43" s="1136"/>
      <c r="E43" s="1136"/>
      <c r="F43" s="1136"/>
      <c r="G43" s="1136"/>
      <c r="H43" s="1136"/>
      <c r="I43" s="1136"/>
      <c r="J43" s="1136"/>
      <c r="K43" s="1136"/>
      <c r="L43" s="1136"/>
      <c r="M43" s="260"/>
    </row>
    <row r="45" spans="2:13" ht="15" customHeight="1">
      <c r="C45" s="804" t="str">
        <f>CHOOSE(jezyk,n!A1143,n!B1143,n!C1143,n!D1141)</f>
        <v>Pozycja</v>
      </c>
      <c r="D45" s="804"/>
      <c r="E45" s="804"/>
      <c r="F45" s="804"/>
      <c r="G45" s="804"/>
      <c r="H45" s="804"/>
      <c r="I45" s="1151" t="str">
        <f>CHOOSE(jezyk,n!A1654,n!B1654,n!C1654,n!D1650)</f>
        <v>Spółka X</v>
      </c>
      <c r="J45" s="1151">
        <f>CHOOSE(jezyk,n!F1686,n!G1686,n!H1686,n!I1686)</f>
        <v>0</v>
      </c>
      <c r="K45" s="1151" t="str">
        <f>CHOOSE(jezyk,n!A1655,n!B1655,n!C1655,n!D1651)</f>
        <v>Spółka Y</v>
      </c>
      <c r="L45" s="1151">
        <f>CHOOSE(jezyk,n!H1686,n!I1686,n!J1686,n!K1686)</f>
        <v>0</v>
      </c>
    </row>
    <row r="46" spans="2:13" ht="15" customHeight="1">
      <c r="C46" s="822" t="str">
        <f>CHOOSE(jezyk,n!A1144,n!B1144,n!C1144,n!D1142)</f>
        <v>Przychody</v>
      </c>
      <c r="D46" s="822"/>
      <c r="E46" s="822"/>
      <c r="F46" s="822"/>
      <c r="G46" s="822"/>
      <c r="H46" s="822"/>
      <c r="I46" s="916"/>
      <c r="J46" s="916"/>
      <c r="K46" s="916"/>
      <c r="L46" s="916"/>
    </row>
    <row r="47" spans="2:13" ht="15" customHeight="1">
      <c r="C47" s="822" t="str">
        <f>CHOOSE(jezyk,n!A1145,n!B1145,n!C1145,n!D1143)</f>
        <v>Koszty</v>
      </c>
      <c r="D47" s="822"/>
      <c r="E47" s="822"/>
      <c r="F47" s="822"/>
      <c r="G47" s="822"/>
      <c r="H47" s="822"/>
      <c r="I47" s="916"/>
      <c r="J47" s="916"/>
      <c r="K47" s="916"/>
      <c r="L47" s="916"/>
    </row>
    <row r="48" spans="2:13" ht="15" customHeight="1">
      <c r="C48" s="822" t="str">
        <f>CHOOSE(jezyk,n!A1146,n!B1146,n!C1146,n!D1144)</f>
        <v>Zysk / strata</v>
      </c>
      <c r="D48" s="822"/>
      <c r="E48" s="822"/>
      <c r="F48" s="822"/>
      <c r="G48" s="822"/>
      <c r="H48" s="822"/>
      <c r="I48" s="916"/>
      <c r="J48" s="916"/>
      <c r="K48" s="916"/>
      <c r="L48" s="916"/>
    </row>
    <row r="49" spans="1:13" ht="15" customHeight="1">
      <c r="C49" s="822" t="str">
        <f>CHOOSE(jezyk,n!A1147,n!B1147,n!C1147,n!D1145)</f>
        <v>Kapitał własny – stan na XX.XX.XXXX</v>
      </c>
      <c r="D49" s="822"/>
      <c r="E49" s="822"/>
      <c r="F49" s="822"/>
      <c r="G49" s="822"/>
      <c r="H49" s="822"/>
      <c r="I49" s="916"/>
      <c r="J49" s="916"/>
      <c r="K49" s="916"/>
      <c r="L49" s="916"/>
    </row>
    <row r="50" spans="1:13" ht="15" customHeight="1">
      <c r="C50" s="822" t="str">
        <f>CHOOSE(jezyk,n!A1148,n!B1148,n!C1148,n!D1146)</f>
        <v>Zmiana kapitału własnego</v>
      </c>
      <c r="D50" s="822"/>
      <c r="E50" s="822"/>
      <c r="F50" s="822"/>
      <c r="G50" s="822"/>
      <c r="H50" s="822"/>
      <c r="I50" s="916"/>
      <c r="J50" s="916"/>
      <c r="K50" s="916"/>
      <c r="L50" s="916"/>
    </row>
    <row r="51" spans="1:13" ht="15" customHeight="1">
      <c r="C51" s="822" t="str">
        <f>CHOOSE(jezyk,n!A1149,n!B1149,n!C1149,n!D1147)</f>
        <v xml:space="preserve">Zmiana stanu - kapitał podstawowy </v>
      </c>
      <c r="D51" s="822"/>
      <c r="E51" s="822"/>
      <c r="F51" s="822"/>
      <c r="G51" s="822"/>
      <c r="H51" s="822"/>
      <c r="I51" s="916"/>
      <c r="J51" s="916"/>
      <c r="K51" s="916"/>
      <c r="L51" s="916"/>
    </row>
    <row r="52" spans="1:13" ht="15" customHeight="1">
      <c r="C52" s="822" t="str">
        <f>CHOOSE(jezyk,n!A1150,n!B1150,n!C1150,n!D1148)</f>
        <v>Zmiana stanu - Zysk / strata z lat ubiegłych</v>
      </c>
      <c r="D52" s="822"/>
      <c r="E52" s="822"/>
      <c r="F52" s="822"/>
      <c r="G52" s="822"/>
      <c r="H52" s="822"/>
      <c r="I52" s="916"/>
      <c r="J52" s="916"/>
      <c r="K52" s="916"/>
      <c r="L52" s="916"/>
    </row>
    <row r="53" spans="1:13" ht="15" customHeight="1">
      <c r="C53" s="822" t="str">
        <f>CHOOSE(jezyk,n!A1151,n!B1151,n!C1151,n!D1149)</f>
        <v>Zmiana stanu kapitał zapasowy</v>
      </c>
      <c r="D53" s="822"/>
      <c r="E53" s="822"/>
      <c r="F53" s="822"/>
      <c r="G53" s="822"/>
      <c r="H53" s="822"/>
      <c r="I53" s="916"/>
      <c r="J53" s="916"/>
      <c r="K53" s="916"/>
      <c r="L53" s="916"/>
    </row>
    <row r="54" spans="1:13" ht="15" customHeight="1">
      <c r="A54" s="72"/>
      <c r="C54" s="822" t="str">
        <f>CHOOSE(jezyk,n!A1152,n!B1152,n!C1152,n!D1150)</f>
        <v xml:space="preserve">Kompensaty wzajemnych rozrachunków </v>
      </c>
      <c r="D54" s="822"/>
      <c r="E54" s="822"/>
      <c r="F54" s="822"/>
      <c r="G54" s="822"/>
      <c r="H54" s="822"/>
      <c r="I54" s="916"/>
      <c r="J54" s="916"/>
      <c r="K54" s="916"/>
      <c r="L54" s="916"/>
    </row>
    <row r="55" spans="1:13" ht="15" customHeight="1">
      <c r="A55" s="72"/>
      <c r="C55" s="822" t="str">
        <f>CHOOSE(jezyk,n!A1153,n!B1153,n!C1153,n!D1151)</f>
        <v>Zmiana kwalifikacji środków trwałych na towary</v>
      </c>
      <c r="D55" s="822"/>
      <c r="E55" s="822"/>
      <c r="F55" s="822"/>
      <c r="G55" s="822"/>
      <c r="H55" s="822"/>
      <c r="I55" s="916"/>
      <c r="J55" s="916"/>
      <c r="K55" s="916"/>
      <c r="L55" s="916"/>
    </row>
    <row r="56" spans="1:13">
      <c r="C56" s="1048"/>
      <c r="D56" s="1048"/>
      <c r="E56" s="1048"/>
      <c r="F56" s="1048"/>
      <c r="G56" s="1048"/>
      <c r="H56" s="1048"/>
      <c r="I56" s="916"/>
      <c r="J56" s="916"/>
      <c r="K56" s="916"/>
      <c r="L56" s="916"/>
    </row>
    <row r="59" spans="1:13" ht="20.25">
      <c r="B59" s="789" t="str">
        <f>"9. "&amp;CHOOSE(jezyk,n!A613,n!B613,n!C613,n!D611)</f>
        <v>9. DODATKOWE INFORMACJE I OBJAŚNIENIA</v>
      </c>
      <c r="C59" s="1202"/>
      <c r="D59" s="1202"/>
      <c r="E59" s="1202"/>
      <c r="F59" s="1202"/>
      <c r="G59" s="1202"/>
      <c r="H59" s="1202"/>
      <c r="I59" s="1202"/>
      <c r="J59" s="1202"/>
      <c r="K59" s="1202"/>
      <c r="L59" s="1202"/>
    </row>
    <row r="61" spans="1:13" ht="52.5" customHeight="1">
      <c r="A61" s="72"/>
      <c r="B61" s="111" t="s">
        <v>6773</v>
      </c>
      <c r="C61" s="725" t="str">
        <f>CHOOSE(jezyk,n!A1155,n!B1155,n!C1155,n!D1153)</f>
        <v>W przypadku występowania niepewności co do możliwości kontynuowania działalności opis tych niepewności oraz stwierdzenie, że taka niepewność występuje, oraz wskazanie czy sprawozdanie finansowe zawiera korekty z tym związane oraz opis podejmowanych bądź planowanych przez jednostkę działań mających na celu eliminację niepewności</v>
      </c>
      <c r="D61" s="725"/>
      <c r="E61" s="725"/>
      <c r="F61" s="725"/>
      <c r="G61" s="725"/>
      <c r="H61" s="725"/>
      <c r="I61" s="725"/>
      <c r="J61" s="725"/>
      <c r="K61" s="725"/>
      <c r="L61" s="725"/>
    </row>
    <row r="62" spans="1:13">
      <c r="C62" s="725"/>
      <c r="D62" s="725"/>
      <c r="E62" s="725"/>
      <c r="F62" s="725"/>
      <c r="G62" s="725"/>
      <c r="H62" s="725"/>
      <c r="I62" s="725"/>
      <c r="J62" s="725"/>
      <c r="K62" s="725"/>
      <c r="L62" s="725"/>
    </row>
    <row r="63" spans="1:13" ht="12.75" customHeight="1">
      <c r="A63" s="72"/>
      <c r="C63" s="731" t="str">
        <f>CHOOSE(jezyk,n!A1156,n!B1156,n!C1156,n!D1154)</f>
        <v>Nie dotyczy, nie istnieją niepewności co do możliwości kontynuowania działalności przez Spółkę.</v>
      </c>
      <c r="D63" s="731"/>
      <c r="E63" s="731"/>
      <c r="F63" s="731"/>
      <c r="G63" s="731"/>
      <c r="H63" s="731"/>
      <c r="I63" s="731"/>
      <c r="J63" s="731"/>
      <c r="K63" s="731"/>
      <c r="L63" s="731"/>
      <c r="M63" s="130" t="s">
        <v>6785</v>
      </c>
    </row>
    <row r="64" spans="1:13">
      <c r="C64" s="731"/>
      <c r="D64" s="731"/>
      <c r="E64" s="731"/>
      <c r="F64" s="731"/>
      <c r="G64" s="731"/>
      <c r="H64" s="731"/>
      <c r="I64" s="731"/>
      <c r="J64" s="731"/>
      <c r="K64" s="731"/>
      <c r="L64" s="731"/>
    </row>
    <row r="66" spans="1:13" ht="20.25">
      <c r="B66" s="789" t="str">
        <f>"10. "&amp;CHOOSE(jezyk,n!A613,n!B613,n!C613,n!D611)</f>
        <v>10. DODATKOWE INFORMACJE I OBJAŚNIENIA</v>
      </c>
      <c r="C66" s="1202"/>
      <c r="D66" s="1202"/>
      <c r="E66" s="1202"/>
      <c r="F66" s="1202"/>
      <c r="G66" s="1202"/>
      <c r="H66" s="1202"/>
      <c r="I66" s="1202"/>
      <c r="J66" s="1202"/>
      <c r="K66" s="1202"/>
      <c r="L66" s="1202"/>
    </row>
    <row r="69" spans="1:13" ht="39" customHeight="1">
      <c r="B69" s="111" t="s">
        <v>6774</v>
      </c>
      <c r="C69" s="725" t="str">
        <f>CHOOSE(jezyk,n!A1194,n!B1194,n!C1194,n!D1171)</f>
        <v>Informacje dodatkowe w zakresie instrumentów finansowych, zgodnie z §40.1  Rozporządzenia Ministra Finansów z dnia 12.12.2001 w sprawie szczegółowych zasad uznawania, metod wyceny, zakresu ujawniania i sposobu prezentacji instrumentów finansowych</v>
      </c>
      <c r="D69" s="725"/>
      <c r="E69" s="725"/>
      <c r="F69" s="725"/>
      <c r="G69" s="725"/>
      <c r="H69" s="725"/>
      <c r="I69" s="725"/>
      <c r="J69" s="725"/>
      <c r="K69" s="725"/>
      <c r="L69" s="725"/>
    </row>
    <row r="70" spans="1:13">
      <c r="C70" s="725"/>
      <c r="D70" s="725"/>
      <c r="E70" s="725"/>
      <c r="F70" s="725"/>
      <c r="G70" s="725"/>
      <c r="H70" s="725"/>
      <c r="I70" s="725"/>
      <c r="J70" s="725"/>
      <c r="K70" s="725"/>
      <c r="L70" s="725"/>
    </row>
    <row r="71" spans="1:13" ht="24" customHeight="1">
      <c r="C71" s="1157" t="str">
        <f>CHOOSE(jezyk,n!A1195,n!B1195,n!C1195,n!D1193)</f>
        <v>Spółka zastosowała uproszczenia wynikające z art. 28b ust. 1 Ustawy o rachunkowości i nie stosuje przepisów w/w Rozporządzenia.</v>
      </c>
      <c r="D71" s="1157"/>
      <c r="E71" s="1157"/>
      <c r="F71" s="1157"/>
      <c r="G71" s="1157"/>
      <c r="H71" s="1157"/>
      <c r="I71" s="1157"/>
      <c r="J71" s="1157"/>
      <c r="K71" s="1157"/>
      <c r="L71" s="1157"/>
      <c r="M71" s="130" t="s">
        <v>6876</v>
      </c>
    </row>
    <row r="72" spans="1:13">
      <c r="C72" s="969"/>
      <c r="D72" s="969"/>
      <c r="E72" s="969"/>
      <c r="F72" s="969"/>
      <c r="G72" s="969"/>
      <c r="H72" s="969"/>
      <c r="I72" s="969"/>
      <c r="J72" s="969"/>
      <c r="K72" s="969"/>
      <c r="L72" s="969"/>
    </row>
    <row r="73" spans="1:13" ht="27.75" customHeight="1">
      <c r="A73" s="72"/>
      <c r="C73" s="722" t="str">
        <f>CHOOSE(jezyk,n!A1197,n!B1197,n!C1197,n!D1194)</f>
        <v>Podstawowa charakterystyka, ilość i wartość instrumentów finansowych, w tym opis istotnych warunków i terminów, które mogą wpływać na wielkość, rozkład w czasie oraz pewność przyszłych przepływów pieniężnych</v>
      </c>
      <c r="D73" s="722"/>
      <c r="E73" s="722"/>
      <c r="F73" s="722"/>
      <c r="G73" s="722"/>
      <c r="H73" s="722"/>
      <c r="I73" s="722"/>
      <c r="J73" s="722"/>
      <c r="K73" s="722"/>
      <c r="L73" s="722"/>
    </row>
    <row r="75" spans="1:13">
      <c r="B75" s="111" t="s">
        <v>6877</v>
      </c>
      <c r="C75" s="722" t="str">
        <f>CHOOSE(jezyk,n!A1198,n!B1198,n!C1198,n!D1195)</f>
        <v>Aktywa finansowe - charakterystyka instrumentów finansowych</v>
      </c>
      <c r="D75" s="722"/>
      <c r="E75" s="722"/>
      <c r="F75" s="722"/>
      <c r="G75" s="722"/>
      <c r="H75" s="722"/>
      <c r="I75" s="722"/>
      <c r="J75" s="722"/>
      <c r="K75" s="722"/>
      <c r="L75" s="722"/>
    </row>
    <row r="76" spans="1:13" s="254" customFormat="1">
      <c r="B76" s="90"/>
      <c r="C76" s="87"/>
      <c r="D76" s="87"/>
      <c r="E76" s="87"/>
      <c r="F76" s="87"/>
      <c r="G76" s="87"/>
      <c r="H76" s="87"/>
      <c r="I76" s="87"/>
      <c r="J76" s="87"/>
      <c r="K76" s="87"/>
      <c r="L76" s="87"/>
    </row>
    <row r="77" spans="1:13" s="254" customFormat="1">
      <c r="B77" s="90"/>
      <c r="C77" s="731" t="str">
        <f>CHOOSE(jezyk,n!A1233,n!B1233,n!C1233,n!D1231)</f>
        <v>Nie wystąpiły</v>
      </c>
      <c r="D77" s="731"/>
      <c r="E77" s="731"/>
      <c r="F77" s="731"/>
      <c r="G77" s="731"/>
      <c r="H77" s="731"/>
      <c r="I77" s="731"/>
      <c r="J77" s="731"/>
      <c r="K77" s="731"/>
      <c r="L77" s="731"/>
      <c r="M77" s="130" t="s">
        <v>6878</v>
      </c>
    </row>
    <row r="78" spans="1:13" s="254" customFormat="1">
      <c r="B78" s="90"/>
      <c r="C78" s="87"/>
      <c r="D78" s="87"/>
      <c r="E78" s="87"/>
      <c r="F78" s="87"/>
      <c r="G78" s="87"/>
      <c r="H78" s="87"/>
      <c r="I78" s="87"/>
      <c r="J78" s="87"/>
      <c r="K78" s="87"/>
      <c r="L78" s="87"/>
    </row>
    <row r="79" spans="1:13">
      <c r="B79" s="80" t="s">
        <v>6591</v>
      </c>
      <c r="C79" s="722" t="str">
        <f>CHOOSE(jezyk,n!A1199,n!B1199,n!C1199,n!D1197)</f>
        <v>Pożyczki udzielone i należności własne</v>
      </c>
      <c r="D79" s="722"/>
      <c r="E79" s="722"/>
      <c r="F79" s="722"/>
      <c r="G79" s="722"/>
      <c r="H79" s="722"/>
      <c r="I79" s="722"/>
      <c r="J79" s="722"/>
      <c r="K79" s="722"/>
      <c r="L79" s="722"/>
      <c r="M79" s="130" t="s">
        <v>6879</v>
      </c>
    </row>
    <row r="80" spans="1:13">
      <c r="B80" s="80"/>
      <c r="C80" s="87"/>
      <c r="D80" s="87"/>
      <c r="E80" s="87"/>
      <c r="F80" s="87"/>
      <c r="G80" s="87"/>
      <c r="H80" s="87"/>
      <c r="I80" s="87"/>
      <c r="J80" s="87"/>
      <c r="K80" s="87"/>
      <c r="L80" s="87"/>
    </row>
    <row r="81" spans="2:12">
      <c r="B81" s="80"/>
      <c r="C81" s="731" t="str">
        <f>CHOOSE(jezyk,n!A1233,n!B1233,n!C1233,n!D1231)</f>
        <v>Nie wystąpiły</v>
      </c>
      <c r="D81" s="731"/>
      <c r="E81" s="731"/>
      <c r="F81" s="731"/>
      <c r="G81" s="731"/>
      <c r="H81" s="731"/>
      <c r="I81" s="731"/>
      <c r="J81" s="731"/>
      <c r="K81" s="731"/>
      <c r="L81" s="731"/>
    </row>
    <row r="82" spans="2:12">
      <c r="B82" s="80"/>
      <c r="C82" s="87"/>
      <c r="D82" s="87"/>
      <c r="E82" s="87"/>
      <c r="F82" s="87"/>
      <c r="G82" s="87"/>
      <c r="H82" s="87"/>
      <c r="I82" s="87"/>
      <c r="J82" s="87"/>
      <c r="K82" s="87"/>
      <c r="L82" s="87"/>
    </row>
    <row r="83" spans="2:12">
      <c r="B83" s="80" t="s">
        <v>6593</v>
      </c>
      <c r="C83" s="722" t="str">
        <f>CHOOSE(jezyk,n!A1200,n!B1200,n!C1200,n!D1198)</f>
        <v xml:space="preserve">Aktywa finansowe utrzymywane do terminu wymagalności </v>
      </c>
      <c r="D83" s="722"/>
      <c r="E83" s="722"/>
      <c r="F83" s="722"/>
      <c r="G83" s="722"/>
      <c r="H83" s="722"/>
      <c r="I83" s="722"/>
      <c r="J83" s="722"/>
      <c r="K83" s="722"/>
      <c r="L83" s="722"/>
    </row>
    <row r="84" spans="2:12">
      <c r="B84" s="80"/>
      <c r="C84" s="87"/>
      <c r="D84" s="87"/>
      <c r="E84" s="87"/>
      <c r="F84" s="87"/>
      <c r="G84" s="87"/>
      <c r="H84" s="87"/>
      <c r="I84" s="87"/>
      <c r="J84" s="87"/>
      <c r="K84" s="87"/>
      <c r="L84" s="87"/>
    </row>
    <row r="85" spans="2:12">
      <c r="B85" s="80"/>
      <c r="C85" s="731" t="str">
        <f>CHOOSE(jezyk,n!A1233,n!B1233,n!C1233,n!D1231)</f>
        <v>Nie wystąpiły</v>
      </c>
      <c r="D85" s="731"/>
      <c r="E85" s="731"/>
      <c r="F85" s="731"/>
      <c r="G85" s="731"/>
      <c r="H85" s="731"/>
      <c r="I85" s="731"/>
      <c r="J85" s="731"/>
      <c r="K85" s="731"/>
      <c r="L85" s="731"/>
    </row>
    <row r="86" spans="2:12">
      <c r="B86" s="80"/>
      <c r="C86" s="87"/>
      <c r="D86" s="87"/>
      <c r="E86" s="87"/>
      <c r="F86" s="87"/>
      <c r="G86" s="87"/>
      <c r="H86" s="87"/>
      <c r="I86" s="87"/>
      <c r="J86" s="87"/>
      <c r="K86" s="87"/>
      <c r="L86" s="87"/>
    </row>
    <row r="87" spans="2:12">
      <c r="B87" s="80" t="s">
        <v>6594</v>
      </c>
      <c r="C87" s="722" t="str">
        <f>CHOOSE(jezyk,n!A1201,n!B1201,n!C1201,n!D1199)</f>
        <v>Aktywa finansowe dostępne do sprzedaży</v>
      </c>
      <c r="D87" s="722"/>
      <c r="E87" s="722"/>
      <c r="F87" s="722"/>
      <c r="G87" s="722"/>
      <c r="H87" s="722"/>
      <c r="I87" s="722"/>
      <c r="J87" s="722"/>
      <c r="K87" s="722"/>
      <c r="L87" s="722"/>
    </row>
    <row r="88" spans="2:12">
      <c r="B88" s="80"/>
      <c r="C88" s="87"/>
      <c r="D88" s="87"/>
      <c r="E88" s="87"/>
      <c r="F88" s="87"/>
      <c r="G88" s="87"/>
      <c r="H88" s="87"/>
      <c r="I88" s="87"/>
      <c r="J88" s="87"/>
      <c r="K88" s="87"/>
      <c r="L88" s="87"/>
    </row>
    <row r="89" spans="2:12">
      <c r="B89" s="80"/>
      <c r="C89" s="731" t="str">
        <f>CHOOSE(jezyk,n!A1233,n!B1233,n!C1233,n!D1231)</f>
        <v>Nie wystąpiły</v>
      </c>
      <c r="D89" s="731"/>
      <c r="E89" s="731"/>
      <c r="F89" s="731"/>
      <c r="G89" s="731"/>
      <c r="H89" s="731"/>
      <c r="I89" s="731"/>
      <c r="J89" s="731"/>
      <c r="K89" s="731"/>
      <c r="L89" s="731"/>
    </row>
    <row r="90" spans="2:12">
      <c r="B90" s="80"/>
      <c r="C90" s="87"/>
      <c r="D90" s="87"/>
      <c r="E90" s="87"/>
      <c r="F90" s="87"/>
      <c r="G90" s="87"/>
      <c r="H90" s="87"/>
      <c r="I90" s="87"/>
      <c r="J90" s="87"/>
      <c r="K90" s="87"/>
      <c r="L90" s="87"/>
    </row>
    <row r="91" spans="2:12">
      <c r="B91" s="80" t="s">
        <v>6595</v>
      </c>
      <c r="C91" s="722" t="str">
        <f>CHOOSE(jezyk,n!A1202,n!B1202,n!C1202,n!D1200)</f>
        <v>Aktywa finansowe przeznaczone do obrotu</v>
      </c>
      <c r="D91" s="722"/>
      <c r="E91" s="722"/>
      <c r="F91" s="722"/>
      <c r="G91" s="722"/>
      <c r="H91" s="722"/>
      <c r="I91" s="722"/>
      <c r="J91" s="722"/>
      <c r="K91" s="722"/>
      <c r="L91" s="722"/>
    </row>
    <row r="92" spans="2:12">
      <c r="B92" s="80"/>
      <c r="C92" s="87"/>
      <c r="D92" s="87"/>
      <c r="E92" s="87"/>
      <c r="F92" s="87"/>
      <c r="G92" s="87"/>
      <c r="H92" s="87"/>
      <c r="I92" s="87"/>
      <c r="J92" s="87"/>
      <c r="K92" s="87"/>
      <c r="L92" s="87"/>
    </row>
    <row r="93" spans="2:12">
      <c r="B93" s="80"/>
      <c r="C93" s="731" t="str">
        <f>CHOOSE(jezyk,n!A1233,n!B1233,n!C1233,n!D1231)</f>
        <v>Nie wystąpiły</v>
      </c>
      <c r="D93" s="731"/>
      <c r="E93" s="731"/>
      <c r="F93" s="731"/>
      <c r="G93" s="731"/>
      <c r="H93" s="731"/>
      <c r="I93" s="731"/>
      <c r="J93" s="731"/>
      <c r="K93" s="731"/>
      <c r="L93" s="731"/>
    </row>
    <row r="94" spans="2:12">
      <c r="B94" s="80"/>
      <c r="C94" s="87"/>
      <c r="D94" s="87"/>
      <c r="E94" s="87"/>
      <c r="F94" s="87"/>
      <c r="G94" s="87"/>
      <c r="H94" s="87"/>
      <c r="I94" s="87"/>
      <c r="J94" s="87"/>
      <c r="K94" s="87"/>
      <c r="L94" s="87"/>
    </row>
    <row r="95" spans="2:12">
      <c r="B95" s="111" t="s">
        <v>6880</v>
      </c>
      <c r="C95" s="722" t="str">
        <f>CHOOSE(jezyk,n!A1203,n!B1203,n!C1203,n!D1201)</f>
        <v>Informacje dotyczące odpisów aktualizujących z tytułu trwałej utraty wartości aktywów finansowych</v>
      </c>
      <c r="D95" s="722"/>
      <c r="E95" s="722"/>
      <c r="F95" s="722"/>
      <c r="G95" s="722"/>
      <c r="H95" s="722"/>
      <c r="I95" s="722"/>
      <c r="J95" s="722"/>
      <c r="K95" s="722"/>
      <c r="L95" s="722"/>
    </row>
    <row r="96" spans="2:12">
      <c r="B96" s="80"/>
      <c r="C96" s="87"/>
      <c r="D96" s="87"/>
      <c r="E96" s="87"/>
      <c r="F96" s="87"/>
      <c r="G96" s="87"/>
      <c r="H96" s="87"/>
      <c r="I96" s="87"/>
      <c r="J96" s="87"/>
      <c r="K96" s="87"/>
      <c r="L96" s="87"/>
    </row>
    <row r="97" spans="1:13">
      <c r="B97" s="80"/>
      <c r="C97" s="731" t="str">
        <f>CHOOSE(jezyk,n!A1233,n!B1233,n!C1233,n!D1231)</f>
        <v>Nie wystąpiły</v>
      </c>
      <c r="D97" s="731"/>
      <c r="E97" s="731"/>
      <c r="F97" s="731"/>
      <c r="G97" s="731"/>
      <c r="H97" s="731"/>
      <c r="I97" s="731"/>
      <c r="J97" s="731"/>
      <c r="K97" s="731"/>
      <c r="L97" s="731"/>
    </row>
    <row r="98" spans="1:13">
      <c r="B98" s="80"/>
      <c r="C98" s="87"/>
      <c r="D98" s="87"/>
      <c r="E98" s="87"/>
      <c r="F98" s="87"/>
      <c r="G98" s="87"/>
      <c r="H98" s="87"/>
      <c r="I98" s="87"/>
      <c r="J98" s="87"/>
      <c r="K98" s="87"/>
      <c r="L98" s="87"/>
    </row>
    <row r="99" spans="1:13" ht="27.75" customHeight="1">
      <c r="A99" s="72"/>
      <c r="B99" s="261" t="s">
        <v>6881</v>
      </c>
      <c r="C99" s="722" t="str">
        <f>CHOOSE(jezyk,n!A1204,n!B1204,n!C1204,n!D1202)</f>
        <v xml:space="preserve">Informacje o odsetkach naliczonych od dłużnych instrumentów finansowych, pożyczek udzielonych i należności własnych </v>
      </c>
      <c r="D99" s="722"/>
      <c r="E99" s="722"/>
      <c r="F99" s="722"/>
      <c r="G99" s="722"/>
      <c r="H99" s="722"/>
      <c r="I99" s="722"/>
      <c r="J99" s="722"/>
      <c r="K99" s="722"/>
      <c r="L99" s="722"/>
    </row>
    <row r="100" spans="1:13">
      <c r="B100" s="80"/>
      <c r="C100" s="87"/>
      <c r="D100" s="87"/>
      <c r="E100" s="87"/>
      <c r="F100" s="87"/>
      <c r="G100" s="87"/>
      <c r="H100" s="87"/>
      <c r="I100" s="87"/>
      <c r="J100" s="87"/>
      <c r="K100" s="87"/>
      <c r="L100" s="87"/>
    </row>
    <row r="101" spans="1:13">
      <c r="B101" s="261"/>
      <c r="C101" s="731" t="str">
        <f>CHOOSE(jezyk,n!A1233,n!B1233,n!C1233,n!D1231)</f>
        <v>Nie wystąpiły</v>
      </c>
      <c r="D101" s="731"/>
      <c r="E101" s="731"/>
      <c r="F101" s="731"/>
      <c r="G101" s="731"/>
      <c r="H101" s="731"/>
      <c r="I101" s="731"/>
      <c r="J101" s="731"/>
      <c r="K101" s="731"/>
      <c r="L101" s="731"/>
      <c r="M101" s="130" t="s">
        <v>6882</v>
      </c>
    </row>
    <row r="102" spans="1:13">
      <c r="B102" s="261"/>
      <c r="F102" s="388"/>
      <c r="G102" s="388"/>
      <c r="H102" s="388"/>
      <c r="I102" s="388"/>
      <c r="J102" s="388"/>
      <c r="K102" s="388"/>
      <c r="L102" s="388"/>
      <c r="M102" s="130"/>
    </row>
    <row r="103" spans="1:13" s="149" customFormat="1" ht="15" customHeight="1">
      <c r="B103" s="262"/>
      <c r="C103" s="1128" t="str">
        <f>CHOOSE(jezyk,n!A616,n!B616,n!C616,n!D614)</f>
        <v>Rok obrotowy 2024</v>
      </c>
      <c r="D103" s="1155"/>
      <c r="E103" s="1129"/>
      <c r="F103" s="185"/>
      <c r="G103" s="185"/>
      <c r="H103" s="185"/>
      <c r="I103" s="185"/>
      <c r="J103" s="185"/>
      <c r="K103" s="185"/>
      <c r="L103" s="185"/>
      <c r="M103" s="147"/>
    </row>
    <row r="104" spans="1:13">
      <c r="B104" s="261"/>
      <c r="C104" s="185"/>
      <c r="D104" s="185"/>
      <c r="E104" s="185"/>
      <c r="F104" s="185"/>
      <c r="G104" s="185"/>
      <c r="H104" s="185"/>
      <c r="I104" s="185"/>
      <c r="J104" s="185"/>
      <c r="K104" s="185"/>
      <c r="L104" s="185"/>
    </row>
    <row r="105" spans="1:13" ht="15" customHeight="1">
      <c r="B105" s="261"/>
      <c r="C105" s="933" t="str">
        <f>CHOOSE(jezyk,n!A1205,n!B1205,n!C1205,n!D1203)</f>
        <v>Rodzaj aktywa</v>
      </c>
      <c r="D105" s="1132"/>
      <c r="E105" s="1132"/>
      <c r="F105" s="934"/>
      <c r="G105" s="805" t="str">
        <f>CHOOSE(jezyk,n!A1211,n!B1211,n!C1211,n!D1209)</f>
        <v>Przychody z tytułu odsetek w danym roku obrotowym</v>
      </c>
      <c r="H105" s="805"/>
      <c r="I105" s="805"/>
      <c r="J105" s="805"/>
      <c r="K105" s="805"/>
      <c r="L105" s="805"/>
    </row>
    <row r="106" spans="1:13" ht="15" customHeight="1">
      <c r="B106" s="261"/>
      <c r="C106" s="1142"/>
      <c r="D106" s="1143"/>
      <c r="E106" s="1143"/>
      <c r="F106" s="1115"/>
      <c r="G106" s="805" t="str">
        <f>CHOOSE(jezyk,n!A1209,n!B1209,n!C1209,n!D1207)</f>
        <v>Odsetki zrealizowane</v>
      </c>
      <c r="H106" s="805"/>
      <c r="I106" s="805" t="str">
        <f>CHOOSE(jezyk,n!A1210,n!B1210,n!C1210,n!D1208)</f>
        <v>Odsetki niezrealizowane, o terminie płatności:</v>
      </c>
      <c r="J106" s="805"/>
      <c r="K106" s="805"/>
      <c r="L106" s="805"/>
    </row>
    <row r="107" spans="1:13" ht="15" customHeight="1">
      <c r="B107" s="261"/>
      <c r="C107" s="1133"/>
      <c r="D107" s="1134"/>
      <c r="E107" s="1134"/>
      <c r="F107" s="1135"/>
      <c r="G107" s="805"/>
      <c r="H107" s="805"/>
      <c r="I107" s="395" t="str">
        <f>CHOOSE(jezyk,n!A1247,n!B1247,n!C1247,n!D1245)</f>
        <v>do 3 m-cy</v>
      </c>
      <c r="J107" s="805" t="str">
        <f>CHOOSE(jezyk,n!A1248,n!B1248,n!C1248,n!D1246)</f>
        <v>3 - 12 m-cy</v>
      </c>
      <c r="K107" s="805"/>
      <c r="L107" s="395" t="str">
        <f>CHOOSE(jezyk,n!A1249,n!B1249,n!C1249,n!D1247)</f>
        <v>powyżej 12 m-cy</v>
      </c>
    </row>
    <row r="108" spans="1:13" ht="17.100000000000001" customHeight="1">
      <c r="B108" s="261"/>
      <c r="C108" s="895" t="str">
        <f>CHOOSE(jezyk,n!A1206,n!B1206,n!C1206,n!D1204)</f>
        <v>Udzielone pożyczki</v>
      </c>
      <c r="D108" s="896"/>
      <c r="E108" s="896"/>
      <c r="F108" s="897"/>
      <c r="G108" s="941"/>
      <c r="H108" s="942"/>
      <c r="I108" s="408"/>
      <c r="J108" s="941"/>
      <c r="K108" s="942"/>
      <c r="L108" s="422"/>
    </row>
    <row r="109" spans="1:13" ht="17.100000000000001" customHeight="1">
      <c r="A109" s="72"/>
      <c r="B109" s="261"/>
      <c r="C109" s="895" t="str">
        <f>CHOOSE(jezyk,n!A1207,n!B1207,n!C1207,n!D1205)</f>
        <v>Dłużne instrumenty finansowe</v>
      </c>
      <c r="D109" s="896"/>
      <c r="E109" s="896"/>
      <c r="F109" s="897"/>
      <c r="G109" s="941"/>
      <c r="H109" s="942"/>
      <c r="I109" s="408"/>
      <c r="J109" s="941"/>
      <c r="K109" s="942"/>
      <c r="L109" s="422"/>
    </row>
    <row r="110" spans="1:13" ht="17.100000000000001" customHeight="1">
      <c r="B110" s="261"/>
      <c r="C110" s="895" t="str">
        <f>CHOOSE(jezyk,n!A1208,n!B1208,n!C1208,n!D1206)</f>
        <v>Pozostałe aktywa</v>
      </c>
      <c r="D110" s="896"/>
      <c r="E110" s="896"/>
      <c r="F110" s="897"/>
      <c r="G110" s="941"/>
      <c r="H110" s="942"/>
      <c r="I110" s="408"/>
      <c r="J110" s="941"/>
      <c r="K110" s="942"/>
      <c r="L110" s="422"/>
    </row>
    <row r="111" spans="1:13" ht="17.100000000000001" customHeight="1">
      <c r="B111" s="261"/>
      <c r="C111" s="1145"/>
      <c r="D111" s="1145"/>
      <c r="E111" s="1145"/>
      <c r="F111" s="1146"/>
      <c r="G111" s="1144">
        <f>SUM(G108:H110)</f>
        <v>0</v>
      </c>
      <c r="H111" s="1144"/>
      <c r="I111" s="421">
        <f>SUM(I108:I110)</f>
        <v>0</v>
      </c>
      <c r="J111" s="1144">
        <f>SUM(J108:K110)</f>
        <v>0</v>
      </c>
      <c r="K111" s="1144"/>
      <c r="L111" s="421">
        <f>SUM(L108:L110)</f>
        <v>0</v>
      </c>
    </row>
    <row r="112" spans="1:13">
      <c r="B112" s="261"/>
      <c r="C112" s="185"/>
      <c r="D112" s="185"/>
      <c r="E112" s="185"/>
      <c r="F112" s="185"/>
      <c r="G112" s="185"/>
      <c r="H112" s="185"/>
      <c r="I112" s="185"/>
      <c r="J112" s="185"/>
      <c r="K112" s="185"/>
      <c r="L112" s="185"/>
    </row>
    <row r="113" spans="1:12" ht="15" customHeight="1">
      <c r="B113" s="261"/>
      <c r="C113" s="1128" t="str">
        <f>CHOOSE(jezyk,n!A617,n!B617,n!C617,n!D615)</f>
        <v>Rok obrotowy 2023</v>
      </c>
      <c r="D113" s="1155"/>
      <c r="E113" s="1129"/>
      <c r="F113" s="185"/>
      <c r="G113" s="185"/>
      <c r="H113" s="185"/>
      <c r="I113" s="185"/>
      <c r="J113" s="185"/>
      <c r="K113" s="185"/>
      <c r="L113" s="185"/>
    </row>
    <row r="114" spans="1:12">
      <c r="B114" s="261"/>
      <c r="C114" s="185"/>
      <c r="D114" s="185"/>
      <c r="E114" s="185"/>
      <c r="F114" s="185"/>
      <c r="G114" s="185"/>
      <c r="H114" s="185"/>
      <c r="I114" s="185"/>
      <c r="J114" s="185"/>
      <c r="K114" s="185"/>
      <c r="L114" s="185"/>
    </row>
    <row r="115" spans="1:12" ht="17.100000000000001" customHeight="1">
      <c r="B115" s="261"/>
      <c r="C115" s="933" t="str">
        <f>C105</f>
        <v>Rodzaj aktywa</v>
      </c>
      <c r="D115" s="1132"/>
      <c r="E115" s="1132"/>
      <c r="F115" s="934"/>
      <c r="G115" s="805" t="str">
        <f>G105</f>
        <v>Przychody z tytułu odsetek w danym roku obrotowym</v>
      </c>
      <c r="H115" s="805"/>
      <c r="I115" s="805"/>
      <c r="J115" s="805"/>
      <c r="K115" s="805"/>
      <c r="L115" s="805"/>
    </row>
    <row r="116" spans="1:12" ht="17.100000000000001" customHeight="1">
      <c r="B116" s="261"/>
      <c r="C116" s="1142"/>
      <c r="D116" s="1143"/>
      <c r="E116" s="1143"/>
      <c r="F116" s="1115"/>
      <c r="G116" s="805" t="str">
        <f>G106</f>
        <v>Odsetki zrealizowane</v>
      </c>
      <c r="H116" s="805"/>
      <c r="I116" s="805" t="str">
        <f>I106</f>
        <v>Odsetki niezrealizowane, o terminie płatności:</v>
      </c>
      <c r="J116" s="805"/>
      <c r="K116" s="805"/>
      <c r="L116" s="805"/>
    </row>
    <row r="117" spans="1:12" ht="17.100000000000001" customHeight="1">
      <c r="B117" s="261"/>
      <c r="C117" s="1133"/>
      <c r="D117" s="1134"/>
      <c r="E117" s="1134"/>
      <c r="F117" s="1135"/>
      <c r="G117" s="805"/>
      <c r="H117" s="805"/>
      <c r="I117" s="395" t="str">
        <f>I107</f>
        <v>do 3 m-cy</v>
      </c>
      <c r="J117" s="805" t="str">
        <f>J107</f>
        <v>3 - 12 m-cy</v>
      </c>
      <c r="K117" s="805"/>
      <c r="L117" s="395" t="str">
        <f>L107</f>
        <v>powyżej 12 m-cy</v>
      </c>
    </row>
    <row r="118" spans="1:12" ht="17.100000000000001" customHeight="1">
      <c r="B118" s="261"/>
      <c r="C118" s="895" t="str">
        <f>C108</f>
        <v>Udzielone pożyczki</v>
      </c>
      <c r="D118" s="896"/>
      <c r="E118" s="896"/>
      <c r="F118" s="897"/>
      <c r="G118" s="941"/>
      <c r="H118" s="942"/>
      <c r="I118" s="408"/>
      <c r="J118" s="941"/>
      <c r="K118" s="942"/>
      <c r="L118" s="422"/>
    </row>
    <row r="119" spans="1:12" ht="17.100000000000001" customHeight="1">
      <c r="A119" s="72"/>
      <c r="B119" s="261"/>
      <c r="C119" s="895" t="str">
        <f>C109</f>
        <v>Dłużne instrumenty finansowe</v>
      </c>
      <c r="D119" s="896"/>
      <c r="E119" s="896"/>
      <c r="F119" s="897"/>
      <c r="G119" s="941"/>
      <c r="H119" s="942"/>
      <c r="I119" s="408"/>
      <c r="J119" s="941"/>
      <c r="K119" s="942"/>
      <c r="L119" s="422"/>
    </row>
    <row r="120" spans="1:12" ht="17.100000000000001" customHeight="1">
      <c r="B120" s="261"/>
      <c r="C120" s="895" t="str">
        <f>C110</f>
        <v>Pozostałe aktywa</v>
      </c>
      <c r="D120" s="896"/>
      <c r="E120" s="896"/>
      <c r="F120" s="897"/>
      <c r="G120" s="941"/>
      <c r="H120" s="942"/>
      <c r="I120" s="408"/>
      <c r="J120" s="941"/>
      <c r="K120" s="942"/>
      <c r="L120" s="422"/>
    </row>
    <row r="121" spans="1:12" ht="17.100000000000001" customHeight="1">
      <c r="B121" s="261"/>
      <c r="C121" s="1145"/>
      <c r="D121" s="1145"/>
      <c r="E121" s="1145"/>
      <c r="F121" s="1146"/>
      <c r="G121" s="1144">
        <f>SUM(G118:H120)</f>
        <v>0</v>
      </c>
      <c r="H121" s="1144"/>
      <c r="I121" s="421">
        <f>SUM(I118:I120)</f>
        <v>0</v>
      </c>
      <c r="J121" s="1144">
        <f>SUM(J118:K120)</f>
        <v>0</v>
      </c>
      <c r="K121" s="1144"/>
      <c r="L121" s="421">
        <f>SUM(L118:L120)</f>
        <v>0</v>
      </c>
    </row>
    <row r="122" spans="1:12">
      <c r="B122" s="261"/>
      <c r="C122" s="185"/>
      <c r="D122" s="185"/>
      <c r="E122" s="185"/>
      <c r="F122" s="185"/>
      <c r="G122" s="185"/>
      <c r="H122" s="185"/>
      <c r="I122" s="185"/>
      <c r="J122" s="185"/>
      <c r="K122" s="185"/>
      <c r="L122" s="185"/>
    </row>
    <row r="123" spans="1:12" ht="27.75" customHeight="1">
      <c r="B123" s="261" t="s">
        <v>6883</v>
      </c>
      <c r="C123" s="722" t="str">
        <f>CHOOSE(jezyk,n!A1212,n!B1212,n!C1212,n!D1210)</f>
        <v>Informacje o niezrealizowanych odsetkach od udzielonych pożyczek i należności własnych, które objęto odpisem aktualizującym w roku obrotowym</v>
      </c>
      <c r="D123" s="722"/>
      <c r="E123" s="722"/>
      <c r="F123" s="722"/>
      <c r="G123" s="722"/>
      <c r="H123" s="722"/>
      <c r="I123" s="722"/>
      <c r="J123" s="722"/>
      <c r="K123" s="722"/>
      <c r="L123" s="722"/>
    </row>
    <row r="124" spans="1:12" ht="12.75" customHeight="1">
      <c r="B124" s="80"/>
      <c r="C124" s="87"/>
      <c r="D124" s="87"/>
      <c r="E124" s="87"/>
      <c r="F124" s="87"/>
      <c r="G124" s="87"/>
      <c r="H124" s="87"/>
      <c r="I124" s="87"/>
      <c r="J124" s="87"/>
      <c r="K124" s="87"/>
      <c r="L124" s="87"/>
    </row>
    <row r="125" spans="1:12">
      <c r="B125" s="261"/>
      <c r="C125" s="731" t="str">
        <f>CHOOSE(jezyk,n!A1233,n!B1233,n!C1233,n!D1231)</f>
        <v>Nie wystąpiły</v>
      </c>
      <c r="D125" s="731"/>
      <c r="E125" s="731"/>
      <c r="F125" s="731"/>
      <c r="G125" s="731"/>
      <c r="H125" s="731"/>
      <c r="I125" s="731"/>
      <c r="J125" s="731"/>
      <c r="K125" s="731"/>
      <c r="L125" s="731"/>
    </row>
    <row r="126" spans="1:12">
      <c r="B126" s="80"/>
      <c r="C126" s="87"/>
      <c r="D126" s="87"/>
      <c r="E126" s="87"/>
      <c r="F126" s="87"/>
      <c r="G126" s="87"/>
      <c r="H126" s="87"/>
      <c r="I126" s="87"/>
      <c r="J126" s="87"/>
      <c r="K126" s="87"/>
      <c r="L126" s="87"/>
    </row>
    <row r="127" spans="1:12">
      <c r="B127" s="261" t="s">
        <v>6884</v>
      </c>
      <c r="C127" s="722" t="str">
        <f>CHOOSE(jezyk,n!A1213,n!B1213,n!C1213,n!D1211)</f>
        <v xml:space="preserve">Informacje o aktywach finansowych wycenianych w wartości godziwej </v>
      </c>
      <c r="D127" s="722"/>
      <c r="E127" s="722"/>
      <c r="F127" s="722"/>
      <c r="G127" s="722"/>
      <c r="H127" s="722"/>
      <c r="I127" s="722"/>
      <c r="J127" s="722"/>
      <c r="K127" s="722"/>
      <c r="L127" s="722"/>
    </row>
    <row r="128" spans="1:12">
      <c r="B128" s="80"/>
      <c r="C128" s="87"/>
      <c r="D128" s="87"/>
      <c r="E128" s="87"/>
      <c r="F128" s="87"/>
      <c r="G128" s="87"/>
      <c r="H128" s="87"/>
      <c r="I128" s="87"/>
      <c r="J128" s="87"/>
      <c r="K128" s="87"/>
      <c r="L128" s="87"/>
    </row>
    <row r="129" spans="2:13">
      <c r="B129" s="261"/>
      <c r="C129" s="731" t="str">
        <f>CHOOSE(jezyk,n!A1233,n!B1233,n!C1233,n!D1231)</f>
        <v>Nie wystąpiły</v>
      </c>
      <c r="D129" s="731"/>
      <c r="E129" s="731"/>
      <c r="F129" s="731"/>
      <c r="G129" s="731"/>
      <c r="H129" s="731"/>
      <c r="I129" s="731"/>
      <c r="J129" s="731"/>
      <c r="K129" s="731"/>
      <c r="L129" s="731"/>
    </row>
    <row r="130" spans="2:13">
      <c r="B130" s="80"/>
      <c r="C130" s="87"/>
      <c r="D130" s="87"/>
      <c r="E130" s="87"/>
      <c r="F130" s="87"/>
      <c r="G130" s="87"/>
      <c r="H130" s="87"/>
      <c r="I130" s="87"/>
      <c r="J130" s="87"/>
      <c r="K130" s="87"/>
      <c r="L130" s="87"/>
    </row>
    <row r="131" spans="2:13">
      <c r="B131" s="261" t="s">
        <v>6885</v>
      </c>
      <c r="C131" s="722" t="str">
        <f>CHOOSE(jezyk,n!A1214,n!B1214,n!C1214,n!D1212)</f>
        <v>Zobowiązania finansowe - charakterystyka instrumentów finansowych</v>
      </c>
      <c r="D131" s="722"/>
      <c r="E131" s="722"/>
      <c r="F131" s="722"/>
      <c r="G131" s="722"/>
      <c r="H131" s="722"/>
      <c r="I131" s="722"/>
      <c r="J131" s="722"/>
      <c r="K131" s="722"/>
      <c r="L131" s="722"/>
    </row>
    <row r="132" spans="2:13">
      <c r="B132" s="80"/>
      <c r="C132" s="87"/>
      <c r="D132" s="87"/>
      <c r="E132" s="87"/>
      <c r="F132" s="87"/>
      <c r="G132" s="87"/>
      <c r="H132" s="87"/>
      <c r="I132" s="87"/>
      <c r="J132" s="87"/>
      <c r="K132" s="87"/>
      <c r="L132" s="87"/>
    </row>
    <row r="133" spans="2:13">
      <c r="B133" s="261"/>
      <c r="C133" s="731" t="str">
        <f>CHOOSE(jezyk,n!A1233,n!B1233,n!C1233,n!D1231)</f>
        <v>Nie wystąpiły</v>
      </c>
      <c r="D133" s="731"/>
      <c r="E133" s="731"/>
      <c r="F133" s="731"/>
      <c r="G133" s="731"/>
      <c r="H133" s="731"/>
      <c r="I133" s="731"/>
      <c r="J133" s="731"/>
      <c r="K133" s="731"/>
      <c r="L133" s="731"/>
      <c r="M133" s="130" t="s">
        <v>6886</v>
      </c>
    </row>
    <row r="134" spans="2:13">
      <c r="B134" s="80"/>
      <c r="C134" s="87"/>
      <c r="D134" s="87"/>
      <c r="E134" s="87"/>
      <c r="F134" s="87"/>
      <c r="G134" s="87"/>
      <c r="H134" s="87"/>
      <c r="I134" s="87"/>
      <c r="J134" s="87"/>
      <c r="K134" s="87"/>
      <c r="L134" s="87"/>
    </row>
    <row r="135" spans="2:13">
      <c r="B135" s="261" t="s">
        <v>6887</v>
      </c>
      <c r="C135" s="722" t="str">
        <f>CHOOSE(jezyk,n!A1215,n!B1215,n!C1215,n!D1213)</f>
        <v>Zobowiązania finansowe przeznaczone do obrotu</v>
      </c>
      <c r="D135" s="722"/>
      <c r="E135" s="722"/>
      <c r="F135" s="722"/>
      <c r="G135" s="722"/>
      <c r="H135" s="722"/>
      <c r="I135" s="722"/>
      <c r="J135" s="722"/>
      <c r="K135" s="722"/>
      <c r="L135" s="722"/>
    </row>
    <row r="136" spans="2:13">
      <c r="B136" s="80"/>
      <c r="C136" s="87"/>
      <c r="D136" s="87"/>
      <c r="E136" s="87"/>
      <c r="F136" s="87"/>
      <c r="G136" s="87"/>
      <c r="H136" s="87"/>
      <c r="I136" s="87"/>
      <c r="J136" s="87"/>
      <c r="K136" s="87"/>
      <c r="L136" s="87"/>
    </row>
    <row r="137" spans="2:13">
      <c r="B137" s="261"/>
      <c r="C137" s="731" t="str">
        <f>CHOOSE(jezyk,n!A1233,n!B1233,n!C1233,n!D1231)</f>
        <v>Nie wystąpiły</v>
      </c>
      <c r="D137" s="731"/>
      <c r="E137" s="731"/>
      <c r="F137" s="731"/>
      <c r="G137" s="731"/>
      <c r="H137" s="731"/>
      <c r="I137" s="731"/>
      <c r="J137" s="731"/>
      <c r="K137" s="731"/>
      <c r="L137" s="731"/>
    </row>
    <row r="138" spans="2:13">
      <c r="B138" s="80"/>
      <c r="C138" s="87"/>
      <c r="D138" s="87"/>
      <c r="E138" s="87"/>
      <c r="F138" s="87"/>
      <c r="G138" s="87"/>
      <c r="H138" s="87"/>
      <c r="I138" s="87"/>
      <c r="J138" s="87"/>
      <c r="K138" s="87"/>
      <c r="L138" s="87"/>
    </row>
    <row r="139" spans="2:13">
      <c r="B139" s="261" t="s">
        <v>6888</v>
      </c>
      <c r="C139" s="722" t="str">
        <f>CHOOSE(jezyk,n!A1216,n!B1216,n!C1216,n!D1214)</f>
        <v>Instrumenty zabezpieczające</v>
      </c>
      <c r="D139" s="722"/>
      <c r="E139" s="722"/>
      <c r="F139" s="722"/>
      <c r="G139" s="722"/>
      <c r="H139" s="722"/>
      <c r="I139" s="722"/>
      <c r="J139" s="722"/>
      <c r="K139" s="722"/>
      <c r="L139" s="722"/>
    </row>
    <row r="140" spans="2:13">
      <c r="B140" s="80"/>
      <c r="C140" s="87"/>
      <c r="D140" s="87"/>
      <c r="E140" s="87"/>
      <c r="F140" s="87"/>
      <c r="G140" s="87"/>
      <c r="H140" s="87"/>
      <c r="I140" s="87"/>
      <c r="J140" s="87"/>
      <c r="K140" s="87"/>
      <c r="L140" s="87"/>
    </row>
    <row r="141" spans="2:13">
      <c r="B141" s="261"/>
      <c r="C141" s="731" t="str">
        <f>CHOOSE(jezyk,n!A1233,n!B1233,n!C1233,n!D1231)</f>
        <v>Nie wystąpiły</v>
      </c>
      <c r="D141" s="731"/>
      <c r="E141" s="731"/>
      <c r="F141" s="731"/>
      <c r="G141" s="731"/>
      <c r="H141" s="731"/>
      <c r="I141" s="731"/>
      <c r="J141" s="731"/>
      <c r="K141" s="731"/>
      <c r="L141" s="731"/>
    </row>
    <row r="142" spans="2:13">
      <c r="B142" s="80"/>
      <c r="C142" s="87"/>
      <c r="D142" s="87"/>
      <c r="E142" s="87"/>
      <c r="F142" s="87"/>
      <c r="G142" s="87"/>
      <c r="H142" s="87"/>
      <c r="I142" s="87"/>
      <c r="J142" s="87"/>
      <c r="K142" s="87"/>
      <c r="L142" s="87"/>
    </row>
    <row r="143" spans="2:13">
      <c r="B143" s="261" t="s">
        <v>6889</v>
      </c>
      <c r="C143" s="722" t="str">
        <f>CHOOSE(jezyk,n!A1217,n!B1217,n!C1217,n!D1215)</f>
        <v>Pozostałe zobowiązania finansowe</v>
      </c>
      <c r="D143" s="722"/>
      <c r="E143" s="722"/>
      <c r="F143" s="722"/>
      <c r="G143" s="722"/>
      <c r="H143" s="722"/>
      <c r="I143" s="722"/>
      <c r="J143" s="722"/>
      <c r="K143" s="722"/>
      <c r="L143" s="722"/>
    </row>
    <row r="144" spans="2:13">
      <c r="B144" s="80"/>
      <c r="C144" s="87"/>
      <c r="D144" s="87"/>
      <c r="E144" s="87"/>
      <c r="F144" s="87"/>
      <c r="G144" s="87"/>
      <c r="H144" s="87"/>
      <c r="I144" s="87"/>
      <c r="J144" s="87"/>
      <c r="K144" s="87"/>
      <c r="L144" s="87"/>
    </row>
    <row r="145" spans="1:13">
      <c r="B145" s="261"/>
      <c r="C145" s="731" t="str">
        <f>CHOOSE(jezyk,n!A1233,n!B1233,n!C1233,n!D1231)</f>
        <v>Nie wystąpiły</v>
      </c>
      <c r="D145" s="731"/>
      <c r="E145" s="731"/>
      <c r="F145" s="731"/>
      <c r="G145" s="731"/>
      <c r="H145" s="731"/>
      <c r="I145" s="731"/>
      <c r="J145" s="731"/>
      <c r="K145" s="731"/>
      <c r="L145" s="731"/>
      <c r="M145" s="130" t="s">
        <v>6882</v>
      </c>
    </row>
    <row r="146" spans="1:13">
      <c r="B146" s="261"/>
      <c r="C146" s="388"/>
      <c r="D146" s="388"/>
      <c r="E146" s="388"/>
      <c r="F146" s="388"/>
      <c r="G146" s="388"/>
      <c r="H146" s="388"/>
      <c r="I146" s="388"/>
      <c r="J146" s="388"/>
      <c r="K146" s="388"/>
      <c r="L146" s="388"/>
      <c r="M146" s="130"/>
    </row>
    <row r="147" spans="1:13" ht="15" customHeight="1">
      <c r="B147" s="80"/>
      <c r="C147" s="1128" t="str">
        <f>CHOOSE(jezyk,n!A616,n!B616,n!C616,n!D614)</f>
        <v>Rok obrotowy 2024</v>
      </c>
      <c r="D147" s="1155"/>
      <c r="E147" s="1129"/>
      <c r="F147" s="87"/>
      <c r="G147" s="87"/>
      <c r="H147" s="87"/>
      <c r="I147" s="87"/>
      <c r="J147" s="87"/>
      <c r="K147" s="87"/>
      <c r="L147" s="87"/>
    </row>
    <row r="148" spans="1:13">
      <c r="B148" s="80"/>
      <c r="C148" s="263"/>
      <c r="D148" s="263"/>
      <c r="E148" s="263"/>
      <c r="F148" s="87"/>
      <c r="G148" s="87"/>
      <c r="H148" s="87"/>
      <c r="I148" s="87"/>
      <c r="J148" s="87"/>
      <c r="K148" s="87"/>
      <c r="L148" s="87"/>
    </row>
    <row r="149" spans="1:13" s="315" customFormat="1" ht="42.75" customHeight="1">
      <c r="A149" s="66"/>
      <c r="B149" s="264"/>
      <c r="C149" s="827" t="str">
        <f>CHOOSE(jezyk,n!A1234,n!B1234,n!C1234,n!D1232)</f>
        <v>Rodzaj zobowiązania</v>
      </c>
      <c r="D149" s="829"/>
      <c r="E149" s="827" t="str">
        <f>CHOOSE(jezyk,n!A1235,n!B1235,n!C1235,n!D1233)</f>
        <v>Kwota umowna</v>
      </c>
      <c r="F149" s="829"/>
      <c r="G149" s="827" t="str">
        <f>CHOOSE(jezyk,n!A1236,n!B1236,n!C1236,n!D1234)</f>
        <v>Wartość zobowiązania na 31.12.2024</v>
      </c>
      <c r="H149" s="829"/>
      <c r="I149" s="395" t="str">
        <f>CHOOSE(jezyk,n!A1238,n!B1238,n!C1238,n!D1236)</f>
        <v>Część krótkoterminowa</v>
      </c>
      <c r="J149" s="827" t="str">
        <f>CHOOSE(jezyk,n!A1239,n!B1239,n!C1239,n!D1237)</f>
        <v>Część długoterminowa</v>
      </c>
      <c r="K149" s="829"/>
      <c r="L149" s="395" t="str">
        <f>CHOOSE(jezyk,n!A1240,n!B1240,n!C1240,n!D1238)</f>
        <v>Warunki oprocentowania</v>
      </c>
    </row>
    <row r="150" spans="1:13" ht="23.25" customHeight="1">
      <c r="B150" s="80"/>
      <c r="C150" s="817" t="str">
        <f>CHOOSE(jezyk,n!A1242,n!B1242,n!C1242,n!D1240)</f>
        <v>Kredyt inwestycyjny</v>
      </c>
      <c r="D150" s="819"/>
      <c r="E150" s="1147"/>
      <c r="F150" s="1148"/>
      <c r="G150" s="958"/>
      <c r="H150" s="959"/>
      <c r="I150" s="411"/>
      <c r="J150" s="958"/>
      <c r="K150" s="959"/>
      <c r="L150" s="265"/>
    </row>
    <row r="151" spans="1:13" ht="20.25" customHeight="1">
      <c r="B151" s="80"/>
      <c r="C151" s="817" t="str">
        <f>CHOOSE(jezyk,n!A1243,n!B1243,n!C1243,n!D1241)</f>
        <v>Pożyczka grupowa</v>
      </c>
      <c r="D151" s="819"/>
      <c r="E151" s="1147"/>
      <c r="F151" s="1148"/>
      <c r="G151" s="958"/>
      <c r="H151" s="959"/>
      <c r="I151" s="411"/>
      <c r="J151" s="958"/>
      <c r="K151" s="959"/>
      <c r="L151" s="265"/>
    </row>
    <row r="152" spans="1:13">
      <c r="B152" s="80"/>
      <c r="C152" s="1145"/>
      <c r="D152" s="1146"/>
      <c r="E152" s="806">
        <f>SUM(E150:F151)</f>
        <v>0</v>
      </c>
      <c r="F152" s="806"/>
      <c r="G152" s="806">
        <f>SUM(G150:H151)</f>
        <v>0</v>
      </c>
      <c r="H152" s="806"/>
      <c r="I152" s="421">
        <f>SUM(I150:I151)</f>
        <v>0</v>
      </c>
      <c r="J152" s="917">
        <f>SUM(J150:J151)</f>
        <v>0</v>
      </c>
      <c r="K152" s="918"/>
      <c r="L152" s="266"/>
      <c r="M152" s="99"/>
    </row>
    <row r="153" spans="1:13">
      <c r="B153" s="80"/>
      <c r="C153" s="87"/>
      <c r="D153" s="87"/>
      <c r="E153" s="87"/>
      <c r="F153" s="87"/>
      <c r="G153" s="87"/>
      <c r="H153" s="87"/>
      <c r="I153" s="87"/>
      <c r="J153" s="87"/>
      <c r="K153" s="87"/>
      <c r="L153" s="87"/>
    </row>
    <row r="154" spans="1:13">
      <c r="B154" s="80"/>
      <c r="C154" s="722" t="str">
        <f>CHOOSE(jezyk,n!A1241,n!B1241,n!C1241,n!D1239)</f>
        <v>Zabezpieczenia</v>
      </c>
      <c r="D154" s="722"/>
      <c r="E154" s="722"/>
      <c r="F154" s="722"/>
      <c r="G154" s="722"/>
      <c r="H154" s="722"/>
      <c r="I154" s="722"/>
      <c r="J154" s="722"/>
      <c r="K154" s="722"/>
      <c r="L154" s="722"/>
    </row>
    <row r="155" spans="1:13">
      <c r="B155" s="80"/>
      <c r="C155" s="185"/>
      <c r="D155" s="185"/>
      <c r="E155" s="185"/>
      <c r="F155" s="185"/>
      <c r="G155" s="185"/>
      <c r="H155" s="185"/>
      <c r="I155" s="185"/>
      <c r="J155" s="185"/>
      <c r="K155" s="185"/>
      <c r="L155" s="185"/>
    </row>
    <row r="156" spans="1:13">
      <c r="B156" s="80"/>
      <c r="C156" s="731" t="str">
        <f>CHOOSE(jezyk,n!A1233,n!B1233,n!C1233,n!D1231)</f>
        <v>Nie wystąpiły</v>
      </c>
      <c r="D156" s="731"/>
      <c r="E156" s="731"/>
      <c r="F156" s="731"/>
      <c r="G156" s="731"/>
      <c r="H156" s="731"/>
      <c r="I156" s="731"/>
      <c r="J156" s="731"/>
      <c r="K156" s="731"/>
      <c r="L156" s="731"/>
    </row>
    <row r="157" spans="1:13" ht="12.75" customHeight="1">
      <c r="A157" s="72"/>
      <c r="B157" s="80"/>
      <c r="C157" s="728" t="s">
        <v>6890</v>
      </c>
      <c r="D157" s="728"/>
      <c r="E157" s="728"/>
      <c r="F157" s="728"/>
      <c r="G157" s="728"/>
      <c r="H157" s="728"/>
      <c r="I157" s="728"/>
      <c r="J157" s="728"/>
      <c r="K157" s="728"/>
      <c r="L157" s="728"/>
      <c r="M157" s="130" t="s">
        <v>6891</v>
      </c>
    </row>
    <row r="158" spans="1:13">
      <c r="B158" s="80"/>
      <c r="C158" s="419"/>
      <c r="D158" s="419"/>
      <c r="E158" s="419"/>
      <c r="F158" s="419"/>
      <c r="G158" s="419"/>
      <c r="H158" s="419"/>
      <c r="I158" s="419"/>
      <c r="J158" s="419"/>
      <c r="K158" s="419"/>
      <c r="L158" s="419"/>
      <c r="M158" s="130"/>
    </row>
    <row r="159" spans="1:13" ht="15" customHeight="1">
      <c r="B159" s="80"/>
      <c r="C159" s="1128" t="str">
        <f>CHOOSE(jezyk,n!A617,n!B617,n!C617,n!D615)</f>
        <v>Rok obrotowy 2023</v>
      </c>
      <c r="D159" s="1155"/>
      <c r="E159" s="1129"/>
      <c r="F159" s="87"/>
      <c r="G159" s="87"/>
      <c r="H159" s="87"/>
      <c r="I159" s="87"/>
      <c r="J159" s="87"/>
      <c r="K159" s="87"/>
      <c r="L159" s="87"/>
      <c r="M159" s="130"/>
    </row>
    <row r="160" spans="1:13">
      <c r="B160" s="80"/>
      <c r="C160" s="263"/>
      <c r="D160" s="263"/>
      <c r="E160" s="263"/>
      <c r="F160" s="87"/>
      <c r="G160" s="87"/>
      <c r="H160" s="87"/>
      <c r="I160" s="87"/>
      <c r="J160" s="87"/>
      <c r="K160" s="87"/>
      <c r="L160" s="87"/>
      <c r="M160" s="130"/>
    </row>
    <row r="161" spans="2:13" ht="39" customHeight="1">
      <c r="B161" s="80"/>
      <c r="C161" s="827" t="str">
        <f>C149</f>
        <v>Rodzaj zobowiązania</v>
      </c>
      <c r="D161" s="829"/>
      <c r="E161" s="827" t="str">
        <f>E149</f>
        <v>Kwota umowna</v>
      </c>
      <c r="F161" s="829"/>
      <c r="G161" s="827" t="str">
        <f>CHOOSE(jezyk,n!A1237,n!B1237,n!C1237,n!D1235)</f>
        <v>Wartość zobowiązania na 31.12.2023</v>
      </c>
      <c r="H161" s="829"/>
      <c r="I161" s="395" t="str">
        <f>I149</f>
        <v>Część krótkoterminowa</v>
      </c>
      <c r="J161" s="827" t="str">
        <f>J149</f>
        <v>Część długoterminowa</v>
      </c>
      <c r="K161" s="829"/>
      <c r="L161" s="395" t="str">
        <f>L149</f>
        <v>Warunki oprocentowania</v>
      </c>
      <c r="M161" s="130"/>
    </row>
    <row r="162" spans="2:13" ht="29.25" customHeight="1">
      <c r="B162" s="80"/>
      <c r="C162" s="817" t="str">
        <f>C150</f>
        <v>Kredyt inwestycyjny</v>
      </c>
      <c r="D162" s="819"/>
      <c r="E162" s="1147"/>
      <c r="F162" s="1148"/>
      <c r="G162" s="958"/>
      <c r="H162" s="959"/>
      <c r="I162" s="411"/>
      <c r="J162" s="958"/>
      <c r="K162" s="959"/>
      <c r="L162" s="265"/>
      <c r="M162" s="130"/>
    </row>
    <row r="163" spans="2:13" ht="20.25" customHeight="1">
      <c r="B163" s="80"/>
      <c r="C163" s="817" t="str">
        <f>C151</f>
        <v>Pożyczka grupowa</v>
      </c>
      <c r="D163" s="819"/>
      <c r="E163" s="1147"/>
      <c r="F163" s="1148"/>
      <c r="G163" s="958"/>
      <c r="H163" s="959"/>
      <c r="I163" s="411"/>
      <c r="J163" s="958"/>
      <c r="K163" s="959"/>
      <c r="L163" s="265"/>
      <c r="M163" s="130"/>
    </row>
    <row r="164" spans="2:13" s="149" customFormat="1" ht="17.100000000000001" customHeight="1">
      <c r="B164" s="267"/>
      <c r="C164" s="1132"/>
      <c r="D164" s="934"/>
      <c r="E164" s="806">
        <f>SUM(E162:F163)</f>
        <v>0</v>
      </c>
      <c r="F164" s="806"/>
      <c r="G164" s="806">
        <f>SUM(G162:H163)</f>
        <v>0</v>
      </c>
      <c r="H164" s="806"/>
      <c r="I164" s="421">
        <f>SUM(I162:I163)</f>
        <v>0</v>
      </c>
      <c r="J164" s="917">
        <f>SUM(J162:J163)</f>
        <v>0</v>
      </c>
      <c r="K164" s="918"/>
      <c r="L164" s="268"/>
      <c r="M164" s="147"/>
    </row>
    <row r="165" spans="2:13">
      <c r="B165" s="80"/>
      <c r="C165" s="87"/>
      <c r="D165" s="87"/>
      <c r="E165" s="87"/>
      <c r="F165" s="87"/>
      <c r="G165" s="87"/>
      <c r="H165" s="87"/>
      <c r="I165" s="87"/>
      <c r="J165" s="87"/>
      <c r="K165" s="87"/>
      <c r="L165" s="87"/>
    </row>
    <row r="166" spans="2:13">
      <c r="B166" s="80"/>
      <c r="C166" s="87"/>
      <c r="D166" s="87"/>
      <c r="E166" s="87"/>
      <c r="F166" s="87"/>
      <c r="G166" s="87"/>
      <c r="H166" s="87"/>
      <c r="I166" s="87"/>
      <c r="J166" s="87"/>
      <c r="K166" s="87"/>
      <c r="L166" s="87"/>
    </row>
    <row r="167" spans="2:13">
      <c r="B167" s="261" t="s">
        <v>6892</v>
      </c>
      <c r="C167" s="722" t="str">
        <f>CHOOSE(jezyk,n!A1218,n!B1218,n!C1218,n!D1216)</f>
        <v>Koszty z tytułu odsetek od zobowiązań finansowych</v>
      </c>
      <c r="D167" s="722"/>
      <c r="E167" s="722"/>
      <c r="F167" s="722"/>
      <c r="G167" s="722"/>
      <c r="H167" s="722"/>
      <c r="I167" s="722"/>
      <c r="J167" s="722"/>
      <c r="K167" s="722"/>
      <c r="L167" s="722"/>
    </row>
    <row r="168" spans="2:13">
      <c r="B168" s="80"/>
      <c r="C168" s="87"/>
      <c r="D168" s="87"/>
      <c r="E168" s="87"/>
      <c r="F168" s="87"/>
      <c r="G168" s="87"/>
      <c r="H168" s="87"/>
      <c r="I168" s="87"/>
      <c r="J168" s="87"/>
      <c r="K168" s="87"/>
      <c r="L168" s="87"/>
    </row>
    <row r="169" spans="2:13">
      <c r="B169" s="261"/>
      <c r="C169" s="731" t="str">
        <f>CHOOSE(jezyk,n!A1233,n!B1233,n!C1233,n!D1231)</f>
        <v>Nie wystąpiły</v>
      </c>
      <c r="D169" s="731"/>
      <c r="E169" s="731"/>
      <c r="F169" s="731"/>
      <c r="G169" s="731"/>
      <c r="H169" s="731"/>
      <c r="I169" s="731"/>
      <c r="J169" s="731"/>
      <c r="K169" s="731"/>
      <c r="L169" s="731"/>
      <c r="M169" s="130" t="s">
        <v>6882</v>
      </c>
    </row>
    <row r="170" spans="2:13" ht="10.5" customHeight="1">
      <c r="B170" s="80"/>
      <c r="C170" s="87"/>
      <c r="D170" s="87"/>
      <c r="E170" s="87"/>
      <c r="F170" s="87"/>
      <c r="G170" s="87"/>
      <c r="H170" s="87"/>
      <c r="I170" s="87"/>
      <c r="J170" s="87"/>
      <c r="K170" s="87"/>
      <c r="L170" s="87"/>
    </row>
    <row r="171" spans="2:13" ht="15" customHeight="1">
      <c r="B171" s="80"/>
      <c r="C171" s="1128" t="str">
        <f>CHOOSE(jezyk,n!A616,n!B616,n!C616,n!D614)</f>
        <v>Rok obrotowy 2024</v>
      </c>
      <c r="D171" s="1155"/>
      <c r="E171" s="1129"/>
      <c r="F171" s="87"/>
      <c r="G171" s="87"/>
      <c r="H171" s="87"/>
      <c r="I171" s="87"/>
      <c r="J171" s="87"/>
      <c r="K171" s="87"/>
      <c r="L171" s="87"/>
    </row>
    <row r="172" spans="2:13" ht="10.5" customHeight="1">
      <c r="B172" s="80"/>
      <c r="C172" s="87"/>
      <c r="D172" s="87"/>
      <c r="E172" s="87"/>
      <c r="F172" s="87"/>
      <c r="G172" s="87"/>
      <c r="H172" s="87"/>
      <c r="I172" s="87"/>
      <c r="J172" s="87"/>
      <c r="K172" s="87"/>
      <c r="L172" s="87"/>
    </row>
    <row r="173" spans="2:13" ht="15.75" customHeight="1">
      <c r="B173" s="80"/>
      <c r="C173" s="933" t="str">
        <f>CHOOSE(jezyk,n!A1234,n!B1234,n!C1234,n!D1232)</f>
        <v>Rodzaj zobowiązania</v>
      </c>
      <c r="D173" s="1132"/>
      <c r="E173" s="1132"/>
      <c r="F173" s="934"/>
      <c r="G173" s="805" t="str">
        <f>CHOOSE(jezyk,n!A1244,n!B1244,n!C1244,n!D1242)</f>
        <v>Koszty z tytułu odsetek w danym roku obrotowym</v>
      </c>
      <c r="H173" s="805"/>
      <c r="I173" s="805"/>
      <c r="J173" s="805"/>
      <c r="K173" s="805"/>
      <c r="L173" s="805"/>
    </row>
    <row r="174" spans="2:13" ht="15.75" customHeight="1">
      <c r="B174" s="80"/>
      <c r="C174" s="1142"/>
      <c r="D174" s="1143"/>
      <c r="E174" s="1143"/>
      <c r="F174" s="1115"/>
      <c r="G174" s="805" t="str">
        <f>CHOOSE(jezyk,n!A1245,n!B1245,n!C1245,n!D1243)</f>
        <v>Odsetki naliczone i zapłacone</v>
      </c>
      <c r="H174" s="805"/>
      <c r="I174" s="805" t="str">
        <f>CHOOSE(jezyk,n!A1246,n!B1246,n!C1246,n!D1244)</f>
        <v>Odsetki naliczone lecz nie zapłacone</v>
      </c>
      <c r="J174" s="805"/>
      <c r="K174" s="805"/>
      <c r="L174" s="805"/>
    </row>
    <row r="175" spans="2:13" ht="28.5" customHeight="1">
      <c r="B175" s="80"/>
      <c r="C175" s="1133"/>
      <c r="D175" s="1134"/>
      <c r="E175" s="1134"/>
      <c r="F175" s="1135"/>
      <c r="G175" s="805"/>
      <c r="H175" s="805"/>
      <c r="I175" s="395" t="str">
        <f>CHOOSE(jezyk,n!A1247,n!B1247,n!C1247,n!D1245)</f>
        <v>do 3 m-cy</v>
      </c>
      <c r="J175" s="805" t="str">
        <f>CHOOSE(jezyk,n!A1248,n!B1248,n!C1248,n!D1246)</f>
        <v>3 - 12 m-cy</v>
      </c>
      <c r="K175" s="805"/>
      <c r="L175" s="395" t="str">
        <f>CHOOSE(jezyk,n!A1249,n!B1249,n!C1249,n!D1247)</f>
        <v>powyżej 12 m-cy</v>
      </c>
    </row>
    <row r="176" spans="2:13" ht="26.25" customHeight="1">
      <c r="B176" s="80"/>
      <c r="C176" s="895" t="str">
        <f>CHOOSE(jezyk,n!A1215,n!B1215,n!C1215,n!D1213)</f>
        <v>Zobowiązania finansowe przeznaczone do obrotu</v>
      </c>
      <c r="D176" s="896"/>
      <c r="E176" s="896"/>
      <c r="F176" s="897"/>
      <c r="G176" s="941"/>
      <c r="H176" s="942"/>
      <c r="I176" s="408"/>
      <c r="J176" s="941"/>
      <c r="K176" s="942"/>
      <c r="L176" s="422"/>
    </row>
    <row r="177" spans="1:12" ht="28.5" customHeight="1">
      <c r="B177" s="80"/>
      <c r="C177" s="895" t="str">
        <f>CHOOSE(jezyk,n!A1250,n!B1250,n!C1250,n!D1248)</f>
        <v>Pozostałe zobowiązania krótkoterminowe, w tym:</v>
      </c>
      <c r="D177" s="896"/>
      <c r="E177" s="896"/>
      <c r="F177" s="897"/>
      <c r="G177" s="1144">
        <f>SUM(G178:H180)</f>
        <v>0</v>
      </c>
      <c r="H177" s="1144"/>
      <c r="I177" s="421">
        <f>SUM(I178:I180)</f>
        <v>0</v>
      </c>
      <c r="J177" s="1144">
        <f>SUM(J178:K180)</f>
        <v>0</v>
      </c>
      <c r="K177" s="1144"/>
      <c r="L177" s="421">
        <f>SUM(L178:L180)</f>
        <v>0</v>
      </c>
    </row>
    <row r="178" spans="1:12">
      <c r="B178" s="80"/>
      <c r="C178" s="895" t="str">
        <f>"  a) "&amp;CHOOSE(jezyk,n!A1251,n!B1251,n!C1251,n!D1249)</f>
        <v xml:space="preserve">  a) kredyty i pożyczki</v>
      </c>
      <c r="D178" s="896"/>
      <c r="E178" s="896"/>
      <c r="F178" s="897"/>
      <c r="G178" s="941"/>
      <c r="H178" s="942"/>
      <c r="I178" s="408"/>
      <c r="J178" s="941"/>
      <c r="K178" s="942"/>
      <c r="L178" s="422"/>
    </row>
    <row r="179" spans="1:12">
      <c r="B179" s="80"/>
      <c r="C179" s="895" t="str">
        <f>"  b) "&amp;CHOOSE(jezyk,n!A1252,n!B1252,n!C1252,n!D1250)</f>
        <v xml:space="preserve">  b) dłużne papiery wartościowe</v>
      </c>
      <c r="D179" s="896"/>
      <c r="E179" s="896"/>
      <c r="F179" s="897"/>
      <c r="G179" s="941"/>
      <c r="H179" s="942"/>
      <c r="I179" s="408"/>
      <c r="J179" s="941"/>
      <c r="K179" s="942"/>
      <c r="L179" s="422"/>
    </row>
    <row r="180" spans="1:12" ht="12.75" customHeight="1">
      <c r="A180" s="72"/>
      <c r="B180" s="80"/>
      <c r="C180" s="895" t="str">
        <f>"  c) "&amp; CHOOSE(jezyk,n!A1253,n!B1253,n!C1253,n!D1251)</f>
        <v xml:space="preserve">  c) zobowiązania finansowe inne</v>
      </c>
      <c r="D180" s="896"/>
      <c r="E180" s="896"/>
      <c r="F180" s="897"/>
      <c r="G180" s="941"/>
      <c r="H180" s="942"/>
      <c r="I180" s="408"/>
      <c r="J180" s="941"/>
      <c r="K180" s="942"/>
      <c r="L180" s="422"/>
    </row>
    <row r="181" spans="1:12" ht="27" customHeight="1">
      <c r="B181" s="80"/>
      <c r="C181" s="895" t="str">
        <f>CHOOSE(jezyk,n!A1254,n!B1254,n!C1254,n!D1252)</f>
        <v>Długoterminowe zobowiązania finansowe</v>
      </c>
      <c r="D181" s="896"/>
      <c r="E181" s="896"/>
      <c r="F181" s="897"/>
      <c r="G181" s="1144">
        <f>SUM(G182:H184)</f>
        <v>0</v>
      </c>
      <c r="H181" s="1144"/>
      <c r="I181" s="421">
        <f>SUM(I182:I184)</f>
        <v>0</v>
      </c>
      <c r="J181" s="1144">
        <f>SUM(J182:K184)</f>
        <v>0</v>
      </c>
      <c r="K181" s="1144"/>
      <c r="L181" s="421">
        <f>SUM(L182:L184)</f>
        <v>0</v>
      </c>
    </row>
    <row r="182" spans="1:12">
      <c r="B182" s="80"/>
      <c r="C182" s="895" t="str">
        <f>C178</f>
        <v xml:space="preserve">  a) kredyty i pożyczki</v>
      </c>
      <c r="D182" s="896"/>
      <c r="E182" s="896"/>
      <c r="F182" s="897"/>
      <c r="G182" s="941"/>
      <c r="H182" s="942"/>
      <c r="I182" s="408"/>
      <c r="J182" s="941"/>
      <c r="K182" s="942"/>
      <c r="L182" s="422"/>
    </row>
    <row r="183" spans="1:12">
      <c r="B183" s="80"/>
      <c r="C183" s="895" t="str">
        <f>C179</f>
        <v xml:space="preserve">  b) dłużne papiery wartościowe</v>
      </c>
      <c r="D183" s="896"/>
      <c r="E183" s="896"/>
      <c r="F183" s="897"/>
      <c r="G183" s="941"/>
      <c r="H183" s="942"/>
      <c r="I183" s="408"/>
      <c r="J183" s="941"/>
      <c r="K183" s="942"/>
      <c r="L183" s="422"/>
    </row>
    <row r="184" spans="1:12" ht="12.75" customHeight="1">
      <c r="A184" s="72"/>
      <c r="B184" s="80"/>
      <c r="C184" s="895" t="str">
        <f>C180</f>
        <v xml:space="preserve">  c) zobowiązania finansowe inne</v>
      </c>
      <c r="D184" s="896"/>
      <c r="E184" s="896"/>
      <c r="F184" s="897"/>
      <c r="G184" s="941"/>
      <c r="H184" s="942"/>
      <c r="I184" s="408"/>
      <c r="J184" s="941"/>
      <c r="K184" s="942"/>
      <c r="L184" s="422"/>
    </row>
    <row r="185" spans="1:12" ht="24" customHeight="1">
      <c r="B185" s="80"/>
      <c r="C185" s="1145"/>
      <c r="D185" s="1145"/>
      <c r="E185" s="1145"/>
      <c r="F185" s="1146"/>
      <c r="G185" s="1144">
        <f>G176+G177+G181</f>
        <v>0</v>
      </c>
      <c r="H185" s="1144"/>
      <c r="I185" s="421">
        <f>I176+I177+I181</f>
        <v>0</v>
      </c>
      <c r="J185" s="1144">
        <f>J177+J176+J181</f>
        <v>0</v>
      </c>
      <c r="K185" s="1144"/>
      <c r="L185" s="421">
        <f>L176+L177+L181</f>
        <v>0</v>
      </c>
    </row>
    <row r="186" spans="1:12">
      <c r="B186" s="80"/>
      <c r="C186" s="87"/>
      <c r="D186" s="87"/>
      <c r="E186" s="87"/>
      <c r="F186" s="87"/>
      <c r="G186" s="87"/>
      <c r="H186" s="87"/>
      <c r="I186" s="87"/>
      <c r="J186" s="87"/>
      <c r="K186" s="87"/>
      <c r="L186" s="87"/>
    </row>
    <row r="187" spans="1:12" ht="15" customHeight="1">
      <c r="B187" s="80"/>
      <c r="C187" s="1128" t="str">
        <f>CHOOSE(jezyk,n!A617,n!B617,n!C617,n!D615)</f>
        <v>Rok obrotowy 2023</v>
      </c>
      <c r="D187" s="1155"/>
      <c r="E187" s="1129"/>
      <c r="F187" s="87"/>
      <c r="G187" s="87"/>
      <c r="H187" s="87"/>
      <c r="I187" s="87"/>
      <c r="J187" s="87"/>
      <c r="K187" s="87"/>
      <c r="L187" s="87"/>
    </row>
    <row r="188" spans="1:12">
      <c r="B188" s="80"/>
      <c r="C188" s="87"/>
      <c r="D188" s="87"/>
      <c r="E188" s="87"/>
      <c r="F188" s="87"/>
      <c r="G188" s="87"/>
      <c r="H188" s="87"/>
      <c r="I188" s="87"/>
      <c r="J188" s="87"/>
      <c r="K188" s="87"/>
      <c r="L188" s="87"/>
    </row>
    <row r="189" spans="1:12" ht="17.25" customHeight="1">
      <c r="B189" s="80"/>
      <c r="C189" s="933" t="str">
        <f>C173</f>
        <v>Rodzaj zobowiązania</v>
      </c>
      <c r="D189" s="1132"/>
      <c r="E189" s="1132"/>
      <c r="F189" s="934"/>
      <c r="G189" s="805" t="str">
        <f>G173</f>
        <v>Koszty z tytułu odsetek w danym roku obrotowym</v>
      </c>
      <c r="H189" s="805"/>
      <c r="I189" s="805"/>
      <c r="J189" s="805"/>
      <c r="K189" s="805"/>
      <c r="L189" s="805"/>
    </row>
    <row r="190" spans="1:12" ht="16.5" customHeight="1">
      <c r="B190" s="80"/>
      <c r="C190" s="1142"/>
      <c r="D190" s="1143"/>
      <c r="E190" s="1143"/>
      <c r="F190" s="1115"/>
      <c r="G190" s="805" t="str">
        <f>G174</f>
        <v>Odsetki naliczone i zapłacone</v>
      </c>
      <c r="H190" s="805"/>
      <c r="I190" s="805" t="str">
        <f>I174</f>
        <v>Odsetki naliczone lecz nie zapłacone</v>
      </c>
      <c r="J190" s="805"/>
      <c r="K190" s="805"/>
      <c r="L190" s="805"/>
    </row>
    <row r="191" spans="1:12" ht="24.75" customHeight="1">
      <c r="B191" s="80"/>
      <c r="C191" s="1133"/>
      <c r="D191" s="1134"/>
      <c r="E191" s="1134"/>
      <c r="F191" s="1135"/>
      <c r="G191" s="805"/>
      <c r="H191" s="805"/>
      <c r="I191" s="395" t="str">
        <f>I175</f>
        <v>do 3 m-cy</v>
      </c>
      <c r="J191" s="805" t="str">
        <f>J175</f>
        <v>3 - 12 m-cy</v>
      </c>
      <c r="K191" s="805"/>
      <c r="L191" s="395" t="str">
        <f>L175</f>
        <v>powyżej 12 m-cy</v>
      </c>
    </row>
    <row r="192" spans="1:12" ht="25.5" customHeight="1">
      <c r="B192" s="80"/>
      <c r="C192" s="895" t="str">
        <f>C176</f>
        <v>Zobowiązania finansowe przeznaczone do obrotu</v>
      </c>
      <c r="D192" s="896"/>
      <c r="E192" s="896"/>
      <c r="F192" s="897"/>
      <c r="G192" s="941"/>
      <c r="H192" s="942"/>
      <c r="I192" s="408"/>
      <c r="J192" s="941"/>
      <c r="K192" s="942"/>
      <c r="L192" s="422"/>
    </row>
    <row r="193" spans="1:12" ht="25.5" customHeight="1">
      <c r="B193" s="80"/>
      <c r="C193" s="895" t="str">
        <f t="shared" ref="C193:C200" si="0">C177</f>
        <v>Pozostałe zobowiązania krótkoterminowe, w tym:</v>
      </c>
      <c r="D193" s="896"/>
      <c r="E193" s="896"/>
      <c r="F193" s="897"/>
      <c r="G193" s="1144">
        <f>SUM(G194:H196)</f>
        <v>0</v>
      </c>
      <c r="H193" s="1144"/>
      <c r="I193" s="421">
        <f>SUM(I194:I196)</f>
        <v>0</v>
      </c>
      <c r="J193" s="1144">
        <f>SUM(J194:K196)</f>
        <v>0</v>
      </c>
      <c r="K193" s="1144"/>
      <c r="L193" s="421">
        <f>SUM(L194:L196)</f>
        <v>0</v>
      </c>
    </row>
    <row r="194" spans="1:12" ht="15" customHeight="1">
      <c r="B194" s="80"/>
      <c r="C194" s="895" t="str">
        <f t="shared" si="0"/>
        <v xml:space="preserve">  a) kredyty i pożyczki</v>
      </c>
      <c r="D194" s="896"/>
      <c r="E194" s="896"/>
      <c r="F194" s="897"/>
      <c r="G194" s="941"/>
      <c r="H194" s="942"/>
      <c r="I194" s="408"/>
      <c r="J194" s="941"/>
      <c r="K194" s="942"/>
      <c r="L194" s="422"/>
    </row>
    <row r="195" spans="1:12" ht="15" customHeight="1">
      <c r="B195" s="80"/>
      <c r="C195" s="895" t="str">
        <f t="shared" si="0"/>
        <v xml:space="preserve">  b) dłużne papiery wartościowe</v>
      </c>
      <c r="D195" s="896"/>
      <c r="E195" s="896"/>
      <c r="F195" s="897"/>
      <c r="G195" s="941"/>
      <c r="H195" s="942"/>
      <c r="I195" s="408"/>
      <c r="J195" s="941"/>
      <c r="K195" s="942"/>
      <c r="L195" s="422"/>
    </row>
    <row r="196" spans="1:12" ht="15" customHeight="1">
      <c r="A196" s="72"/>
      <c r="B196" s="80"/>
      <c r="C196" s="895" t="str">
        <f t="shared" si="0"/>
        <v xml:space="preserve">  c) zobowiązania finansowe inne</v>
      </c>
      <c r="D196" s="896"/>
      <c r="E196" s="896"/>
      <c r="F196" s="897"/>
      <c r="G196" s="941"/>
      <c r="H196" s="942"/>
      <c r="I196" s="408"/>
      <c r="J196" s="941"/>
      <c r="K196" s="942"/>
      <c r="L196" s="422"/>
    </row>
    <row r="197" spans="1:12" ht="25.5" customHeight="1">
      <c r="B197" s="80"/>
      <c r="C197" s="895" t="str">
        <f t="shared" si="0"/>
        <v>Długoterminowe zobowiązania finansowe</v>
      </c>
      <c r="D197" s="896"/>
      <c r="E197" s="896"/>
      <c r="F197" s="897"/>
      <c r="G197" s="1144">
        <f>SUM(G198:H200)</f>
        <v>0</v>
      </c>
      <c r="H197" s="1144"/>
      <c r="I197" s="421">
        <f>SUM(I198:I200)</f>
        <v>0</v>
      </c>
      <c r="J197" s="1144">
        <f>SUM(J198:K200)</f>
        <v>0</v>
      </c>
      <c r="K197" s="1144"/>
      <c r="L197" s="421">
        <f>SUM(L198:L200)</f>
        <v>0</v>
      </c>
    </row>
    <row r="198" spans="1:12" ht="15" customHeight="1">
      <c r="B198" s="80"/>
      <c r="C198" s="895" t="str">
        <f t="shared" si="0"/>
        <v xml:space="preserve">  a) kredyty i pożyczki</v>
      </c>
      <c r="D198" s="896"/>
      <c r="E198" s="896"/>
      <c r="F198" s="897"/>
      <c r="G198" s="941"/>
      <c r="H198" s="942"/>
      <c r="I198" s="408"/>
      <c r="J198" s="941"/>
      <c r="K198" s="942"/>
      <c r="L198" s="422"/>
    </row>
    <row r="199" spans="1:12" ht="15" customHeight="1">
      <c r="B199" s="80"/>
      <c r="C199" s="895" t="str">
        <f t="shared" si="0"/>
        <v xml:space="preserve">  b) dłużne papiery wartościowe</v>
      </c>
      <c r="D199" s="896"/>
      <c r="E199" s="896"/>
      <c r="F199" s="897"/>
      <c r="G199" s="941"/>
      <c r="H199" s="942"/>
      <c r="I199" s="408"/>
      <c r="J199" s="941"/>
      <c r="K199" s="942"/>
      <c r="L199" s="422"/>
    </row>
    <row r="200" spans="1:12" ht="15" customHeight="1">
      <c r="A200" s="72"/>
      <c r="B200" s="80"/>
      <c r="C200" s="895" t="str">
        <f t="shared" si="0"/>
        <v xml:space="preserve">  c) zobowiązania finansowe inne</v>
      </c>
      <c r="D200" s="896"/>
      <c r="E200" s="896"/>
      <c r="F200" s="897"/>
      <c r="G200" s="941"/>
      <c r="H200" s="942"/>
      <c r="I200" s="408"/>
      <c r="J200" s="941"/>
      <c r="K200" s="942"/>
      <c r="L200" s="422"/>
    </row>
    <row r="201" spans="1:12" ht="15" customHeight="1">
      <c r="B201" s="80"/>
      <c r="C201" s="1145"/>
      <c r="D201" s="1145"/>
      <c r="E201" s="1145"/>
      <c r="F201" s="1146"/>
      <c r="G201" s="1144">
        <f>G192+G193+G197</f>
        <v>0</v>
      </c>
      <c r="H201" s="1144"/>
      <c r="I201" s="421">
        <f>I192+I193+I197</f>
        <v>0</v>
      </c>
      <c r="J201" s="1144">
        <f>J193+J192+J197</f>
        <v>0</v>
      </c>
      <c r="K201" s="1144"/>
      <c r="L201" s="421">
        <f>L192+L193+L197</f>
        <v>0</v>
      </c>
    </row>
    <row r="202" spans="1:12">
      <c r="B202" s="80"/>
      <c r="C202" s="87"/>
      <c r="D202" s="87"/>
      <c r="E202" s="87"/>
      <c r="F202" s="87"/>
      <c r="G202" s="87"/>
      <c r="H202" s="87"/>
      <c r="I202" s="87"/>
      <c r="J202" s="87"/>
      <c r="K202" s="87"/>
      <c r="L202" s="87"/>
    </row>
    <row r="203" spans="1:12" ht="31.5" customHeight="1">
      <c r="B203" s="261" t="s">
        <v>6893</v>
      </c>
      <c r="C203" s="722" t="str">
        <f>CHOOSE(jezyk,n!A1219,n!B1219,n!C1219,n!D1217)</f>
        <v>Cele i zasady zarządzania ryzykiem finansowym, w tym dotyczące zabezpieczenia podstawowych rodzajów planowanych transakcji oraz uprawdopodobnionych przyszłych zobowiązań</v>
      </c>
      <c r="D203" s="722"/>
      <c r="E203" s="722"/>
      <c r="F203" s="722"/>
      <c r="G203" s="722"/>
      <c r="H203" s="722"/>
      <c r="I203" s="722"/>
      <c r="J203" s="722"/>
      <c r="K203" s="722"/>
      <c r="L203" s="722"/>
    </row>
    <row r="204" spans="1:12" ht="6.75" customHeight="1">
      <c r="B204" s="80"/>
      <c r="C204" s="87"/>
      <c r="D204" s="87"/>
      <c r="E204" s="87"/>
      <c r="F204" s="87"/>
      <c r="G204" s="87"/>
      <c r="H204" s="87"/>
      <c r="I204" s="87"/>
      <c r="J204" s="87"/>
      <c r="K204" s="87"/>
      <c r="L204" s="87"/>
    </row>
    <row r="205" spans="1:12">
      <c r="A205" s="72"/>
      <c r="B205" s="261"/>
      <c r="C205" s="721" t="str">
        <f>IF(GA!F75&lt;&gt;"nie",IF(GA!H16=2,CHOOSE(jezyk,n!A1224,n!B1224,n!C1224,n!D1220),CHOOSE(jezyk,n!A1222,n!B1222,n!C1222,n!D1219)),IF(GA!H16=2,CHOOSE(jezyk,n!A1225,n!B1225,n!C1225,n!D1225),CHOOSE(jezyk,n!A1223,n!B1223,n!C1223,n!D1223)))</f>
        <v xml:space="preserve">Zarząd ponosi odpowiedzialność za ustanowienie i nadzór nad polityką zarządzania ryzykiem finansowym, w tym w szczególności identyfikację i analizę ryzyk, na które Spółka jest narażona. Zasady i procedury zarządzania ryzykiem podlegają regularnej weryfikacji, w celu uwzględnienia zmiany warunków rynkowych i zmian w działalności Spółki. </v>
      </c>
      <c r="D205" s="721"/>
      <c r="E205" s="721"/>
      <c r="F205" s="721"/>
      <c r="G205" s="721"/>
      <c r="H205" s="721"/>
      <c r="I205" s="721"/>
      <c r="J205" s="721"/>
      <c r="K205" s="721"/>
      <c r="L205" s="721"/>
    </row>
    <row r="206" spans="1:12">
      <c r="B206" s="261"/>
      <c r="C206" s="388"/>
      <c r="D206" s="388"/>
      <c r="E206" s="388"/>
      <c r="F206" s="388"/>
      <c r="G206" s="388"/>
      <c r="H206" s="388"/>
      <c r="I206" s="388"/>
      <c r="J206" s="388"/>
      <c r="K206" s="388"/>
      <c r="L206" s="388"/>
    </row>
    <row r="207" spans="1:12" ht="26.25" customHeight="1">
      <c r="B207" s="261"/>
      <c r="C207" s="721" t="str">
        <f>CHOOSE(jezyk,n!A1255,n!B1255,n!C1255,n!D1253)</f>
        <v>Zarządzanie ryzykiem związanym z instrumentami finansowymi polega przede wszystkim na planowaniu przepływów pieniężnych oraz monitorowaniu zaangażowania własnych środków finansowych.</v>
      </c>
      <c r="D207" s="721"/>
      <c r="E207" s="721"/>
      <c r="F207" s="721"/>
      <c r="G207" s="721"/>
      <c r="H207" s="721"/>
      <c r="I207" s="721"/>
      <c r="J207" s="721"/>
      <c r="K207" s="721"/>
      <c r="L207" s="721"/>
    </row>
    <row r="208" spans="1:12">
      <c r="B208" s="261"/>
      <c r="C208" s="721" t="str">
        <f>CHOOSE(jezyk,n!A1220,n!B1220,n!C1220,n!D1218)</f>
        <v>Spółka nie stosuje rachunkowości zabezpieczeń.</v>
      </c>
      <c r="D208" s="721"/>
      <c r="E208" s="721"/>
      <c r="F208" s="721"/>
      <c r="G208" s="721"/>
      <c r="H208" s="721"/>
      <c r="I208" s="721"/>
      <c r="J208" s="721"/>
      <c r="K208" s="721"/>
      <c r="L208" s="721"/>
    </row>
    <row r="209" spans="1:13">
      <c r="B209" s="261"/>
      <c r="C209" s="722"/>
      <c r="D209" s="722"/>
      <c r="E209" s="722"/>
      <c r="F209" s="722"/>
      <c r="G209" s="722"/>
      <c r="H209" s="722"/>
      <c r="I209" s="722"/>
      <c r="J209" s="722"/>
      <c r="K209" s="722"/>
      <c r="L209" s="722"/>
    </row>
    <row r="210" spans="1:13" ht="13.5" customHeight="1">
      <c r="B210" s="261"/>
      <c r="C210" s="721" t="str">
        <f>CHOOSE(jezyk,n!A1226,n!B1226,n!C1226,n!D1222)</f>
        <v>Działalność Spółki narażona jest na następujące rodzaje ryzyka wynikające z posiadania instrumentów finansowych:</v>
      </c>
      <c r="D210" s="721"/>
      <c r="E210" s="721"/>
      <c r="F210" s="721"/>
      <c r="G210" s="721"/>
      <c r="H210" s="721"/>
      <c r="I210" s="721"/>
      <c r="J210" s="721"/>
      <c r="K210" s="721"/>
      <c r="L210" s="721"/>
    </row>
    <row r="211" spans="1:13">
      <c r="B211" s="261"/>
      <c r="C211" s="721" t="str">
        <f>CHOOSE(jezyk,n!A1228,n!B1228,n!C1228,n!D1224)</f>
        <v>- ryzyko walutowe</v>
      </c>
      <c r="D211" s="721"/>
      <c r="E211" s="721"/>
      <c r="F211" s="721"/>
      <c r="G211" s="721"/>
      <c r="H211" s="721"/>
      <c r="I211" s="721"/>
      <c r="J211" s="721"/>
      <c r="K211" s="721"/>
      <c r="L211" s="721"/>
      <c r="M211" s="212" t="s">
        <v>6894</v>
      </c>
    </row>
    <row r="212" spans="1:13">
      <c r="B212" s="261"/>
      <c r="C212" s="721" t="str">
        <f>CHOOSE(jezyk,n!A1229,n!B1229,n!C1229,n!D1226)</f>
        <v>- ryzyko stopy procentowej</v>
      </c>
      <c r="D212" s="721"/>
      <c r="E212" s="721"/>
      <c r="F212" s="721"/>
      <c r="G212" s="721"/>
      <c r="H212" s="721"/>
      <c r="I212" s="721"/>
      <c r="J212" s="721"/>
      <c r="K212" s="721"/>
      <c r="L212" s="721"/>
    </row>
    <row r="213" spans="1:13">
      <c r="B213" s="261"/>
      <c r="C213" s="721" t="str">
        <f>CHOOSE(jezyk,n!A1230,n!B1230,n!C1230,n!D1228)</f>
        <v>- ryzyko kredytowe</v>
      </c>
      <c r="D213" s="721"/>
      <c r="E213" s="721"/>
      <c r="F213" s="721"/>
      <c r="G213" s="721"/>
      <c r="H213" s="721"/>
      <c r="I213" s="721"/>
      <c r="J213" s="721"/>
      <c r="K213" s="721"/>
      <c r="L213" s="721"/>
    </row>
    <row r="214" spans="1:13">
      <c r="B214" s="261"/>
      <c r="C214" s="721" t="str">
        <f>CHOOSE(jezyk,n!A1231,n!B1231,n!C1231,n!D1229)</f>
        <v>- ryzyko płynności</v>
      </c>
      <c r="D214" s="721"/>
      <c r="E214" s="721"/>
      <c r="F214" s="721"/>
      <c r="G214" s="721"/>
      <c r="H214" s="721"/>
      <c r="I214" s="721"/>
      <c r="J214" s="721"/>
      <c r="K214" s="721"/>
      <c r="L214" s="721"/>
    </row>
    <row r="215" spans="1:13">
      <c r="B215" s="261"/>
      <c r="C215" s="388"/>
      <c r="D215" s="388"/>
      <c r="E215" s="388"/>
      <c r="F215" s="388"/>
      <c r="G215" s="388"/>
      <c r="H215" s="388"/>
      <c r="I215" s="388"/>
      <c r="J215" s="388"/>
      <c r="K215" s="388"/>
      <c r="L215" s="388"/>
    </row>
    <row r="216" spans="1:13">
      <c r="B216" s="261"/>
      <c r="C216" s="733" t="str">
        <f>CHOOSE(jezyk,n!A1256,n!B1256,n!C1256,n!D1254)</f>
        <v>Ryzyko walutowe</v>
      </c>
      <c r="D216" s="733"/>
      <c r="E216" s="733"/>
      <c r="F216" s="733"/>
      <c r="G216" s="733"/>
      <c r="H216" s="733"/>
      <c r="I216" s="733"/>
      <c r="J216" s="733"/>
      <c r="K216" s="733"/>
      <c r="L216" s="733"/>
    </row>
    <row r="217" spans="1:13">
      <c r="B217" s="261"/>
      <c r="C217" s="388"/>
      <c r="D217" s="388"/>
      <c r="E217" s="388"/>
      <c r="F217" s="388"/>
      <c r="G217" s="388"/>
      <c r="H217" s="388"/>
      <c r="I217" s="388"/>
      <c r="J217" s="388"/>
      <c r="K217" s="388"/>
      <c r="L217" s="388"/>
    </row>
    <row r="218" spans="1:13">
      <c r="A218" s="72"/>
      <c r="B218" s="261"/>
      <c r="C218" s="1136" t="s">
        <v>6895</v>
      </c>
      <c r="D218" s="1136"/>
      <c r="E218" s="1136"/>
      <c r="F218" s="1136"/>
      <c r="G218" s="1136"/>
      <c r="H218" s="1136"/>
      <c r="I218" s="1136"/>
      <c r="J218" s="1136"/>
      <c r="K218" s="1136"/>
      <c r="L218" s="1136"/>
    </row>
    <row r="219" spans="1:13">
      <c r="B219" s="261"/>
      <c r="C219" s="419"/>
      <c r="D219" s="419"/>
      <c r="E219" s="419"/>
      <c r="F219" s="419"/>
      <c r="G219" s="419"/>
      <c r="H219" s="419"/>
      <c r="I219" s="419"/>
      <c r="J219" s="419"/>
      <c r="K219" s="419"/>
      <c r="L219" s="419"/>
    </row>
    <row r="220" spans="1:13">
      <c r="B220" s="261"/>
      <c r="C220" s="721" t="str">
        <f>CHOOSE(jezyk,n!A1257,n!B1257,n!C1257,n!D1255)</f>
        <v>Spółka jest narażona na ryzyko walutowe w związku z:</v>
      </c>
      <c r="D220" s="721"/>
      <c r="E220" s="721"/>
      <c r="F220" s="721"/>
      <c r="G220" s="721"/>
      <c r="H220" s="721"/>
      <c r="I220" s="721"/>
      <c r="J220" s="721"/>
      <c r="K220" s="721"/>
      <c r="L220" s="721"/>
      <c r="M220" s="212" t="s">
        <v>6894</v>
      </c>
    </row>
    <row r="221" spans="1:13">
      <c r="B221" s="261"/>
      <c r="C221" s="721" t="str">
        <f>CHOOSE(jezyk,n!A1259,n!B1259,n!C1259,n!D1256)</f>
        <v xml:space="preserve">- realizowaniem przychodów ze sprzedaży </v>
      </c>
      <c r="D221" s="721"/>
      <c r="E221" s="721"/>
      <c r="F221" s="721"/>
      <c r="G221" s="721"/>
      <c r="H221" s="721"/>
      <c r="I221" s="721"/>
      <c r="J221" s="721"/>
      <c r="K221" s="721"/>
      <c r="L221" s="721"/>
    </row>
    <row r="222" spans="1:13">
      <c r="B222" s="261"/>
      <c r="C222" s="721" t="str">
        <f>CHOOSE(jezyk,n!A1260,n!B1260,n!C1260,n!D1257)</f>
        <v xml:space="preserve">- dokonywaniem zakupów operacyjnych </v>
      </c>
      <c r="D222" s="721"/>
      <c r="E222" s="721"/>
      <c r="F222" s="721"/>
      <c r="G222" s="721"/>
      <c r="H222" s="721"/>
      <c r="I222" s="721"/>
      <c r="J222" s="721"/>
      <c r="K222" s="721"/>
      <c r="L222" s="721"/>
    </row>
    <row r="223" spans="1:13">
      <c r="B223" s="261"/>
      <c r="C223" s="721" t="str">
        <f>CHOOSE(jezyk,n!A1261,n!B1261,n!C1261,n!D1259)</f>
        <v xml:space="preserve">- dokonywaniem istotnych nakładów inwestycyjnych </v>
      </c>
      <c r="D223" s="721"/>
      <c r="E223" s="721"/>
      <c r="F223" s="721"/>
      <c r="G223" s="721"/>
      <c r="H223" s="721"/>
      <c r="I223" s="721"/>
      <c r="J223" s="721"/>
      <c r="K223" s="721"/>
      <c r="L223" s="721"/>
    </row>
    <row r="224" spans="1:13">
      <c r="B224" s="261"/>
      <c r="C224" s="721" t="str">
        <f>CHOOSE(jezyk,n!A1262,n!B1262,n!C1262,n!D1260)</f>
        <v xml:space="preserve">- finansowaniem działalności kredytami </v>
      </c>
      <c r="D224" s="721"/>
      <c r="E224" s="721"/>
      <c r="F224" s="721"/>
      <c r="G224" s="721"/>
      <c r="H224" s="721"/>
      <c r="I224" s="721"/>
      <c r="J224" s="721"/>
      <c r="K224" s="721"/>
      <c r="L224" s="721"/>
    </row>
    <row r="225" spans="2:27">
      <c r="B225" s="261"/>
      <c r="C225" s="721" t="str">
        <f>CHOOSE(jezyk,n!A1263,n!B1263,n!C1263,n!D1261)</f>
        <v>w walucie obcej.</v>
      </c>
      <c r="D225" s="721"/>
      <c r="E225" s="721"/>
      <c r="F225" s="721"/>
      <c r="G225" s="721"/>
      <c r="H225" s="721"/>
      <c r="I225" s="721"/>
      <c r="J225" s="721"/>
      <c r="K225" s="721"/>
      <c r="L225" s="721"/>
    </row>
    <row r="226" spans="2:27">
      <c r="B226" s="261"/>
    </row>
    <row r="227" spans="2:27">
      <c r="B227" s="261"/>
      <c r="C227" s="721" t="str">
        <f>CHOOSE(jezyk,n!A1264,n!B1264,n!C1264,n!D1262)</f>
        <v xml:space="preserve">Spółka minimalizuje ryzyko walutowe poprzez: </v>
      </c>
      <c r="D227" s="721"/>
      <c r="E227" s="721"/>
      <c r="F227" s="721"/>
      <c r="G227" s="721"/>
      <c r="H227" s="721"/>
      <c r="I227" s="721"/>
      <c r="J227" s="721"/>
      <c r="K227" s="721"/>
      <c r="L227" s="721"/>
    </row>
    <row r="228" spans="2:27">
      <c r="B228" s="261"/>
      <c r="C228" s="721" t="str">
        <f>CHOOSE(jezyk,n!A1266,n!B1266,n!C1266,n!D1263)</f>
        <v>- odpowiednie ukształtowanie struktury aktywów i pasywów wyrażonych w walutach obcych,</v>
      </c>
      <c r="D228" s="721"/>
      <c r="E228" s="721"/>
      <c r="F228" s="721"/>
      <c r="G228" s="721"/>
      <c r="H228" s="721"/>
      <c r="I228" s="721"/>
      <c r="J228" s="721"/>
      <c r="K228" s="721"/>
      <c r="L228" s="721"/>
      <c r="M228" s="212" t="s">
        <v>6894</v>
      </c>
    </row>
    <row r="229" spans="2:27">
      <c r="B229" s="261"/>
      <c r="C229" s="721" t="str">
        <f>CHOOSE(jezyk,n!A1267,n!B1267,n!C1267,n!D1264)</f>
        <v>- zawieranie kontraktów terminowych forward na zakup/sprzedaż waluty.</v>
      </c>
      <c r="D229" s="721"/>
      <c r="E229" s="721"/>
      <c r="F229" s="721"/>
      <c r="G229" s="721"/>
      <c r="H229" s="721"/>
      <c r="I229" s="721"/>
      <c r="J229" s="721"/>
      <c r="K229" s="721"/>
      <c r="L229" s="721"/>
    </row>
    <row r="230" spans="2:27">
      <c r="B230" s="261"/>
      <c r="R230" s="721"/>
      <c r="S230" s="721"/>
      <c r="T230" s="721"/>
      <c r="U230" s="721"/>
      <c r="V230" s="721"/>
      <c r="W230" s="721"/>
      <c r="X230" s="721"/>
      <c r="Y230" s="721"/>
      <c r="Z230" s="721"/>
      <c r="AA230" s="721"/>
    </row>
    <row r="231" spans="2:27">
      <c r="B231" s="261"/>
      <c r="C231" s="721" t="str">
        <f>CHOOSE(jezyk,n!A1268,n!B1268,n!C1268,n!D1266)</f>
        <v>Analiza wrażliwości istotnych pozycji wyrażonych w walutach obcych na zmiany kursów walut</v>
      </c>
      <c r="D231" s="721"/>
      <c r="E231" s="721"/>
      <c r="F231" s="721"/>
      <c r="G231" s="721"/>
      <c r="H231" s="721"/>
      <c r="I231" s="721"/>
      <c r="J231" s="721"/>
      <c r="K231" s="721"/>
      <c r="L231" s="721"/>
      <c r="R231" s="721"/>
      <c r="S231" s="721"/>
      <c r="T231" s="721"/>
      <c r="U231" s="721"/>
      <c r="V231" s="721"/>
      <c r="W231" s="721"/>
      <c r="X231" s="721"/>
      <c r="Y231" s="721"/>
      <c r="Z231" s="721"/>
      <c r="AA231" s="721"/>
    </row>
    <row r="232" spans="2:27">
      <c r="B232" s="261"/>
      <c r="R232" s="721"/>
      <c r="S232" s="721"/>
      <c r="T232" s="721"/>
      <c r="U232" s="721"/>
      <c r="V232" s="721"/>
      <c r="W232" s="721"/>
      <c r="X232" s="721"/>
      <c r="Y232" s="721"/>
      <c r="Z232" s="721"/>
      <c r="AA232" s="721"/>
    </row>
    <row r="233" spans="2:27">
      <c r="B233" s="261"/>
      <c r="C233" s="722" t="str">
        <f>CHOOSE(jezyk,n!A1269,n!B1269,n!C1269,n!D1267)</f>
        <v>Kurs bilansowy:</v>
      </c>
      <c r="D233" s="722"/>
      <c r="E233" s="722"/>
      <c r="F233" s="722"/>
      <c r="G233" s="722"/>
      <c r="H233" s="722"/>
      <c r="I233" s="722"/>
      <c r="J233" s="722"/>
      <c r="K233" s="722"/>
      <c r="L233" s="722"/>
      <c r="R233" s="387"/>
      <c r="S233" s="387"/>
      <c r="T233" s="387"/>
      <c r="U233" s="387"/>
      <c r="V233" s="387"/>
      <c r="W233" s="387"/>
      <c r="X233" s="387"/>
      <c r="Y233" s="387"/>
      <c r="Z233" s="387"/>
      <c r="AA233" s="387"/>
    </row>
    <row r="234" spans="2:27">
      <c r="B234" s="261"/>
      <c r="C234" s="388" t="s">
        <v>6896</v>
      </c>
      <c r="D234" s="1140">
        <f>GA!M52</f>
        <v>4.2729999999999997</v>
      </c>
      <c r="E234" s="1140"/>
      <c r="F234" s="388"/>
      <c r="G234" s="388"/>
      <c r="H234" s="388"/>
      <c r="I234" s="388"/>
      <c r="J234" s="388"/>
      <c r="K234" s="388"/>
      <c r="L234" s="388"/>
      <c r="M234" s="212" t="s">
        <v>6897</v>
      </c>
      <c r="R234" s="387"/>
      <c r="S234" s="387"/>
      <c r="T234" s="387"/>
      <c r="U234" s="387"/>
      <c r="V234" s="387"/>
      <c r="W234" s="387"/>
      <c r="X234" s="387"/>
      <c r="Y234" s="387"/>
      <c r="Z234" s="387"/>
      <c r="AA234" s="387"/>
    </row>
    <row r="235" spans="2:27">
      <c r="B235" s="261"/>
      <c r="C235" s="388" t="s">
        <v>6898</v>
      </c>
      <c r="D235" s="1140">
        <f>GA!M53</f>
        <v>4.1012000000000004</v>
      </c>
      <c r="E235" s="1140"/>
      <c r="F235" s="388"/>
      <c r="G235" s="388"/>
      <c r="H235" s="388"/>
      <c r="I235" s="388"/>
      <c r="J235" s="388"/>
      <c r="K235" s="388"/>
      <c r="L235" s="388"/>
      <c r="R235" s="387"/>
      <c r="S235" s="387"/>
      <c r="T235" s="387"/>
      <c r="U235" s="387"/>
      <c r="V235" s="387"/>
      <c r="W235" s="387"/>
      <c r="X235" s="387"/>
      <c r="Y235" s="387"/>
      <c r="Z235" s="387"/>
      <c r="AA235" s="387"/>
    </row>
    <row r="236" spans="2:27">
      <c r="B236" s="261"/>
      <c r="C236" s="388" t="s">
        <v>6899</v>
      </c>
      <c r="D236" s="1140">
        <f>GA!M54</f>
        <v>5.1487999999999996</v>
      </c>
      <c r="E236" s="1140"/>
      <c r="F236" s="388"/>
      <c r="G236" s="388"/>
      <c r="H236" s="388"/>
      <c r="I236" s="388"/>
      <c r="J236" s="388"/>
      <c r="K236" s="388"/>
      <c r="L236" s="388"/>
      <c r="R236" s="387"/>
      <c r="S236" s="387"/>
      <c r="T236" s="387"/>
      <c r="U236" s="387"/>
      <c r="V236" s="387"/>
      <c r="W236" s="387"/>
      <c r="X236" s="387"/>
      <c r="Y236" s="387"/>
      <c r="Z236" s="387"/>
      <c r="AA236" s="387"/>
    </row>
    <row r="237" spans="2:27">
      <c r="B237" s="261"/>
      <c r="C237" s="388"/>
      <c r="D237" s="388"/>
      <c r="E237" s="388"/>
      <c r="F237" s="388"/>
      <c r="G237" s="388"/>
      <c r="H237" s="388"/>
      <c r="I237" s="388"/>
      <c r="J237" s="388"/>
      <c r="K237" s="388"/>
      <c r="L237" s="388"/>
      <c r="R237" s="387"/>
      <c r="S237" s="387"/>
      <c r="T237" s="387"/>
      <c r="U237" s="387"/>
      <c r="V237" s="387"/>
      <c r="W237" s="387"/>
      <c r="X237" s="387"/>
      <c r="Y237" s="387"/>
      <c r="Z237" s="387"/>
      <c r="AA237" s="387"/>
    </row>
    <row r="238" spans="2:27" ht="27.75" customHeight="1">
      <c r="B238" s="261"/>
      <c r="C238" s="805" t="str">
        <f>CHOOSE(jezyk,n!A1271,n!B1271,n!C1271,n!D1269)</f>
        <v>Aktywa i zobowiązania finansowe</v>
      </c>
      <c r="D238" s="805"/>
      <c r="E238" s="805" t="str">
        <f>CHOOSE(jezyk,n!A1272,n!B1272,n!C1272,n!D1270)</f>
        <v>Wartość narażona na ryzyko</v>
      </c>
      <c r="F238" s="805"/>
      <c r="G238" s="805"/>
      <c r="H238" s="805" t="str">
        <f>CHOOSE(jezyk,n!A1273,n!B1273,n!C1273,n!D1271)</f>
        <v>Wartość bilansowa na 31.12.2024</v>
      </c>
      <c r="I238" s="805"/>
      <c r="J238" s="805" t="str">
        <f>CHOOSE(jezyk,n!A1274,n!B1274,n!C1274,n!D1272)</f>
        <v>Wpływ zmiany na wynik finansowy</v>
      </c>
      <c r="K238" s="805"/>
      <c r="L238" s="805"/>
      <c r="R238" s="721"/>
      <c r="S238" s="721"/>
      <c r="T238" s="721"/>
      <c r="U238" s="721"/>
      <c r="V238" s="721"/>
      <c r="W238" s="721"/>
      <c r="X238" s="721"/>
      <c r="Y238" s="721"/>
      <c r="Z238" s="721"/>
      <c r="AA238" s="721"/>
    </row>
    <row r="239" spans="2:27" ht="21" customHeight="1">
      <c r="B239" s="261"/>
      <c r="C239" s="805"/>
      <c r="D239" s="805"/>
      <c r="E239" s="1138" t="s">
        <v>67</v>
      </c>
      <c r="F239" s="1138"/>
      <c r="G239" s="1138"/>
      <c r="H239" s="805" t="s">
        <v>6583</v>
      </c>
      <c r="I239" s="805"/>
      <c r="J239" s="1139" t="str">
        <f>"- "&amp;TEXT(M239,"0%")</f>
        <v>- 5%</v>
      </c>
      <c r="K239" s="1138"/>
      <c r="L239" s="420" t="str">
        <f>"+ "&amp;TEXT(M239,"0%")</f>
        <v>+ 5%</v>
      </c>
      <c r="M239" s="269">
        <v>0.05</v>
      </c>
      <c r="N239" s="130" t="s">
        <v>6900</v>
      </c>
      <c r="R239" s="721"/>
      <c r="S239" s="721"/>
      <c r="T239" s="721"/>
      <c r="U239" s="721"/>
      <c r="V239" s="721"/>
      <c r="W239" s="721"/>
      <c r="X239" s="721"/>
      <c r="Y239" s="721"/>
      <c r="Z239" s="721"/>
      <c r="AA239" s="721"/>
    </row>
    <row r="240" spans="2:27" ht="28.5" customHeight="1">
      <c r="B240" s="261"/>
      <c r="C240" s="1126" t="str">
        <f>CHOOSE(jezyk,n!A1275,n!B1275,n!C1275,n!D1273)</f>
        <v>Należności od odbiorców</v>
      </c>
      <c r="D240" s="1126"/>
      <c r="E240" s="1138"/>
      <c r="F240" s="1138"/>
      <c r="G240" s="1138"/>
      <c r="H240" s="1138"/>
      <c r="I240" s="1138"/>
      <c r="J240" s="1139"/>
      <c r="K240" s="1138"/>
      <c r="L240" s="420"/>
      <c r="M240" s="212" t="s">
        <v>6901</v>
      </c>
      <c r="R240" s="721"/>
      <c r="S240" s="721"/>
      <c r="T240" s="721"/>
      <c r="U240" s="721"/>
      <c r="V240" s="721"/>
      <c r="W240" s="721"/>
      <c r="X240" s="721"/>
      <c r="Y240" s="721"/>
      <c r="Z240" s="721"/>
      <c r="AA240" s="721"/>
    </row>
    <row r="241" spans="1:27" ht="20.25" customHeight="1">
      <c r="B241" s="261"/>
      <c r="C241" s="1126" t="str">
        <f>CHOOSE(jezyk,n!A1276,n!B1276,n!C1276,n!D1274)</f>
        <v>Środki pieniężne</v>
      </c>
      <c r="D241" s="1126"/>
      <c r="E241" s="1138"/>
      <c r="F241" s="1138"/>
      <c r="G241" s="1138"/>
      <c r="H241" s="1138"/>
      <c r="I241" s="1138"/>
      <c r="J241" s="1139"/>
      <c r="K241" s="1138"/>
      <c r="L241" s="420"/>
      <c r="R241" s="721"/>
      <c r="S241" s="721"/>
      <c r="T241" s="721"/>
      <c r="U241" s="721"/>
      <c r="V241" s="721"/>
      <c r="W241" s="721"/>
      <c r="X241" s="721"/>
      <c r="Y241" s="721"/>
      <c r="Z241" s="721"/>
      <c r="AA241" s="721"/>
    </row>
    <row r="242" spans="1:27" ht="20.25" customHeight="1">
      <c r="B242" s="261"/>
      <c r="C242" s="1126" t="str">
        <f>CHOOSE(jezyk,n!A1277,n!B1277,n!C1277,n!D1275)</f>
        <v xml:space="preserve">Pożyczki udzielone  </v>
      </c>
      <c r="D242" s="1126"/>
      <c r="E242" s="1138"/>
      <c r="F242" s="1138"/>
      <c r="G242" s="1138"/>
      <c r="H242" s="1138"/>
      <c r="I242" s="1138"/>
      <c r="J242" s="1139"/>
      <c r="K242" s="1138"/>
      <c r="L242" s="420"/>
      <c r="R242" s="721"/>
      <c r="S242" s="721"/>
      <c r="T242" s="721"/>
      <c r="U242" s="721"/>
      <c r="V242" s="721"/>
      <c r="W242" s="721"/>
      <c r="X242" s="721"/>
      <c r="Y242" s="721"/>
      <c r="Z242" s="721"/>
      <c r="AA242" s="721"/>
    </row>
    <row r="243" spans="1:27" ht="27.6" customHeight="1">
      <c r="A243" s="72"/>
      <c r="B243" s="261"/>
      <c r="C243" s="1126" t="str">
        <f>CHOOSE(jezyk,n!A1278,n!B1278,n!C1278,n!D1276)</f>
        <v>Zobowiązania wobec dostawców</v>
      </c>
      <c r="D243" s="1126"/>
      <c r="E243" s="1138"/>
      <c r="F243" s="1138"/>
      <c r="G243" s="1138"/>
      <c r="H243" s="1138"/>
      <c r="I243" s="1138"/>
      <c r="J243" s="1139"/>
      <c r="K243" s="1138"/>
      <c r="L243" s="420"/>
      <c r="R243" s="721"/>
      <c r="S243" s="721"/>
      <c r="T243" s="721"/>
      <c r="U243" s="721"/>
      <c r="V243" s="721"/>
      <c r="W243" s="721"/>
      <c r="X243" s="721"/>
      <c r="Y243" s="721"/>
      <c r="Z243" s="721"/>
      <c r="AA243" s="721"/>
    </row>
    <row r="244" spans="1:27" ht="28.5" customHeight="1">
      <c r="B244" s="261"/>
      <c r="C244" s="1126" t="str">
        <f>CHOOSE(jezyk,n!A1279,n!B1279,n!C1279,n!D1277)</f>
        <v>Zobowiązania leasingowe</v>
      </c>
      <c r="D244" s="1126"/>
      <c r="E244" s="1138"/>
      <c r="F244" s="1138"/>
      <c r="G244" s="1138"/>
      <c r="H244" s="1138"/>
      <c r="I244" s="1138"/>
      <c r="J244" s="1139"/>
      <c r="K244" s="1138"/>
      <c r="L244" s="420"/>
      <c r="R244" s="387"/>
      <c r="S244" s="387"/>
      <c r="T244" s="387"/>
      <c r="U244" s="387"/>
      <c r="V244" s="387"/>
      <c r="W244" s="387"/>
      <c r="X244" s="387"/>
      <c r="Y244" s="387"/>
      <c r="Z244" s="387"/>
      <c r="AA244" s="387"/>
    </row>
    <row r="245" spans="1:27" ht="42" customHeight="1">
      <c r="B245" s="261"/>
      <c r="C245" s="1126" t="str">
        <f>CHOOSE(jezyk,n!A1280,n!B1280,n!C1280,n!D1278)</f>
        <v>Zobowiązania z tytułu pożyczek grupowych</v>
      </c>
      <c r="D245" s="1126"/>
      <c r="E245" s="1138"/>
      <c r="F245" s="1138"/>
      <c r="G245" s="1138"/>
      <c r="H245" s="1138"/>
      <c r="I245" s="1138"/>
      <c r="J245" s="1139"/>
      <c r="K245" s="1138"/>
      <c r="L245" s="420"/>
      <c r="R245" s="387"/>
      <c r="S245" s="387"/>
      <c r="T245" s="387"/>
      <c r="U245" s="387"/>
      <c r="V245" s="387"/>
      <c r="W245" s="387"/>
      <c r="X245" s="387"/>
      <c r="Y245" s="387"/>
      <c r="Z245" s="387"/>
      <c r="AA245" s="387"/>
    </row>
    <row r="246" spans="1:27" ht="40.5" customHeight="1">
      <c r="B246" s="261"/>
      <c r="C246" s="1126" t="str">
        <f>CHOOSE(jezyk,n!A1281,n!B1281,n!C1281,n!D1279)</f>
        <v>Zobowiązania z tytułu kredytów bankowych</v>
      </c>
      <c r="D246" s="1126"/>
      <c r="E246" s="1138"/>
      <c r="F246" s="1138"/>
      <c r="G246" s="1138"/>
      <c r="H246" s="1138"/>
      <c r="I246" s="1138"/>
      <c r="J246" s="1139"/>
      <c r="K246" s="1138"/>
      <c r="L246" s="420"/>
      <c r="R246" s="387"/>
      <c r="S246" s="387"/>
      <c r="T246" s="387"/>
      <c r="U246" s="387"/>
      <c r="V246" s="387"/>
      <c r="W246" s="387"/>
      <c r="X246" s="387"/>
      <c r="Y246" s="387"/>
      <c r="Z246" s="387"/>
      <c r="AA246" s="387"/>
    </row>
    <row r="247" spans="1:27">
      <c r="B247" s="261"/>
      <c r="C247" s="1141"/>
      <c r="D247" s="1141"/>
      <c r="E247" s="388"/>
      <c r="F247" s="388"/>
      <c r="G247" s="388"/>
      <c r="H247" s="388"/>
      <c r="I247" s="388"/>
      <c r="J247" s="388"/>
      <c r="K247" s="388"/>
      <c r="L247" s="388"/>
      <c r="R247" s="387"/>
      <c r="S247" s="387"/>
      <c r="T247" s="387"/>
      <c r="U247" s="387"/>
      <c r="V247" s="387"/>
      <c r="W247" s="387"/>
      <c r="X247" s="387"/>
      <c r="Y247" s="387"/>
      <c r="Z247" s="387"/>
      <c r="AA247" s="387"/>
    </row>
    <row r="248" spans="1:27">
      <c r="C248" s="733" t="str">
        <f>CHOOSE(jezyk,n!A1282,n!B1282,n!C1282,n!D1280)</f>
        <v>Ryzyko stopy procentowej</v>
      </c>
      <c r="D248" s="733"/>
      <c r="E248" s="733"/>
      <c r="F248" s="733"/>
      <c r="G248" s="733"/>
      <c r="H248" s="733"/>
      <c r="I248" s="733"/>
      <c r="J248" s="733"/>
      <c r="K248" s="733"/>
      <c r="L248" s="733"/>
    </row>
    <row r="249" spans="1:27">
      <c r="B249" s="261"/>
    </row>
    <row r="250" spans="1:27" ht="12.75" customHeight="1">
      <c r="A250" s="72"/>
      <c r="B250" s="261"/>
      <c r="C250" s="1136" t="s">
        <v>6895</v>
      </c>
      <c r="D250" s="1136"/>
      <c r="E250" s="1136"/>
      <c r="F250" s="1136"/>
      <c r="G250" s="1136"/>
      <c r="H250" s="1136"/>
      <c r="I250" s="1136"/>
      <c r="J250" s="1136"/>
      <c r="K250" s="1136"/>
      <c r="L250" s="1136"/>
    </row>
    <row r="251" spans="1:27">
      <c r="B251" s="261"/>
      <c r="C251" s="1137"/>
      <c r="D251" s="1137"/>
      <c r="E251" s="1137"/>
      <c r="F251" s="1137"/>
      <c r="G251" s="1137"/>
      <c r="H251" s="1137"/>
      <c r="I251" s="1137"/>
      <c r="J251" s="1137"/>
      <c r="K251" s="1137"/>
      <c r="L251" s="1137"/>
    </row>
    <row r="252" spans="1:27">
      <c r="B252" s="261"/>
      <c r="C252" s="721" t="str">
        <f>CHOOSE(jezyk,n!A1283,n!B1283,n!C1283,n!D1281)</f>
        <v>Na ryzyko stóp procentowych Spółka narażona jest w związku z:</v>
      </c>
      <c r="D252" s="721"/>
      <c r="E252" s="721"/>
      <c r="F252" s="721"/>
      <c r="G252" s="721"/>
      <c r="H252" s="721"/>
      <c r="I252" s="721"/>
      <c r="J252" s="721"/>
      <c r="K252" s="721"/>
      <c r="L252" s="721"/>
    </row>
    <row r="253" spans="1:27">
      <c r="B253" s="261"/>
      <c r="C253" s="721" t="str">
        <f>CHOOSE(jezyk,n!A1285,n!B1285,n!C1285,n!D1282)</f>
        <v>- udzielonymi pożyczkami</v>
      </c>
      <c r="D253" s="721"/>
      <c r="E253" s="721"/>
      <c r="F253" s="721"/>
      <c r="G253" s="721"/>
      <c r="H253" s="721"/>
      <c r="I253" s="721"/>
      <c r="J253" s="721"/>
      <c r="K253" s="721"/>
      <c r="L253" s="721"/>
      <c r="M253" s="212" t="s">
        <v>6897</v>
      </c>
    </row>
    <row r="254" spans="1:27">
      <c r="B254" s="261"/>
      <c r="C254" s="721" t="str">
        <f>CHOOSE(jezyk,n!A1286,n!B1286,n!C1286,n!D1283)</f>
        <v>- lokowaniem wolnych środków pieniężnych na lokatach o zmiennym oprocentowaniu</v>
      </c>
      <c r="D254" s="721"/>
      <c r="E254" s="721"/>
      <c r="F254" s="721"/>
      <c r="G254" s="721"/>
      <c r="H254" s="721"/>
      <c r="I254" s="721"/>
      <c r="J254" s="721"/>
      <c r="K254" s="721"/>
      <c r="L254" s="721"/>
    </row>
    <row r="255" spans="1:27">
      <c r="B255" s="261"/>
      <c r="C255" s="721" t="str">
        <f>CHOOSE(jezyk,n!A1287,n!B1287,n!C1287,n!D1285)</f>
        <v xml:space="preserve">- uczestnictwem w systemie cash pool </v>
      </c>
      <c r="D255" s="721"/>
      <c r="E255" s="721"/>
      <c r="F255" s="721"/>
      <c r="G255" s="721"/>
      <c r="H255" s="721"/>
      <c r="I255" s="721"/>
      <c r="J255" s="721"/>
      <c r="K255" s="721"/>
      <c r="L255" s="721"/>
    </row>
    <row r="256" spans="1:27">
      <c r="B256" s="261"/>
      <c r="C256" s="721" t="str">
        <f>CHOOSE(jezyk,n!A1288,n!B1288,n!C1288,n!D1286)</f>
        <v>- korzystaniem z zewnętrznych źródeł finansowania o zmiennym oprocentowaniu.</v>
      </c>
      <c r="D256" s="721"/>
      <c r="E256" s="721"/>
      <c r="F256" s="721"/>
      <c r="G256" s="721"/>
      <c r="H256" s="721"/>
      <c r="I256" s="721"/>
      <c r="J256" s="721"/>
      <c r="K256" s="721"/>
      <c r="L256" s="721"/>
    </row>
    <row r="257" spans="1:13">
      <c r="B257" s="261"/>
    </row>
    <row r="258" spans="1:13" ht="39" customHeight="1">
      <c r="B258" s="261"/>
      <c r="C258" s="721" t="str">
        <f>CHOOSE(jezyk,n!A1289,n!B1289,n!C1289,n!D1287)</f>
        <v xml:space="preserve">Pozycje oprocentowane według zmiennej stopy narażają Spółkę na ryzyko zmiany przepływów pieniężnych w wyniku zmiany stóp procentowych i w związku z tym wpływają na wysokość kosztów lub przychodów odsetkowych ujmowanych w wyniku finansowym. </v>
      </c>
      <c r="D258" s="721"/>
      <c r="E258" s="721"/>
      <c r="F258" s="721"/>
      <c r="G258" s="721"/>
      <c r="H258" s="721"/>
      <c r="I258" s="721"/>
      <c r="J258" s="721"/>
      <c r="K258" s="721"/>
      <c r="L258" s="721"/>
    </row>
    <row r="259" spans="1:13">
      <c r="B259" s="261"/>
      <c r="C259" s="388"/>
      <c r="D259" s="388"/>
      <c r="E259" s="388"/>
      <c r="F259" s="388"/>
      <c r="G259" s="388"/>
      <c r="H259" s="388"/>
      <c r="I259" s="388"/>
      <c r="J259" s="388"/>
      <c r="K259" s="388"/>
      <c r="L259" s="388"/>
    </row>
    <row r="260" spans="1:13" ht="27" customHeight="1">
      <c r="B260" s="261"/>
      <c r="C260" s="721" t="str">
        <f>CHOOSE(jezyk,n!A1291,n!B1291,n!C1291,n!D1288)</f>
        <v>Spółka minimalizuje ryzyko stopy procentowej poprzez odpowiednie ukształtowanie struktury aktywów i pasywów o zmiennej i stałej stopie procentowej.</v>
      </c>
      <c r="D260" s="721"/>
      <c r="E260" s="721"/>
      <c r="F260" s="721"/>
      <c r="G260" s="721"/>
      <c r="H260" s="721"/>
      <c r="I260" s="721"/>
      <c r="J260" s="721"/>
      <c r="K260" s="721"/>
      <c r="L260" s="721"/>
    </row>
    <row r="261" spans="1:13">
      <c r="B261" s="261"/>
      <c r="C261" s="388"/>
      <c r="D261" s="388"/>
      <c r="E261" s="388"/>
      <c r="F261" s="388"/>
      <c r="G261" s="388"/>
      <c r="H261" s="388"/>
      <c r="I261" s="388"/>
      <c r="J261" s="388"/>
      <c r="K261" s="388"/>
      <c r="L261" s="388"/>
    </row>
    <row r="262" spans="1:13" ht="27" customHeight="1">
      <c r="B262" s="261"/>
      <c r="C262" s="721" t="str">
        <f>IF(GA!H16=2,CHOOSE(jezyk,n!A1294,n!B1294,n!C1294,n!D1291),CHOOSE(jezyk,n!A1293,n!B1293,n!C1293,n!D1289))</f>
        <v>W ocenie Zarządu poziom i wahania stóp procentowych nie powodował konieczności stosowania instrumentów zabezpieczających ryzyka stopy procentowej.</v>
      </c>
      <c r="D262" s="721"/>
      <c r="E262" s="721"/>
      <c r="F262" s="721"/>
      <c r="G262" s="721"/>
      <c r="H262" s="721"/>
      <c r="I262" s="721"/>
      <c r="J262" s="721"/>
      <c r="K262" s="721"/>
      <c r="L262" s="721"/>
    </row>
    <row r="263" spans="1:13">
      <c r="B263" s="261"/>
      <c r="C263" s="388"/>
      <c r="D263" s="388"/>
      <c r="E263" s="388"/>
      <c r="F263" s="388"/>
      <c r="G263" s="388"/>
      <c r="H263" s="388"/>
      <c r="I263" s="388"/>
      <c r="J263" s="388"/>
      <c r="K263" s="388"/>
      <c r="L263" s="388"/>
    </row>
    <row r="264" spans="1:13">
      <c r="C264" s="733" t="str">
        <f>CHOOSE(jezyk,n!A1295,n!B1295,n!C1295,n!D1293)</f>
        <v>Ryzyko kredytowe</v>
      </c>
      <c r="D264" s="733"/>
      <c r="E264" s="733"/>
      <c r="F264" s="733"/>
      <c r="G264" s="733"/>
      <c r="H264" s="733"/>
      <c r="I264" s="733"/>
      <c r="J264" s="733"/>
      <c r="K264" s="733"/>
      <c r="L264" s="733"/>
    </row>
    <row r="265" spans="1:13">
      <c r="B265" s="261"/>
    </row>
    <row r="266" spans="1:13" ht="12.75" customHeight="1">
      <c r="A266" s="72"/>
      <c r="B266" s="261"/>
      <c r="C266" s="1136" t="s">
        <v>6895</v>
      </c>
      <c r="D266" s="1136"/>
      <c r="E266" s="1136"/>
      <c r="F266" s="1136"/>
      <c r="G266" s="1136"/>
      <c r="H266" s="1136"/>
      <c r="I266" s="1136"/>
      <c r="J266" s="1136"/>
      <c r="K266" s="1136"/>
      <c r="L266" s="1136"/>
    </row>
    <row r="267" spans="1:13">
      <c r="B267" s="261"/>
      <c r="C267" s="388"/>
      <c r="D267" s="388"/>
      <c r="E267" s="388"/>
      <c r="F267" s="388"/>
      <c r="G267" s="388"/>
      <c r="H267" s="388"/>
      <c r="I267" s="388"/>
      <c r="J267" s="388"/>
      <c r="K267" s="388"/>
      <c r="L267" s="388"/>
    </row>
    <row r="268" spans="1:13" ht="25.35" customHeight="1">
      <c r="B268" s="261"/>
      <c r="C268" s="721" t="str">
        <f>IF(GA!F75="tak",CHOOSE(jezyk,n!A1297,n!B1297,n!C1297,n!D1297),IF(GA!H16=2,CHOOSE(jezyk,n!A1298,n!B1298,n!C1298,n!D1295),CHOOSE(jezyk,n!A1296,n!B1296,n!C1296,n!D1294)))</f>
        <v>Spółka narażona jest na ryzyko kredytowe w związku z ewentualną niewypłacalnością swoich dłużników. Zarząd ogranicza to ryzyko poprzez:</v>
      </c>
      <c r="D268" s="721"/>
      <c r="E268" s="721"/>
      <c r="F268" s="721"/>
      <c r="G268" s="721"/>
      <c r="H268" s="721"/>
      <c r="I268" s="721"/>
      <c r="J268" s="721"/>
      <c r="K268" s="721"/>
      <c r="L268" s="721"/>
    </row>
    <row r="269" spans="1:13">
      <c r="B269" s="261"/>
      <c r="C269" s="721" t="str">
        <f>CHOOSE(jezyk,n!A1300,n!B1300,n!C1300,n!D1296)</f>
        <v>- utrzymywanie odpowiedniej struktury portfela wierzytelności</v>
      </c>
      <c r="D269" s="721"/>
      <c r="E269" s="721"/>
      <c r="F269" s="721"/>
      <c r="G269" s="721"/>
      <c r="H269" s="721"/>
      <c r="I269" s="721"/>
      <c r="J269" s="721"/>
      <c r="K269" s="721"/>
      <c r="L269" s="721"/>
      <c r="M269" s="212" t="s">
        <v>6897</v>
      </c>
    </row>
    <row r="270" spans="1:13">
      <c r="B270" s="261"/>
      <c r="C270" s="721" t="str">
        <f>CHOOSE(jezyk,n!A1301,n!B1301,n!C1301,n!D1298)</f>
        <v>- monitorowanie kondycji finansowej kontrahentów</v>
      </c>
      <c r="D270" s="721"/>
      <c r="E270" s="721"/>
      <c r="F270" s="721"/>
      <c r="G270" s="721"/>
      <c r="H270" s="721"/>
      <c r="I270" s="721"/>
      <c r="J270" s="721"/>
      <c r="K270" s="721"/>
      <c r="L270" s="721"/>
    </row>
    <row r="271" spans="1:13">
      <c r="B271" s="261"/>
      <c r="C271" s="721" t="str">
        <f>CHOOSE(jezyk,n!A1302,n!B1302,n!C1302,n!D1300)</f>
        <v>- zarządzanie limitami kredytowymi i terminami płatności</v>
      </c>
      <c r="D271" s="721"/>
      <c r="E271" s="721"/>
      <c r="F271" s="721"/>
      <c r="G271" s="721"/>
      <c r="H271" s="721"/>
      <c r="I271" s="721"/>
      <c r="J271" s="721"/>
      <c r="K271" s="721"/>
      <c r="L271" s="721"/>
    </row>
    <row r="272" spans="1:13" ht="15" customHeight="1">
      <c r="B272" s="261"/>
      <c r="C272" s="721" t="str">
        <f>CHOOSE(jezyk,n!A1303,n!B1303,n!C1303,n!D1301)</f>
        <v>- ubezpieczanie należności handlowych.</v>
      </c>
      <c r="D272" s="721"/>
      <c r="E272" s="721"/>
      <c r="F272" s="721"/>
      <c r="G272" s="721"/>
      <c r="H272" s="721"/>
      <c r="I272" s="721"/>
      <c r="J272" s="721"/>
      <c r="K272" s="721"/>
      <c r="L272" s="721"/>
    </row>
    <row r="273" spans="1:13">
      <c r="B273" s="261"/>
    </row>
    <row r="274" spans="1:13">
      <c r="B274" s="261"/>
      <c r="C274" s="733" t="str">
        <f>CHOOSE(jezyk,n!A1304,n!B1304,n!C1304,n!D1302)</f>
        <v>Ryzyko płynności</v>
      </c>
      <c r="D274" s="733"/>
      <c r="E274" s="733"/>
      <c r="F274" s="733"/>
      <c r="G274" s="733"/>
      <c r="H274" s="733"/>
      <c r="I274" s="733"/>
      <c r="J274" s="733"/>
      <c r="K274" s="733"/>
      <c r="L274" s="733"/>
    </row>
    <row r="275" spans="1:13">
      <c r="B275" s="261"/>
    </row>
    <row r="276" spans="1:13" ht="12.75" customHeight="1">
      <c r="A276" s="72"/>
      <c r="B276" s="261"/>
      <c r="C276" s="1136" t="s">
        <v>6895</v>
      </c>
      <c r="D276" s="1136"/>
      <c r="E276" s="1136"/>
      <c r="F276" s="1136"/>
      <c r="G276" s="1136"/>
      <c r="H276" s="1136"/>
      <c r="I276" s="1136"/>
      <c r="J276" s="1136"/>
      <c r="K276" s="1136"/>
      <c r="L276" s="1136"/>
    </row>
    <row r="277" spans="1:13">
      <c r="B277" s="261"/>
      <c r="C277" s="388"/>
      <c r="D277" s="388"/>
      <c r="E277" s="388"/>
      <c r="F277" s="388"/>
      <c r="G277" s="388"/>
      <c r="H277" s="388"/>
      <c r="I277" s="388"/>
      <c r="J277" s="388"/>
      <c r="K277" s="388"/>
      <c r="L277" s="388"/>
    </row>
    <row r="278" spans="1:13" ht="27" customHeight="1">
      <c r="A278" s="72"/>
      <c r="B278" s="261"/>
      <c r="C278" s="721" t="str">
        <f>CHOOSE(jezyk,n!A1305,n!B1305,n!C1305,n!D1303)</f>
        <v xml:space="preserve">Zarządzanie płynnością polega na planowaniu oraz monitorowaniu przepływów pieniężnych, w celu zapewniania Spółce możliwości regulowania wymagalnych zobowiązań, zarówno w normalnej jak i kryzysowej sytuacji. </v>
      </c>
      <c r="D278" s="721"/>
      <c r="E278" s="721"/>
      <c r="F278" s="721"/>
      <c r="G278" s="721"/>
      <c r="H278" s="721"/>
      <c r="I278" s="721"/>
      <c r="J278" s="721"/>
      <c r="K278" s="721"/>
      <c r="L278" s="721"/>
    </row>
    <row r="279" spans="1:13">
      <c r="B279" s="261"/>
      <c r="C279" s="388"/>
      <c r="D279" s="388"/>
      <c r="E279" s="388"/>
      <c r="F279" s="388"/>
      <c r="G279" s="388"/>
      <c r="H279" s="388"/>
      <c r="I279" s="388"/>
      <c r="J279" s="388"/>
      <c r="K279" s="388"/>
      <c r="L279" s="388"/>
    </row>
    <row r="280" spans="1:13">
      <c r="B280" s="261"/>
      <c r="C280" s="721" t="str">
        <f>IF(GA!H16=2,CHOOSE(jezyk,n!A1307,n!B1307,n!C1307,n!D1305),CHOOSE(jezyk,n!A1306,n!B1306,n!C1306,n!D1304))</f>
        <v>Zarząd korzysta z następujących instrumentów zarządzania płynnością:</v>
      </c>
      <c r="D280" s="721"/>
      <c r="E280" s="721"/>
      <c r="F280" s="721"/>
      <c r="G280" s="721"/>
      <c r="H280" s="721"/>
      <c r="I280" s="721"/>
      <c r="J280" s="721"/>
      <c r="K280" s="721"/>
      <c r="L280" s="721"/>
      <c r="M280" s="212" t="s">
        <v>6897</v>
      </c>
    </row>
    <row r="281" spans="1:13" ht="26.25" customHeight="1">
      <c r="A281" s="72"/>
      <c r="B281" s="261"/>
      <c r="C281" s="721" t="str">
        <f>CHOOSE(jezyk,n!A1308,n!B1308,n!C1308,n!D1306)</f>
        <v>- utrzymywanie płynnych środków pieniężnych w wysokości umożliwiającej regulowanie oczekiwanych wydatków operacyjnych</v>
      </c>
      <c r="D281" s="721"/>
      <c r="E281" s="721"/>
      <c r="F281" s="721"/>
      <c r="G281" s="721"/>
      <c r="H281" s="721"/>
      <c r="I281" s="721"/>
      <c r="J281" s="721"/>
      <c r="K281" s="721"/>
      <c r="L281" s="721"/>
      <c r="M281" s="212"/>
    </row>
    <row r="282" spans="1:13">
      <c r="B282" s="261"/>
      <c r="C282" s="721" t="str">
        <f>CHOOSE(jezyk,n!A1309,n!B1309,n!C1309,n!D1307)</f>
        <v>- utrzymywanie linii kredytowej w banku</v>
      </c>
      <c r="D282" s="721"/>
      <c r="E282" s="721"/>
      <c r="F282" s="721"/>
      <c r="G282" s="721"/>
      <c r="H282" s="721"/>
      <c r="I282" s="721"/>
      <c r="J282" s="721"/>
      <c r="K282" s="721"/>
      <c r="L282" s="721"/>
      <c r="M282" s="212"/>
    </row>
    <row r="283" spans="1:13">
      <c r="B283" s="261"/>
      <c r="C283" s="721" t="str">
        <f>CHOOSE(jezyk,n!A1310,n!B1310,n!C1310,n!D1308)</f>
        <v>- planowanie przepływów finansowych, ustalanie i aktualizacja budżetów wydatków inwestycyjnych</v>
      </c>
      <c r="D283" s="721"/>
      <c r="E283" s="721"/>
      <c r="F283" s="721"/>
      <c r="G283" s="721"/>
      <c r="H283" s="721"/>
      <c r="I283" s="721"/>
      <c r="J283" s="721"/>
      <c r="K283" s="721"/>
      <c r="L283" s="721"/>
      <c r="M283" s="212"/>
    </row>
    <row r="284" spans="1:13">
      <c r="C284" s="721" t="str">
        <f>CHOOSE(jezyk,n!A1311,n!B1311,n!C1311,n!D1309)</f>
        <v>- korzystanie z systemu „cash pool” w ramach Grupy Kapitałowej.</v>
      </c>
      <c r="D284" s="721"/>
      <c r="E284" s="721"/>
      <c r="F284" s="721"/>
      <c r="G284" s="721"/>
      <c r="H284" s="721"/>
      <c r="I284" s="721"/>
      <c r="J284" s="721"/>
      <c r="K284" s="721"/>
      <c r="L284" s="721"/>
    </row>
    <row r="285" spans="1:13" ht="5.25" customHeight="1">
      <c r="B285" s="726"/>
      <c r="C285" s="726"/>
      <c r="D285" s="726"/>
      <c r="E285" s="726"/>
      <c r="F285" s="726"/>
      <c r="G285" s="726"/>
      <c r="H285" s="726"/>
      <c r="I285" s="726"/>
      <c r="J285" s="726"/>
      <c r="K285" s="726"/>
      <c r="L285" s="726"/>
    </row>
    <row r="286" spans="1:13" ht="10.5" customHeight="1">
      <c r="B286" s="726"/>
      <c r="C286" s="726"/>
      <c r="D286" s="726"/>
      <c r="E286" s="726"/>
      <c r="F286" s="726"/>
      <c r="G286" s="726"/>
      <c r="H286" s="726"/>
      <c r="I286" s="726"/>
      <c r="J286" s="726"/>
      <c r="K286" s="726"/>
      <c r="L286" s="726"/>
    </row>
    <row r="287" spans="1:13" ht="28.5" customHeight="1">
      <c r="B287" s="789" t="str">
        <f>"11. "&amp;CHOOSE(jezyk,n!A613,n!B613,n!C613,n!D611)</f>
        <v>11. DODATKOWE INFORMACJE I OBJAŚNIENIA</v>
      </c>
      <c r="C287" s="1202"/>
      <c r="D287" s="1202"/>
      <c r="E287" s="1202"/>
      <c r="F287" s="1202"/>
      <c r="G287" s="1202"/>
      <c r="H287" s="1202"/>
      <c r="I287" s="1202"/>
      <c r="J287" s="1202"/>
      <c r="K287" s="1202"/>
      <c r="L287" s="1202"/>
    </row>
    <row r="289" spans="1:25" ht="9.75" customHeight="1"/>
    <row r="290" spans="1:25" ht="28.5" customHeight="1">
      <c r="B290" s="111" t="s">
        <v>6902</v>
      </c>
      <c r="C290" s="725" t="str">
        <f>CHOOSE(jezyk,n!A1159,n!B1159,n!C1159,n!D1156)</f>
        <v>Inne informacje niż wymienione w pozostałych notach, które mogłyby w istotny sposób wpłynąć na ocenę sytuacji majątkowej, finansowej oraz wynik finansowy jednostki</v>
      </c>
      <c r="D290" s="725"/>
      <c r="E290" s="725"/>
      <c r="F290" s="725"/>
      <c r="G290" s="725"/>
      <c r="H290" s="725"/>
      <c r="I290" s="725"/>
      <c r="J290" s="725"/>
      <c r="K290" s="725"/>
      <c r="L290" s="725"/>
    </row>
    <row r="292" spans="1:25">
      <c r="C292" s="731" t="str">
        <f>CHOOSE(jezyk,n!A1131,n!B1131,n!C1131,n!D1129)</f>
        <v>Nie dotyczy</v>
      </c>
      <c r="D292" s="731"/>
      <c r="E292" s="731"/>
      <c r="F292" s="731"/>
      <c r="G292" s="731"/>
      <c r="H292" s="731"/>
      <c r="I292" s="731"/>
      <c r="J292" s="731"/>
      <c r="K292" s="731"/>
      <c r="L292" s="731"/>
      <c r="M292" s="82" t="s">
        <v>6903</v>
      </c>
    </row>
    <row r="294" spans="1:25">
      <c r="B294" s="270" t="s">
        <v>6904</v>
      </c>
      <c r="C294" s="1158" t="str">
        <f>CHOOSE(jezyk,n!A1781,n!B1781,n!C1781)</f>
        <v>Wpływ konfliktu we wschodniej Europie na sytuację finansową Spółki</v>
      </c>
      <c r="D294" s="1158"/>
      <c r="E294" s="1158"/>
      <c r="F294" s="1158"/>
      <c r="G294" s="1158"/>
      <c r="H294" s="1158"/>
      <c r="I294" s="1158"/>
      <c r="J294" s="1158"/>
      <c r="K294" s="1158"/>
      <c r="L294" s="1158"/>
    </row>
    <row r="296" spans="1:25" ht="25.5" customHeight="1">
      <c r="A296" s="72"/>
      <c r="C296" s="722" t="str">
        <f>IF(GA!H16=2,CHOOSE(jezyk,n!A1313,n!B1313,n!C1313,n!D1311),CHOOSE(jezyk,n!A1312,n!B1312,n!C1312,n!D1310))</f>
        <v>Zarząd zidentyfikował następujące ryzyka i negatywne konsekwencje dla spółki  w związku z aktualną sytuacją gospodarczą wywołaną konfliktem na wschodzie Europy:</v>
      </c>
      <c r="D296" s="722"/>
      <c r="E296" s="722"/>
      <c r="F296" s="722"/>
      <c r="G296" s="722"/>
      <c r="H296" s="722"/>
      <c r="I296" s="722"/>
      <c r="J296" s="722"/>
      <c r="K296" s="722"/>
      <c r="L296" s="722"/>
    </row>
    <row r="297" spans="1:25" ht="12.75" customHeight="1">
      <c r="B297" s="88" t="s">
        <v>6547</v>
      </c>
      <c r="C297" s="723" t="str">
        <f>CHOOSE(jezyk,n!A1314,n!B1314,n!C1314,n!D1312)</f>
        <v>spadek przychodów ze sprzedaży na poziomie:</v>
      </c>
      <c r="D297" s="723"/>
      <c r="E297" s="723"/>
      <c r="F297" s="723"/>
      <c r="G297" s="723"/>
      <c r="H297" s="723"/>
      <c r="I297" s="271"/>
      <c r="J297" s="103"/>
      <c r="K297" s="103"/>
      <c r="L297" s="103"/>
      <c r="M297" s="212" t="s">
        <v>6905</v>
      </c>
    </row>
    <row r="298" spans="1:25" ht="24.75" customHeight="1">
      <c r="A298" s="72"/>
      <c r="B298" s="88" t="s">
        <v>6547</v>
      </c>
      <c r="C298" s="721" t="str">
        <f>CHOOSE(jezyk,n!A1315,n!B1315,n!C1315,n!D1313)</f>
        <v>ograniczenie rynku zbytu (wschodnia Europa) oraz zmiany nastroju i preferencji aktualnych kontrahentów i konsumentów</v>
      </c>
      <c r="D298" s="721"/>
      <c r="E298" s="721"/>
      <c r="F298" s="721"/>
      <c r="G298" s="721"/>
      <c r="H298" s="721"/>
      <c r="I298" s="721"/>
      <c r="J298" s="721"/>
      <c r="K298" s="721"/>
      <c r="L298" s="721"/>
    </row>
    <row r="299" spans="1:25" ht="26.25" customHeight="1">
      <c r="A299" s="72"/>
      <c r="B299" s="88" t="s">
        <v>6547</v>
      </c>
      <c r="C299" s="721" t="str">
        <f>CHOOSE(jezyk,n!A1316,n!B1316,n!C1316,n!D1314)</f>
        <v>wzrost kosztów działalności operacyjnej wynikający bezpośrednio z istotnego wzrostu poziomu inflacji, w tym w szczególności cen energii</v>
      </c>
      <c r="D299" s="721"/>
      <c r="E299" s="721"/>
      <c r="F299" s="721"/>
      <c r="G299" s="721"/>
      <c r="H299" s="721"/>
      <c r="I299" s="721"/>
      <c r="J299" s="721"/>
      <c r="K299" s="721"/>
      <c r="L299" s="721"/>
    </row>
    <row r="300" spans="1:25" ht="26.25" customHeight="1">
      <c r="A300" s="72"/>
      <c r="B300" s="88" t="s">
        <v>6547</v>
      </c>
      <c r="C300" s="721" t="str">
        <f>CHOOSE(jezyk,n!A1317,n!B1317,n!C1317,n!D1315)</f>
        <v>osłabienie polskiej waluty oraz wahania kursów walut spowodowały wzrost innych kosztów finansowych (zrealizowanych ujemnych różnic kursowych oraz różnic kursowych z wyceny bilansowej)</v>
      </c>
      <c r="D300" s="721"/>
      <c r="E300" s="721"/>
      <c r="F300" s="721"/>
      <c r="G300" s="721"/>
      <c r="H300" s="721"/>
      <c r="I300" s="721"/>
      <c r="J300" s="721"/>
      <c r="K300" s="721"/>
      <c r="L300" s="721"/>
      <c r="P300" s="722"/>
      <c r="Q300" s="722"/>
      <c r="R300" s="722"/>
      <c r="S300" s="722"/>
      <c r="T300" s="722"/>
      <c r="U300" s="722"/>
      <c r="V300" s="722"/>
      <c r="W300" s="722"/>
      <c r="X300" s="722"/>
      <c r="Y300" s="722"/>
    </row>
    <row r="301" spans="1:25" ht="26.25" customHeight="1">
      <c r="A301" s="72"/>
      <c r="B301" s="88" t="s">
        <v>6547</v>
      </c>
      <c r="C301" s="721" t="str">
        <f>CHOOSE(jezyk,n!A1318,n!B1318,n!C1318,n!D1316)</f>
        <v>wzrost stóp procentowych miał bezpośredni wpływ na wzrost kosztów finansowania działalności spółki (naliczonych i zapłaconych odsetek od zaciągniętych kredytów)</v>
      </c>
      <c r="D301" s="721"/>
      <c r="E301" s="721"/>
      <c r="F301" s="721"/>
      <c r="G301" s="721"/>
      <c r="H301" s="721"/>
      <c r="I301" s="721"/>
      <c r="J301" s="721"/>
      <c r="K301" s="721"/>
      <c r="L301" s="721"/>
      <c r="P301" s="99"/>
      <c r="Q301" s="99"/>
      <c r="R301" s="99"/>
      <c r="S301" s="99"/>
      <c r="T301" s="99"/>
      <c r="U301" s="99"/>
      <c r="V301" s="99"/>
      <c r="W301" s="99"/>
      <c r="X301" s="99"/>
      <c r="Y301" s="99"/>
    </row>
    <row r="302" spans="1:25">
      <c r="A302" s="72"/>
      <c r="B302" s="88" t="s">
        <v>6547</v>
      </c>
      <c r="C302" s="721" t="str">
        <f>CHOOSE(jezyk,n!A1319,n!B1319,n!C1319,n!D1317)</f>
        <v>utrudnienia w dostawach surowców powodujące czasowe opóźnienia w realizacji zamówień</v>
      </c>
      <c r="D302" s="721"/>
      <c r="E302" s="721"/>
      <c r="F302" s="721"/>
      <c r="G302" s="721"/>
      <c r="H302" s="721"/>
      <c r="I302" s="721"/>
      <c r="J302" s="721"/>
      <c r="K302" s="721"/>
      <c r="L302" s="721"/>
      <c r="P302" s="99"/>
      <c r="Q302" s="99"/>
      <c r="R302" s="99"/>
      <c r="S302" s="99"/>
      <c r="T302" s="99"/>
      <c r="U302" s="99"/>
      <c r="V302" s="99"/>
      <c r="W302" s="99"/>
      <c r="X302" s="99"/>
      <c r="Y302" s="99"/>
    </row>
    <row r="303" spans="1:25" s="149" customFormat="1">
      <c r="C303" s="1131" t="s">
        <v>6906</v>
      </c>
      <c r="D303" s="1131"/>
      <c r="E303" s="1131"/>
      <c r="F303" s="1131"/>
      <c r="G303" s="1131"/>
      <c r="H303" s="1131"/>
      <c r="I303" s="1131"/>
      <c r="J303" s="1131"/>
      <c r="K303" s="1131"/>
      <c r="L303" s="1131"/>
      <c r="M303" s="625" t="s">
        <v>6907</v>
      </c>
      <c r="P303" s="99"/>
    </row>
    <row r="304" spans="1:25" s="149" customFormat="1">
      <c r="C304" s="724"/>
      <c r="D304" s="724"/>
      <c r="E304" s="724"/>
      <c r="F304" s="724"/>
      <c r="G304" s="724"/>
      <c r="H304" s="724"/>
      <c r="I304" s="724"/>
      <c r="J304" s="724"/>
      <c r="K304" s="724"/>
      <c r="L304" s="724"/>
      <c r="P304" s="99"/>
    </row>
    <row r="305" spans="1:16" s="149" customFormat="1" ht="24" customHeight="1">
      <c r="A305" s="72"/>
      <c r="C305" s="722" t="str">
        <f>CHOOSE(jezyk,n!A1322,n!B1322,n!C1322,n!D1315)</f>
        <v>Podjęte działania w celu ograniczenia skutków kryzysu we wschodniej Europie i ich wpływ na dane finansowe za bieżący rok obrotowy:</v>
      </c>
      <c r="D305" s="722"/>
      <c r="E305" s="722"/>
      <c r="F305" s="722"/>
      <c r="G305" s="722"/>
      <c r="H305" s="722"/>
      <c r="I305" s="722"/>
      <c r="J305" s="722"/>
      <c r="K305" s="722"/>
      <c r="L305" s="722"/>
      <c r="M305" s="625" t="s">
        <v>6907</v>
      </c>
    </row>
    <row r="306" spans="1:16" s="149" customFormat="1">
      <c r="A306" s="72"/>
      <c r="C306" s="1131" t="s">
        <v>6908</v>
      </c>
      <c r="D306" s="1131"/>
      <c r="E306" s="1131"/>
      <c r="F306" s="1131"/>
      <c r="G306" s="1131"/>
      <c r="H306" s="1131"/>
      <c r="I306" s="1131"/>
      <c r="J306" s="1131"/>
      <c r="K306" s="1131"/>
      <c r="L306" s="1131"/>
    </row>
    <row r="307" spans="1:16" s="149" customFormat="1" ht="20.100000000000001" customHeight="1">
      <c r="A307" s="72"/>
      <c r="C307" s="721"/>
      <c r="D307" s="721"/>
      <c r="E307" s="721"/>
      <c r="F307" s="721"/>
      <c r="G307" s="721"/>
      <c r="H307" s="721"/>
      <c r="I307" s="721"/>
      <c r="J307" s="721"/>
      <c r="K307" s="721"/>
      <c r="L307" s="721"/>
    </row>
    <row r="309" spans="1:16" s="72" customFormat="1" ht="26.25" customHeight="1">
      <c r="B309" s="80" t="s">
        <v>6909</v>
      </c>
      <c r="C309" s="725" t="str">
        <f>CHOOSE(jezyk,n!A1161,n!B1161,n!C1161,n!D1158)</f>
        <v>Informacje uzupełniające dotyczące przyszłych opłat leasingowych oraz opłat z tytułu najmu lub dzierżawy, według stanu na 31.12.2024, wynikające z zawartych umów ważnych na dzień bilansowy</v>
      </c>
      <c r="D309" s="725"/>
      <c r="E309" s="725"/>
      <c r="F309" s="725"/>
      <c r="G309" s="725"/>
      <c r="H309" s="725"/>
      <c r="I309" s="725"/>
      <c r="J309" s="725"/>
      <c r="K309" s="725"/>
      <c r="L309" s="725"/>
      <c r="M309" s="82" t="s">
        <v>6910</v>
      </c>
    </row>
    <row r="311" spans="1:16" ht="42" customHeight="1">
      <c r="A311" s="72"/>
      <c r="C311" s="1123" t="str">
        <f>IF(GA!F75&lt;&gt;"nie",CHOOSE(jezyk,n!A1162,n!B1162,n!C1162,n!D1159),CHOOSE(jezyk,n!A1163,n!B1163,n!C1163,n!D1163))</f>
        <v>Spółka użytkuje majątek trwały na podstawie umów najmu oraz umów leasingu operacyjnego. Łączna kwota przyszłych zobowiązań wynikających z zawartych umów najmu i leasingu, nieujętych w księgach, prezentuje poniższa tabela.</v>
      </c>
      <c r="D311" s="1123"/>
      <c r="E311" s="1123"/>
      <c r="F311" s="1123"/>
      <c r="G311" s="1123"/>
      <c r="H311" s="1123"/>
      <c r="I311" s="1123"/>
      <c r="J311" s="1123"/>
      <c r="K311" s="1123"/>
      <c r="L311" s="1123"/>
    </row>
    <row r="312" spans="1:16" ht="11.25" customHeight="1">
      <c r="D312" s="99"/>
      <c r="E312" s="99"/>
      <c r="F312" s="99"/>
      <c r="G312" s="99"/>
      <c r="H312" s="99"/>
      <c r="I312" s="99"/>
      <c r="J312" s="99"/>
      <c r="K312" s="99"/>
      <c r="L312" s="99"/>
    </row>
    <row r="313" spans="1:16" ht="21" customHeight="1">
      <c r="C313" s="933" t="str">
        <f>CHOOSE(jezyk,n!A1164,n!B1164,n!C1164,n!D1161)</f>
        <v>Rodzaj zobowiązania</v>
      </c>
      <c r="D313" s="1132"/>
      <c r="E313" s="1132"/>
      <c r="F313" s="934"/>
      <c r="G313" s="945" t="str">
        <f>CHOOSE(jezyk,n!A1165,n!B1165,n!C1165,n!D1162)</f>
        <v>Łączna kwota przyszłych zobowiązań z tytułu opłat dotyczących umowy</v>
      </c>
      <c r="H313" s="1063"/>
      <c r="I313" s="1063"/>
      <c r="J313" s="1063"/>
      <c r="K313" s="1063"/>
      <c r="L313" s="946"/>
    </row>
    <row r="314" spans="1:16" ht="55.9" customHeight="1">
      <c r="C314" s="1133"/>
      <c r="D314" s="1134"/>
      <c r="E314" s="1134"/>
      <c r="F314" s="1135"/>
      <c r="G314" s="827" t="str">
        <f>CHOOSE(jezyk,n!A786,n!B786,n!C786,n!D784)</f>
        <v>do 1 roku 
(do spłaty w kolejnym roku obrotowym)</v>
      </c>
      <c r="H314" s="829"/>
      <c r="I314" s="395" t="str">
        <f>CHOOSE(jezyk,n!A1171,n!B1171,n!C1171,n!D1169)</f>
        <v>od 1 do 5 lat(do spłaty w latach 2026 - 2029)</v>
      </c>
      <c r="J314" s="827" t="str">
        <f>CHOOSE(jezyk,n!A791,n!B791,n!C791,n!D787)</f>
        <v>powyżej 5 lat(do spłaty po 2029 roku)</v>
      </c>
      <c r="K314" s="829"/>
      <c r="L314" s="400" t="str">
        <f>CHOOSE(jezyk,n!A1608,n!B1608,n!C1608,n!D1604)</f>
        <v>Ogółem</v>
      </c>
    </row>
    <row r="315" spans="1:16" s="149" customFormat="1" ht="20.100000000000001" customHeight="1">
      <c r="B315" s="72"/>
      <c r="C315" s="913" t="str">
        <f>CHOOSE(jezyk,n!A1166,n!B1166,n!C1166,n!D1164)</f>
        <v>najem biura</v>
      </c>
      <c r="D315" s="914"/>
      <c r="E315" s="914"/>
      <c r="F315" s="915"/>
      <c r="G315" s="956"/>
      <c r="H315" s="957"/>
      <c r="I315" s="398"/>
      <c r="J315" s="956"/>
      <c r="K315" s="957"/>
      <c r="L315" s="421">
        <f t="shared" ref="L315:L320" si="1">G315+I315+J315</f>
        <v>0</v>
      </c>
    </row>
    <row r="316" spans="1:16" s="149" customFormat="1" ht="20.100000000000001" customHeight="1">
      <c r="B316" s="72"/>
      <c r="C316" s="913" t="str">
        <f>CHOOSE(jezyk,n!A1167,n!B1167,n!C1167,n!D1165)</f>
        <v>najem hali magazynowej</v>
      </c>
      <c r="D316" s="914"/>
      <c r="E316" s="914"/>
      <c r="F316" s="915"/>
      <c r="G316" s="956"/>
      <c r="H316" s="957"/>
      <c r="I316" s="398"/>
      <c r="J316" s="956"/>
      <c r="K316" s="957"/>
      <c r="L316" s="421">
        <f t="shared" si="1"/>
        <v>0</v>
      </c>
    </row>
    <row r="317" spans="1:16" s="149" customFormat="1" ht="26.25" customHeight="1">
      <c r="B317" s="72"/>
      <c r="C317" s="817" t="str">
        <f>CHOOSE(jezyk,n!A1168,n!B1168,n!C1168,n!D1166)</f>
        <v>leasing operacyjny sprzętu komputerowego</v>
      </c>
      <c r="D317" s="818"/>
      <c r="E317" s="818"/>
      <c r="F317" s="819"/>
      <c r="G317" s="956"/>
      <c r="H317" s="957"/>
      <c r="I317" s="398"/>
      <c r="J317" s="956"/>
      <c r="K317" s="957"/>
      <c r="L317" s="421">
        <f t="shared" si="1"/>
        <v>0</v>
      </c>
    </row>
    <row r="318" spans="1:16" s="149" customFormat="1" ht="27.75" customHeight="1">
      <c r="B318" s="72"/>
      <c r="C318" s="817" t="str">
        <f>CHOOSE(jezyk,n!A1169,n!B1169,n!C1169,n!D1167)</f>
        <v>leasing operacyjny samochodów osobowych</v>
      </c>
      <c r="D318" s="818"/>
      <c r="E318" s="818"/>
      <c r="F318" s="819"/>
      <c r="G318" s="956"/>
      <c r="H318" s="957"/>
      <c r="I318" s="398"/>
      <c r="J318" s="956"/>
      <c r="K318" s="957"/>
      <c r="L318" s="421">
        <f t="shared" si="1"/>
        <v>0</v>
      </c>
    </row>
    <row r="319" spans="1:16" s="149" customFormat="1" ht="20.100000000000001" customHeight="1">
      <c r="B319" s="72"/>
      <c r="C319" s="913" t="str">
        <f>CHOOSE(jezyk,n!A1170,n!B1170,n!C1170,n!D1168)</f>
        <v>leasing operacyjny pozostały</v>
      </c>
      <c r="D319" s="914"/>
      <c r="E319" s="914"/>
      <c r="F319" s="915"/>
      <c r="G319" s="956"/>
      <c r="H319" s="957"/>
      <c r="I319" s="398"/>
      <c r="J319" s="956"/>
      <c r="K319" s="957"/>
      <c r="L319" s="421">
        <f t="shared" si="1"/>
        <v>0</v>
      </c>
    </row>
    <row r="320" spans="1:16" ht="21" customHeight="1">
      <c r="G320" s="917">
        <f>SUM(G315:H319)</f>
        <v>0</v>
      </c>
      <c r="H320" s="918"/>
      <c r="I320" s="407">
        <f>SUM(I315:I319)</f>
        <v>0</v>
      </c>
      <c r="J320" s="917">
        <f>SUM(J315:K319)</f>
        <v>0</v>
      </c>
      <c r="K320" s="918"/>
      <c r="L320" s="421">
        <f t="shared" si="1"/>
        <v>0</v>
      </c>
      <c r="P320" s="149"/>
    </row>
    <row r="323" spans="2:16" ht="28.15" customHeight="1">
      <c r="B323" s="80" t="s">
        <v>6911</v>
      </c>
      <c r="C323" s="725" t="str">
        <f>CHOOSE(jezyk,n!A1174,n!B1174,n!C1174,n!D1174)</f>
        <v>Informacje uzupełniające dotyczące skutków wyceny kontraktów długoterminowych, niezakończonych na dzień 31.12.2024</v>
      </c>
      <c r="D323" s="725"/>
      <c r="E323" s="725"/>
      <c r="F323" s="725"/>
      <c r="G323" s="725"/>
      <c r="H323" s="725"/>
      <c r="I323" s="725"/>
      <c r="J323" s="725"/>
      <c r="K323" s="725"/>
      <c r="L323" s="725"/>
    </row>
    <row r="325" spans="2:16" ht="55.9" customHeight="1">
      <c r="C325" s="1159" t="str">
        <f>CHOOSE(jezyk,n!A1192,n!B1192,n!C1192,n!D1192)</f>
        <v>Rok obrotowy 2024</v>
      </c>
      <c r="D325" s="1160"/>
      <c r="E325" s="1160"/>
      <c r="F325" s="1161"/>
      <c r="G325" s="827" t="str">
        <f>CHOOSE(jezyk,n!A1175,n!B1175,n!C1175,n!D1175)</f>
        <v>Umowy długoterminowe ogółem</v>
      </c>
      <c r="H325" s="829"/>
      <c r="I325" s="827" t="str">
        <f>CHOOSE(jezyk,n!A1176,n!B1176,n!C1176,n!D1176)</f>
        <v xml:space="preserve"> - w tym umowy niezakończone łącznie</v>
      </c>
      <c r="J325" s="829"/>
      <c r="K325" s="827" t="str">
        <f>CHOOSE(jezyk,n!A1177,n!B1177,n!C1177,n!D1177)</f>
        <v xml:space="preserve"> - w tym umowy niezakończone, gdzie przychody ustalane są metodą zysku zerowego</v>
      </c>
      <c r="L325" s="829"/>
    </row>
    <row r="326" spans="2:16" ht="19.899999999999999" customHeight="1">
      <c r="C326" s="1159" t="str">
        <f>CHOOSE(jezyk,n!A1179,n!B1179,n!C1179,n!D1179)</f>
        <v>Koszty faktycznie poniesione</v>
      </c>
      <c r="D326" s="1160"/>
      <c r="E326" s="1160"/>
      <c r="F326" s="1161"/>
      <c r="G326" s="1156"/>
      <c r="H326" s="1156"/>
      <c r="I326" s="1156"/>
      <c r="J326" s="1156"/>
      <c r="K326" s="1156"/>
      <c r="L326" s="1156"/>
    </row>
    <row r="327" spans="2:16" ht="19.899999999999999" customHeight="1">
      <c r="C327" s="1159" t="str">
        <f>CHOOSE(jezyk,n!A1180,n!B1180,n!C1180,n!D1180)</f>
        <v>Rezerwa na straty</v>
      </c>
      <c r="D327" s="1160"/>
      <c r="E327" s="1160"/>
      <c r="F327" s="1161"/>
      <c r="G327" s="1156"/>
      <c r="H327" s="1156"/>
      <c r="I327" s="1156"/>
      <c r="J327" s="1156"/>
      <c r="K327" s="1156"/>
      <c r="L327" s="1156"/>
    </row>
    <row r="328" spans="2:16" ht="19.899999999999999" customHeight="1">
      <c r="C328" s="1159" t="str">
        <f>CHOOSE(jezyk,n!A1178,n!B1178,n!C1178,n!D1178)</f>
        <v>Koszty ujęte w RZiS</v>
      </c>
      <c r="D328" s="1160"/>
      <c r="E328" s="1160"/>
      <c r="F328" s="1161"/>
      <c r="G328" s="917">
        <f>G326+G327</f>
        <v>0</v>
      </c>
      <c r="H328" s="918"/>
      <c r="I328" s="917">
        <f t="shared" ref="I328" si="2">I326+I327</f>
        <v>0</v>
      </c>
      <c r="J328" s="918"/>
      <c r="K328" s="917">
        <f t="shared" ref="K328" si="3">K326+K327</f>
        <v>0</v>
      </c>
      <c r="L328" s="918"/>
    </row>
    <row r="329" spans="2:16" ht="19.899999999999999" customHeight="1">
      <c r="C329" s="1159" t="str">
        <f>CHOOSE(jezyk,n!A1181,n!B1181,n!C1181,n!D1181)</f>
        <v>Przychody zafakturowane</v>
      </c>
      <c r="D329" s="1160"/>
      <c r="E329" s="1160"/>
      <c r="F329" s="1161"/>
      <c r="G329" s="1156"/>
      <c r="H329" s="1156"/>
      <c r="I329" s="1156"/>
      <c r="J329" s="1156"/>
      <c r="K329" s="1156"/>
      <c r="L329" s="1156"/>
    </row>
    <row r="330" spans="2:16" ht="34.9" customHeight="1">
      <c r="C330" s="1159" t="str">
        <f>CHOOSE(jezyk,n!A1182,n!B1182,n!C1182,n!D1182)</f>
        <v>Przychody ustalone zgodnie ze stosowaną metodą wyceny</v>
      </c>
      <c r="D330" s="1160"/>
      <c r="E330" s="1160"/>
      <c r="F330" s="1161"/>
      <c r="G330" s="1156"/>
      <c r="H330" s="1156"/>
      <c r="I330" s="1156"/>
      <c r="J330" s="1156"/>
      <c r="K330" s="1156"/>
      <c r="L330" s="1156"/>
    </row>
    <row r="331" spans="2:16" s="184" customFormat="1">
      <c r="B331" s="96"/>
      <c r="C331" s="183"/>
      <c r="D331" s="183"/>
      <c r="E331" s="183"/>
      <c r="F331" s="183"/>
      <c r="G331" s="644"/>
      <c r="H331" s="644"/>
      <c r="I331" s="644"/>
      <c r="J331" s="644"/>
      <c r="K331" s="644"/>
      <c r="L331" s="644"/>
      <c r="M331" s="184" t="s">
        <v>6863</v>
      </c>
      <c r="N331" s="642">
        <f>G329-G330</f>
        <v>0</v>
      </c>
      <c r="O331" s="642"/>
      <c r="P331" s="642"/>
    </row>
    <row r="332" spans="2:16" s="184" customFormat="1" ht="24.75" customHeight="1">
      <c r="B332" s="96"/>
      <c r="C332" s="183"/>
      <c r="D332" s="183"/>
      <c r="E332" s="183"/>
      <c r="F332" s="183"/>
      <c r="G332" s="644"/>
      <c r="H332" s="644"/>
      <c r="I332" s="821" t="str">
        <f>dzb</f>
        <v>31.12.2024</v>
      </c>
      <c r="J332" s="821"/>
      <c r="K332" s="821" t="str">
        <f>pdz</f>
        <v>31.12.2023</v>
      </c>
      <c r="L332" s="821"/>
      <c r="N332" s="642"/>
      <c r="O332" s="642"/>
      <c r="P332" s="642"/>
    </row>
    <row r="333" spans="2:16" ht="34.15" customHeight="1">
      <c r="C333" s="1159" t="str">
        <f>CHOOSE(jezyk,n!A1183,n!B1183,n!C1183,n!D1183)</f>
        <v>Aktywa z tytułu niezakończonych umów długoterminowych</v>
      </c>
      <c r="D333" s="1160"/>
      <c r="E333" s="1160"/>
      <c r="F333" s="1160"/>
      <c r="G333" s="1160"/>
      <c r="H333" s="1161"/>
      <c r="I333" s="806">
        <f t="shared" ref="I333" si="4">I334+I335</f>
        <v>0</v>
      </c>
      <c r="J333" s="806"/>
      <c r="K333" s="806">
        <f t="shared" ref="K333" si="5">K334+K335</f>
        <v>0</v>
      </c>
      <c r="L333" s="806"/>
      <c r="N333" s="38">
        <f>I335-I340</f>
        <v>0</v>
      </c>
      <c r="O333" s="38"/>
      <c r="P333" s="38"/>
    </row>
    <row r="334" spans="2:16" ht="28.15" customHeight="1">
      <c r="C334" s="1159" t="str">
        <f>CHOOSE(jezyk,n!A1184,n!B1184,n!C1184,n!D1184)</f>
        <v xml:space="preserve">1. Czynne rozliczenia międzyokresowe kosztów </v>
      </c>
      <c r="D334" s="1160"/>
      <c r="E334" s="1160"/>
      <c r="F334" s="1160"/>
      <c r="G334" s="1160"/>
      <c r="H334" s="1161"/>
      <c r="I334" s="1149"/>
      <c r="J334" s="1149"/>
      <c r="K334" s="1149"/>
      <c r="L334" s="1149"/>
      <c r="N334" s="38">
        <f>N331-N333</f>
        <v>0</v>
      </c>
      <c r="O334" s="38"/>
      <c r="P334" s="38"/>
    </row>
    <row r="335" spans="2:16" ht="28.15" customHeight="1">
      <c r="C335" s="1159" t="str">
        <f>CHOOSE(jezyk,n!A1185,n!B1185,n!C1185,n!D1185)</f>
        <v>2. Należności niezafakturowane</v>
      </c>
      <c r="D335" s="1160"/>
      <c r="E335" s="1160"/>
      <c r="F335" s="1160"/>
      <c r="G335" s="1160"/>
      <c r="H335" s="1161"/>
      <c r="I335" s="1149"/>
      <c r="J335" s="1149"/>
      <c r="K335" s="1149"/>
      <c r="L335" s="1149"/>
    </row>
    <row r="336" spans="2:16" s="184" customFormat="1">
      <c r="B336" s="96"/>
      <c r="C336" s="645"/>
      <c r="D336" s="645"/>
      <c r="E336" s="645"/>
      <c r="F336" s="645"/>
      <c r="G336" s="646"/>
      <c r="H336" s="646"/>
      <c r="I336" s="641"/>
      <c r="J336" s="641"/>
      <c r="K336" s="641"/>
      <c r="L336" s="641"/>
      <c r="N336" s="642"/>
      <c r="O336" s="642"/>
      <c r="P336" s="642"/>
    </row>
    <row r="337" spans="2:16" s="184" customFormat="1" ht="24.75" customHeight="1">
      <c r="B337" s="96"/>
      <c r="C337" s="643"/>
      <c r="D337" s="643"/>
      <c r="E337" s="643"/>
      <c r="F337" s="643"/>
      <c r="G337" s="647"/>
      <c r="H337" s="647"/>
      <c r="I337" s="821" t="str">
        <f>I332</f>
        <v>31.12.2024</v>
      </c>
      <c r="J337" s="821"/>
      <c r="K337" s="821" t="str">
        <f>K332</f>
        <v>31.12.2023</v>
      </c>
      <c r="L337" s="821"/>
      <c r="N337" s="642"/>
      <c r="O337" s="642"/>
      <c r="P337" s="642"/>
    </row>
    <row r="338" spans="2:16" ht="31.9" customHeight="1">
      <c r="C338" s="1159" t="str">
        <f>CHOOSE(jezyk,n!A1186,n!B1186,n!C1186,n!D1186)</f>
        <v>Rozliczenia międzyokresowe umów długoterminowych</v>
      </c>
      <c r="D338" s="1160"/>
      <c r="E338" s="1160"/>
      <c r="F338" s="1160"/>
      <c r="G338" s="1160">
        <f>G339+G340</f>
        <v>0</v>
      </c>
      <c r="H338" s="1161"/>
      <c r="I338" s="917">
        <f t="shared" ref="I338" si="6">I339+I340</f>
        <v>0</v>
      </c>
      <c r="J338" s="918"/>
      <c r="K338" s="917">
        <f t="shared" ref="K338" si="7">K339+K340</f>
        <v>0</v>
      </c>
      <c r="L338" s="918"/>
    </row>
    <row r="339" spans="2:16" ht="31.15" customHeight="1">
      <c r="C339" s="1159" t="str">
        <f>CHOOSE(jezyk,n!A1187,n!B1187,n!C1187,n!D1187)</f>
        <v>1. Bierne rozliczenia międzyokresowe kosztów</v>
      </c>
      <c r="D339" s="1160"/>
      <c r="E339" s="1160"/>
      <c r="F339" s="1160"/>
      <c r="G339" s="1160"/>
      <c r="H339" s="1161"/>
      <c r="I339" s="1149">
        <v>0</v>
      </c>
      <c r="J339" s="1149"/>
      <c r="K339" s="1149"/>
      <c r="L339" s="1149"/>
    </row>
    <row r="340" spans="2:16" ht="35.450000000000003" customHeight="1">
      <c r="C340" s="1159" t="str">
        <f>CHOOSE(jezyk,n!A1188,n!B1188,n!C1188,n!D1188)</f>
        <v>2. Rozliczenia międzyokresowe przychodów</v>
      </c>
      <c r="D340" s="1160"/>
      <c r="E340" s="1160"/>
      <c r="F340" s="1160"/>
      <c r="G340" s="1160"/>
      <c r="H340" s="1161"/>
      <c r="I340" s="1149"/>
      <c r="J340" s="1149"/>
      <c r="K340" s="1149"/>
      <c r="L340" s="1149"/>
    </row>
    <row r="343" spans="2:16" ht="24.75" customHeight="1">
      <c r="I343" s="821" t="str">
        <f>dzb</f>
        <v>31.12.2024</v>
      </c>
      <c r="J343" s="821"/>
      <c r="K343" s="821" t="str">
        <f>pdz</f>
        <v>31.12.2023</v>
      </c>
      <c r="L343" s="821"/>
    </row>
    <row r="344" spans="2:16" ht="44.45" customHeight="1">
      <c r="C344" s="1159" t="str">
        <f>CHOOSE(jezyk,n!A1189,n!B1189,n!C1189,n!D1189)</f>
        <v>Kwota przewidywanych strat z realizowanych umów długoterminowych niezakończonych na dzień bilansowy, ujętych w RZiS</v>
      </c>
      <c r="D344" s="1160"/>
      <c r="E344" s="1160"/>
      <c r="F344" s="1160"/>
      <c r="G344" s="1160"/>
      <c r="H344" s="1161"/>
      <c r="I344" s="1149">
        <v>0</v>
      </c>
      <c r="J344" s="1149"/>
      <c r="K344" s="1149"/>
      <c r="L344" s="1149"/>
    </row>
    <row r="345" spans="2:16" ht="33.6" customHeight="1">
      <c r="C345" s="1159" t="str">
        <f>CHOOSE(jezyk,n!A1190,n!B1190,n!C1190,n!D1190)</f>
        <v>Wysokość kosztów, których pokrycie przez inwestora nie jest prawdopodobne</v>
      </c>
      <c r="D345" s="1160"/>
      <c r="E345" s="1160"/>
      <c r="F345" s="1160"/>
      <c r="G345" s="1160"/>
      <c r="H345" s="1161"/>
      <c r="I345" s="1149"/>
      <c r="J345" s="1149"/>
      <c r="K345" s="1149"/>
      <c r="L345" s="1149"/>
    </row>
    <row r="346" spans="2:16" ht="37.9" customHeight="1">
      <c r="C346" s="1159" t="str">
        <f>CHOOSE(jezyk,n!A1191,n!B1191,n!C1191,n!D1191)</f>
        <v>Wartość sum zatrzymanych przez inwestorów jako gwarancje należytego wykonania usługi</v>
      </c>
      <c r="D346" s="1160"/>
      <c r="E346" s="1160"/>
      <c r="F346" s="1160"/>
      <c r="G346" s="1160"/>
      <c r="H346" s="1161"/>
      <c r="I346" s="1149"/>
      <c r="J346" s="1149"/>
      <c r="K346" s="1149"/>
      <c r="L346" s="1149"/>
    </row>
    <row r="349" spans="2:16" ht="20.25" customHeight="1">
      <c r="B349" s="719" t="str">
        <f>"12. "&amp;CHOOSE(jezyk,n!A613,n!B613,n!C613,n!D613)</f>
        <v>12. DODATKOWE INFORMACJE I OBJAŚNIENIA</v>
      </c>
      <c r="C349" s="719"/>
      <c r="D349" s="719"/>
      <c r="E349" s="719"/>
      <c r="F349" s="719"/>
      <c r="G349" s="719"/>
      <c r="H349" s="719"/>
      <c r="I349" s="719"/>
      <c r="J349" s="719"/>
      <c r="K349" s="719"/>
      <c r="L349" s="719"/>
      <c r="M349" s="82" t="s">
        <v>6910</v>
      </c>
    </row>
    <row r="351" spans="2:16">
      <c r="B351" s="111" t="str">
        <f>"12."</f>
        <v>12.</v>
      </c>
      <c r="C351" s="725" t="str">
        <f>CHOOSE(jezyk,n!A1548,n!B1548,n!C1548,n!D1546)</f>
        <v>Informacje o nabyciu udziałów (akcji) własnych</v>
      </c>
      <c r="D351" s="725"/>
      <c r="E351" s="725"/>
      <c r="F351" s="725"/>
      <c r="G351" s="725"/>
      <c r="H351" s="725"/>
      <c r="I351" s="725"/>
      <c r="J351" s="725"/>
      <c r="K351" s="725"/>
      <c r="L351" s="725"/>
    </row>
    <row r="352" spans="2:16">
      <c r="C352" s="725"/>
      <c r="D352" s="725"/>
      <c r="E352" s="725"/>
      <c r="F352" s="725"/>
      <c r="G352" s="725"/>
      <c r="H352" s="725"/>
      <c r="I352" s="725"/>
      <c r="J352" s="725"/>
      <c r="K352" s="725"/>
      <c r="L352" s="725"/>
    </row>
    <row r="353" spans="3:12">
      <c r="C353" s="790" t="str">
        <f>IF(GA!H16=1,CHOOSE(jezyk,n!A1549,n!B1549,n!C1549,n!D1547),CHOOSE(jezyk,n!A1550,n!B1550,n!C1550,n!D1550))</f>
        <v>Spółka nie nabyła w roku obrotowym udziałów własnych.</v>
      </c>
      <c r="D353" s="790"/>
      <c r="E353" s="790"/>
      <c r="F353" s="790"/>
      <c r="G353" s="790"/>
      <c r="H353" s="790"/>
      <c r="I353" s="790"/>
      <c r="J353" s="790"/>
      <c r="K353" s="790"/>
      <c r="L353" s="790"/>
    </row>
    <row r="357" spans="3:12">
      <c r="C357" s="72" t="str">
        <f>CHOOSE(jezyk,n!A412,n!B412,n!C412,n!D412)</f>
        <v>Osoba sporządzająca:</v>
      </c>
      <c r="D357" s="72"/>
      <c r="E357" s="72"/>
      <c r="F357" s="723" t="str">
        <f>Wprowadzenie!E287</f>
        <v>Monika Czerwonka</v>
      </c>
      <c r="G357" s="723"/>
      <c r="H357" s="723"/>
      <c r="I357" s="72"/>
      <c r="J357" s="72"/>
      <c r="K357" s="72"/>
    </row>
    <row r="358" spans="3:12">
      <c r="C358" s="72"/>
      <c r="D358" s="72"/>
      <c r="E358" s="72"/>
      <c r="F358" s="101"/>
      <c r="G358" s="101"/>
      <c r="H358" s="101"/>
      <c r="I358" s="72"/>
      <c r="K358" s="72"/>
    </row>
    <row r="359" spans="3:12">
      <c r="C359" s="72" t="str">
        <f>IF(GA!H16=2,CHOOSE(jezyk,n!A414,n!B414,n!C414,n!D414),CHOOSE(jezyk,n!A413,n!B413,n!C413,n!D413))</f>
        <v>Zarząd:</v>
      </c>
      <c r="D359" s="72"/>
      <c r="E359" s="72"/>
      <c r="F359" s="723" t="str">
        <f>Wprowadzenie!E289</f>
        <v>Bartosz Kochanowski</v>
      </c>
      <c r="G359" s="723"/>
      <c r="H359" s="723"/>
      <c r="I359" s="102" t="s">
        <v>6581</v>
      </c>
      <c r="J359" s="103" t="str">
        <f>Wprowadzenie!I289</f>
        <v>Członek Zarządu</v>
      </c>
      <c r="K359" s="103"/>
      <c r="L359" s="103"/>
    </row>
    <row r="360" spans="3:12">
      <c r="C360" s="72"/>
      <c r="D360" s="72"/>
      <c r="E360" s="72"/>
      <c r="F360" s="723" t="str">
        <f>Wprowadzenie!E290</f>
        <v>Artur Kostrzewski</v>
      </c>
      <c r="G360" s="723"/>
      <c r="H360" s="723"/>
      <c r="I360" s="102" t="s">
        <v>6581</v>
      </c>
      <c r="J360" s="103" t="str">
        <f>Wprowadzenie!I290</f>
        <v>Członek Zarządu</v>
      </c>
      <c r="K360" s="103"/>
      <c r="L360" s="272"/>
    </row>
    <row r="361" spans="3:12">
      <c r="C361" s="72"/>
      <c r="D361" s="72"/>
      <c r="E361" s="72"/>
      <c r="F361" s="723">
        <f>Wprowadzenie!E291</f>
        <v>0</v>
      </c>
      <c r="G361" s="723"/>
      <c r="H361" s="723"/>
      <c r="I361" s="102" t="s">
        <v>6581</v>
      </c>
      <c r="J361" s="103">
        <f>Wprowadzenie!I291</f>
        <v>0</v>
      </c>
      <c r="K361" s="103"/>
      <c r="L361" s="272"/>
    </row>
    <row r="364" spans="3:12" ht="27.75" customHeight="1"/>
  </sheetData>
  <mergeCells count="475">
    <mergeCell ref="I174:L174"/>
    <mergeCell ref="J181:K181"/>
    <mergeCell ref="G182:H182"/>
    <mergeCell ref="J182:K182"/>
    <mergeCell ref="E185:F185"/>
    <mergeCell ref="J178:K178"/>
    <mergeCell ref="G179:H179"/>
    <mergeCell ref="C334:H334"/>
    <mergeCell ref="C335:H335"/>
    <mergeCell ref="G180:H180"/>
    <mergeCell ref="J180:K180"/>
    <mergeCell ref="I330:J330"/>
    <mergeCell ref="K330:L330"/>
    <mergeCell ref="I333:J333"/>
    <mergeCell ref="K333:L333"/>
    <mergeCell ref="C323:L323"/>
    <mergeCell ref="G325:H325"/>
    <mergeCell ref="I325:J325"/>
    <mergeCell ref="K325:L325"/>
    <mergeCell ref="G330:H330"/>
    <mergeCell ref="C328:F328"/>
    <mergeCell ref="C326:F326"/>
    <mergeCell ref="C329:F329"/>
    <mergeCell ref="C330:F330"/>
    <mergeCell ref="C338:H338"/>
    <mergeCell ref="C339:H339"/>
    <mergeCell ref="C340:H340"/>
    <mergeCell ref="I332:J332"/>
    <mergeCell ref="K332:L332"/>
    <mergeCell ref="I337:J337"/>
    <mergeCell ref="G9:L9"/>
    <mergeCell ref="G10:L10"/>
    <mergeCell ref="C9:F9"/>
    <mergeCell ref="C10:F10"/>
    <mergeCell ref="G33:L33"/>
    <mergeCell ref="G34:L34"/>
    <mergeCell ref="C34:F34"/>
    <mergeCell ref="C33:F33"/>
    <mergeCell ref="K328:L328"/>
    <mergeCell ref="G174:H175"/>
    <mergeCell ref="C179:F179"/>
    <mergeCell ref="C192:F192"/>
    <mergeCell ref="C197:F197"/>
    <mergeCell ref="G197:H197"/>
    <mergeCell ref="G196:H196"/>
    <mergeCell ref="J196:K196"/>
    <mergeCell ref="I340:J340"/>
    <mergeCell ref="K340:L340"/>
    <mergeCell ref="K344:L344"/>
    <mergeCell ref="K345:L345"/>
    <mergeCell ref="K346:L346"/>
    <mergeCell ref="K343:L343"/>
    <mergeCell ref="C344:H344"/>
    <mergeCell ref="I344:J344"/>
    <mergeCell ref="C345:H345"/>
    <mergeCell ref="I345:J345"/>
    <mergeCell ref="C346:H346"/>
    <mergeCell ref="I346:J346"/>
    <mergeCell ref="I343:J343"/>
    <mergeCell ref="K326:L326"/>
    <mergeCell ref="G327:H327"/>
    <mergeCell ref="I327:J327"/>
    <mergeCell ref="K327:L327"/>
    <mergeCell ref="G328:H328"/>
    <mergeCell ref="I328:J328"/>
    <mergeCell ref="C325:F325"/>
    <mergeCell ref="C333:H333"/>
    <mergeCell ref="C327:F327"/>
    <mergeCell ref="C131:L131"/>
    <mergeCell ref="C152:D152"/>
    <mergeCell ref="C137:L137"/>
    <mergeCell ref="C141:L141"/>
    <mergeCell ref="C187:E187"/>
    <mergeCell ref="C182:F182"/>
    <mergeCell ref="J185:K185"/>
    <mergeCell ref="C185:D185"/>
    <mergeCell ref="C105:F107"/>
    <mergeCell ref="C109:F109"/>
    <mergeCell ref="C183:F183"/>
    <mergeCell ref="C184:F184"/>
    <mergeCell ref="J177:K177"/>
    <mergeCell ref="J109:K109"/>
    <mergeCell ref="C108:F108"/>
    <mergeCell ref="G108:H108"/>
    <mergeCell ref="J108:K108"/>
    <mergeCell ref="C145:L145"/>
    <mergeCell ref="C135:L135"/>
    <mergeCell ref="C139:L139"/>
    <mergeCell ref="C143:L143"/>
    <mergeCell ref="C125:L125"/>
    <mergeCell ref="C181:F181"/>
    <mergeCell ref="J179:K179"/>
    <mergeCell ref="C48:H48"/>
    <mergeCell ref="C49:H49"/>
    <mergeCell ref="B66:L66"/>
    <mergeCell ref="C63:L64"/>
    <mergeCell ref="C194:F194"/>
    <mergeCell ref="G194:H194"/>
    <mergeCell ref="J197:K197"/>
    <mergeCell ref="G190:H191"/>
    <mergeCell ref="I190:L190"/>
    <mergeCell ref="J191:K191"/>
    <mergeCell ref="J161:K161"/>
    <mergeCell ref="C111:D111"/>
    <mergeCell ref="E111:F111"/>
    <mergeCell ref="C113:E113"/>
    <mergeCell ref="C169:L169"/>
    <mergeCell ref="G151:H151"/>
    <mergeCell ref="G152:H152"/>
    <mergeCell ref="C115:F117"/>
    <mergeCell ref="G115:L115"/>
    <mergeCell ref="C171:E171"/>
    <mergeCell ref="C157:L157"/>
    <mergeCell ref="J120:K120"/>
    <mergeCell ref="C133:L133"/>
    <mergeCell ref="C127:L127"/>
    <mergeCell ref="K55:L55"/>
    <mergeCell ref="C56:H56"/>
    <mergeCell ref="K56:L56"/>
    <mergeCell ref="C50:H50"/>
    <mergeCell ref="I50:J50"/>
    <mergeCell ref="K50:L50"/>
    <mergeCell ref="C70:L70"/>
    <mergeCell ref="K53:L53"/>
    <mergeCell ref="C53:H53"/>
    <mergeCell ref="I53:J53"/>
    <mergeCell ref="C97:L97"/>
    <mergeCell ref="G150:H150"/>
    <mergeCell ref="J111:K111"/>
    <mergeCell ref="C47:H47"/>
    <mergeCell ref="C62:L62"/>
    <mergeCell ref="C46:H46"/>
    <mergeCell ref="C51:H51"/>
    <mergeCell ref="I47:J47"/>
    <mergeCell ref="K47:L47"/>
    <mergeCell ref="C52:H52"/>
    <mergeCell ref="C55:H55"/>
    <mergeCell ref="K52:L52"/>
    <mergeCell ref="I55:J55"/>
    <mergeCell ref="I52:J52"/>
    <mergeCell ref="C54:H54"/>
    <mergeCell ref="I54:J54"/>
    <mergeCell ref="K54:L54"/>
    <mergeCell ref="I48:J48"/>
    <mergeCell ref="K48:L48"/>
    <mergeCell ref="I49:J49"/>
    <mergeCell ref="K49:L49"/>
    <mergeCell ref="K51:L51"/>
    <mergeCell ref="B59:L59"/>
    <mergeCell ref="I56:J56"/>
    <mergeCell ref="F361:H361"/>
    <mergeCell ref="F357:H357"/>
    <mergeCell ref="G184:H184"/>
    <mergeCell ref="J184:K184"/>
    <mergeCell ref="F359:H359"/>
    <mergeCell ref="F360:H360"/>
    <mergeCell ref="E152:F152"/>
    <mergeCell ref="G149:H149"/>
    <mergeCell ref="C123:L123"/>
    <mergeCell ref="C129:L129"/>
    <mergeCell ref="J150:K150"/>
    <mergeCell ref="J151:K151"/>
    <mergeCell ref="C147:E147"/>
    <mergeCell ref="J149:K149"/>
    <mergeCell ref="G164:H164"/>
    <mergeCell ref="J164:K164"/>
    <mergeCell ref="J198:K198"/>
    <mergeCell ref="C199:F199"/>
    <mergeCell ref="G199:H199"/>
    <mergeCell ref="J199:K199"/>
    <mergeCell ref="C200:F200"/>
    <mergeCell ref="G200:H200"/>
    <mergeCell ref="C294:L294"/>
    <mergeCell ref="C167:L167"/>
    <mergeCell ref="G177:H177"/>
    <mergeCell ref="G106:H107"/>
    <mergeCell ref="C101:L101"/>
    <mergeCell ref="K45:L45"/>
    <mergeCell ref="C45:H45"/>
    <mergeCell ref="C154:L154"/>
    <mergeCell ref="C156:L156"/>
    <mergeCell ref="I51:J51"/>
    <mergeCell ref="G189:L189"/>
    <mergeCell ref="G116:H117"/>
    <mergeCell ref="C89:L89"/>
    <mergeCell ref="E164:F164"/>
    <mergeCell ref="C159:E159"/>
    <mergeCell ref="G118:H118"/>
    <mergeCell ref="J118:K118"/>
    <mergeCell ref="C119:F119"/>
    <mergeCell ref="G119:H119"/>
    <mergeCell ref="J119:K119"/>
    <mergeCell ref="C71:L71"/>
    <mergeCell ref="C72:L72"/>
    <mergeCell ref="C73:L73"/>
    <mergeCell ref="C75:L75"/>
    <mergeCell ref="C93:L93"/>
    <mergeCell ref="J107:K107"/>
    <mergeCell ref="B349:L349"/>
    <mergeCell ref="C351:L351"/>
    <mergeCell ref="C353:L353"/>
    <mergeCell ref="C352:L352"/>
    <mergeCell ref="C266:L266"/>
    <mergeCell ref="C207:L207"/>
    <mergeCell ref="C216:L216"/>
    <mergeCell ref="C248:L248"/>
    <mergeCell ref="C264:L264"/>
    <mergeCell ref="C218:L218"/>
    <mergeCell ref="G326:H326"/>
    <mergeCell ref="I326:J326"/>
    <mergeCell ref="K337:L337"/>
    <mergeCell ref="I334:J334"/>
    <mergeCell ref="K334:L334"/>
    <mergeCell ref="I335:J335"/>
    <mergeCell ref="K335:L335"/>
    <mergeCell ref="I338:J338"/>
    <mergeCell ref="K338:L338"/>
    <mergeCell ref="I339:J339"/>
    <mergeCell ref="K339:L339"/>
    <mergeCell ref="G329:H329"/>
    <mergeCell ref="I329:J329"/>
    <mergeCell ref="K329:L329"/>
    <mergeCell ref="C95:L95"/>
    <mergeCell ref="C121:D121"/>
    <mergeCell ref="C118:F118"/>
    <mergeCell ref="C85:L85"/>
    <mergeCell ref="C79:L79"/>
    <mergeCell ref="C110:F110"/>
    <mergeCell ref="G110:H110"/>
    <mergeCell ref="J110:K110"/>
    <mergeCell ref="G111:H111"/>
    <mergeCell ref="I116:L116"/>
    <mergeCell ref="G121:H121"/>
    <mergeCell ref="J121:K121"/>
    <mergeCell ref="C120:F120"/>
    <mergeCell ref="G120:H120"/>
    <mergeCell ref="E121:F121"/>
    <mergeCell ref="C83:L83"/>
    <mergeCell ref="C87:L87"/>
    <mergeCell ref="I106:L106"/>
    <mergeCell ref="C91:L91"/>
    <mergeCell ref="G105:L105"/>
    <mergeCell ref="C99:L99"/>
    <mergeCell ref="C103:E103"/>
    <mergeCell ref="G109:H109"/>
    <mergeCell ref="J117:K117"/>
    <mergeCell ref="C250:L250"/>
    <mergeCell ref="J162:K162"/>
    <mergeCell ref="C163:D163"/>
    <mergeCell ref="E163:F163"/>
    <mergeCell ref="C203:L203"/>
    <mergeCell ref="C208:L208"/>
    <mergeCell ref="C205:L205"/>
    <mergeCell ref="G163:H163"/>
    <mergeCell ref="J163:K163"/>
    <mergeCell ref="C195:F195"/>
    <mergeCell ref="G195:H195"/>
    <mergeCell ref="J195:K195"/>
    <mergeCell ref="C196:F196"/>
    <mergeCell ref="C209:L209"/>
    <mergeCell ref="C177:F177"/>
    <mergeCell ref="C164:D164"/>
    <mergeCell ref="C211:L211"/>
    <mergeCell ref="G185:H185"/>
    <mergeCell ref="C180:F180"/>
    <mergeCell ref="G178:H178"/>
    <mergeCell ref="G183:H183"/>
    <mergeCell ref="J183:K183"/>
    <mergeCell ref="G181:H181"/>
    <mergeCell ref="J200:K200"/>
    <mergeCell ref="B1:K1"/>
    <mergeCell ref="B4:L4"/>
    <mergeCell ref="C22:F22"/>
    <mergeCell ref="G22:H22"/>
    <mergeCell ref="I22:J22"/>
    <mergeCell ref="C23:F23"/>
    <mergeCell ref="G23:H23"/>
    <mergeCell ref="I23:J23"/>
    <mergeCell ref="C17:F17"/>
    <mergeCell ref="G17:H17"/>
    <mergeCell ref="C7:L7"/>
    <mergeCell ref="C14:L14"/>
    <mergeCell ref="G16:H16"/>
    <mergeCell ref="C6:L6"/>
    <mergeCell ref="C16:F16"/>
    <mergeCell ref="G18:H18"/>
    <mergeCell ref="I16:K16"/>
    <mergeCell ref="I17:K17"/>
    <mergeCell ref="C18:F18"/>
    <mergeCell ref="C24:F24"/>
    <mergeCell ref="G24:H24"/>
    <mergeCell ref="I24:J24"/>
    <mergeCell ref="C25:F25"/>
    <mergeCell ref="G25:H25"/>
    <mergeCell ref="I25:J25"/>
    <mergeCell ref="K46:L46"/>
    <mergeCell ref="G38:H38"/>
    <mergeCell ref="I38:K38"/>
    <mergeCell ref="C39:F39"/>
    <mergeCell ref="G39:H39"/>
    <mergeCell ref="I39:K39"/>
    <mergeCell ref="C38:F38"/>
    <mergeCell ref="C27:L27"/>
    <mergeCell ref="C31:L31"/>
    <mergeCell ref="C43:L43"/>
    <mergeCell ref="C29:L29"/>
    <mergeCell ref="I45:J45"/>
    <mergeCell ref="I46:J46"/>
    <mergeCell ref="C40:F40"/>
    <mergeCell ref="G40:H40"/>
    <mergeCell ref="I40:K40"/>
    <mergeCell ref="C41:F41"/>
    <mergeCell ref="G41:H41"/>
    <mergeCell ref="C77:L77"/>
    <mergeCell ref="C69:L69"/>
    <mergeCell ref="C81:L81"/>
    <mergeCell ref="C61:L61"/>
    <mergeCell ref="C151:D151"/>
    <mergeCell ref="E149:F149"/>
    <mergeCell ref="E150:F150"/>
    <mergeCell ref="E151:F151"/>
    <mergeCell ref="C178:F178"/>
    <mergeCell ref="C176:F176"/>
    <mergeCell ref="G173:L173"/>
    <mergeCell ref="C173:F175"/>
    <mergeCell ref="C149:D149"/>
    <mergeCell ref="C150:D150"/>
    <mergeCell ref="E162:F162"/>
    <mergeCell ref="G162:H162"/>
    <mergeCell ref="J175:K175"/>
    <mergeCell ref="G176:H176"/>
    <mergeCell ref="J176:K176"/>
    <mergeCell ref="C162:D162"/>
    <mergeCell ref="C161:D161"/>
    <mergeCell ref="E161:F161"/>
    <mergeCell ref="G161:H161"/>
    <mergeCell ref="J152:K152"/>
    <mergeCell ref="C213:L213"/>
    <mergeCell ref="C214:L214"/>
    <mergeCell ref="C220:L220"/>
    <mergeCell ref="C221:L221"/>
    <mergeCell ref="C222:L222"/>
    <mergeCell ref="C223:L223"/>
    <mergeCell ref="C224:L224"/>
    <mergeCell ref="C225:L225"/>
    <mergeCell ref="C189:F191"/>
    <mergeCell ref="C212:L212"/>
    <mergeCell ref="C210:L210"/>
    <mergeCell ref="G193:H193"/>
    <mergeCell ref="J193:K193"/>
    <mergeCell ref="J192:K192"/>
    <mergeCell ref="G192:H192"/>
    <mergeCell ref="C201:D201"/>
    <mergeCell ref="E201:F201"/>
    <mergeCell ref="G201:H201"/>
    <mergeCell ref="J201:K201"/>
    <mergeCell ref="C198:F198"/>
    <mergeCell ref="G198:H198"/>
    <mergeCell ref="J194:K194"/>
    <mergeCell ref="C193:F193"/>
    <mergeCell ref="C227:L227"/>
    <mergeCell ref="C247:D247"/>
    <mergeCell ref="E240:G240"/>
    <mergeCell ref="H240:I240"/>
    <mergeCell ref="J240:K240"/>
    <mergeCell ref="E241:G241"/>
    <mergeCell ref="C228:L228"/>
    <mergeCell ref="C229:L229"/>
    <mergeCell ref="C231:L231"/>
    <mergeCell ref="C238:D239"/>
    <mergeCell ref="E238:G238"/>
    <mergeCell ref="E239:G239"/>
    <mergeCell ref="H238:I238"/>
    <mergeCell ref="H239:I239"/>
    <mergeCell ref="J238:L238"/>
    <mergeCell ref="J239:K239"/>
    <mergeCell ref="C243:D243"/>
    <mergeCell ref="E245:G245"/>
    <mergeCell ref="H245:I245"/>
    <mergeCell ref="J245:K245"/>
    <mergeCell ref="E246:G246"/>
    <mergeCell ref="H246:I246"/>
    <mergeCell ref="J246:K246"/>
    <mergeCell ref="E243:G243"/>
    <mergeCell ref="R230:AA230"/>
    <mergeCell ref="R231:AA231"/>
    <mergeCell ref="R232:AA232"/>
    <mergeCell ref="R238:AA238"/>
    <mergeCell ref="R239:AA239"/>
    <mergeCell ref="R240:AA240"/>
    <mergeCell ref="R241:AA241"/>
    <mergeCell ref="R242:AA242"/>
    <mergeCell ref="R243:AA243"/>
    <mergeCell ref="H243:I243"/>
    <mergeCell ref="J243:K243"/>
    <mergeCell ref="E244:G244"/>
    <mergeCell ref="H244:I244"/>
    <mergeCell ref="J244:K244"/>
    <mergeCell ref="C244:D244"/>
    <mergeCell ref="C245:D245"/>
    <mergeCell ref="C246:D246"/>
    <mergeCell ref="C233:L233"/>
    <mergeCell ref="D234:E234"/>
    <mergeCell ref="D235:E235"/>
    <mergeCell ref="D236:E236"/>
    <mergeCell ref="H241:I241"/>
    <mergeCell ref="J241:K241"/>
    <mergeCell ref="E242:G242"/>
    <mergeCell ref="H242:I242"/>
    <mergeCell ref="J242:K242"/>
    <mergeCell ref="C240:D240"/>
    <mergeCell ref="C241:D241"/>
    <mergeCell ref="C242:D242"/>
    <mergeCell ref="C251:L251"/>
    <mergeCell ref="C252:L252"/>
    <mergeCell ref="C253:L253"/>
    <mergeCell ref="C254:L254"/>
    <mergeCell ref="C255:L255"/>
    <mergeCell ref="C256:L256"/>
    <mergeCell ref="C258:L258"/>
    <mergeCell ref="C260:L260"/>
    <mergeCell ref="C262:L262"/>
    <mergeCell ref="C292:L292"/>
    <mergeCell ref="B285:L286"/>
    <mergeCell ref="C268:L268"/>
    <mergeCell ref="C269:L269"/>
    <mergeCell ref="C270:L270"/>
    <mergeCell ref="C271:L271"/>
    <mergeCell ref="C272:L272"/>
    <mergeCell ref="C274:L274"/>
    <mergeCell ref="C276:L276"/>
    <mergeCell ref="C278:L278"/>
    <mergeCell ref="C280:L280"/>
    <mergeCell ref="C281:L281"/>
    <mergeCell ref="C282:L282"/>
    <mergeCell ref="C283:L283"/>
    <mergeCell ref="C284:L284"/>
    <mergeCell ref="B287:L287"/>
    <mergeCell ref="C290:L290"/>
    <mergeCell ref="C296:L296"/>
    <mergeCell ref="C297:H297"/>
    <mergeCell ref="C298:L298"/>
    <mergeCell ref="C304:L304"/>
    <mergeCell ref="C306:L306"/>
    <mergeCell ref="J316:K316"/>
    <mergeCell ref="J317:K317"/>
    <mergeCell ref="J318:K318"/>
    <mergeCell ref="J319:K319"/>
    <mergeCell ref="C309:L309"/>
    <mergeCell ref="C311:L311"/>
    <mergeCell ref="C313:F314"/>
    <mergeCell ref="G313:L313"/>
    <mergeCell ref="C315:F315"/>
    <mergeCell ref="C303:L303"/>
    <mergeCell ref="C299:L299"/>
    <mergeCell ref="C305:L305"/>
    <mergeCell ref="C307:L307"/>
    <mergeCell ref="C300:L300"/>
    <mergeCell ref="C301:L301"/>
    <mergeCell ref="C302:L302"/>
    <mergeCell ref="P300:Y300"/>
    <mergeCell ref="G320:H320"/>
    <mergeCell ref="J320:K320"/>
    <mergeCell ref="C316:F316"/>
    <mergeCell ref="C317:F317"/>
    <mergeCell ref="C318:F318"/>
    <mergeCell ref="C319:F319"/>
    <mergeCell ref="G314:H314"/>
    <mergeCell ref="J314:K314"/>
    <mergeCell ref="G315:H315"/>
    <mergeCell ref="G316:H316"/>
    <mergeCell ref="G317:H317"/>
    <mergeCell ref="G318:H318"/>
    <mergeCell ref="G319:H319"/>
    <mergeCell ref="J315:K315"/>
  </mergeCells>
  <phoneticPr fontId="0" type="noConversion"/>
  <dataValidations disablePrompts="1" count="1">
    <dataValidation type="list" allowBlank="1" showInputMessage="1" showErrorMessage="1" sqref="E239:G239" xr:uid="{00000000-0002-0000-2F00-000000000000}">
      <formula1>"EUR,USD,CHF,CZK,GBP"</formula1>
    </dataValidation>
  </dataValidations>
  <hyperlinks>
    <hyperlink ref="B1:K1" location="'spis treści'!A1" display="SPIS TREŚCI" xr:uid="{00000000-0004-0000-2F00-000000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8-11</oddFooter>
  </headerFooter>
  <rowBreaks count="8" manualBreakCount="8">
    <brk id="41" min="1" max="11" man="1"/>
    <brk id="85" min="1" max="11" man="1"/>
    <brk id="165" min="1" max="11" man="1"/>
    <brk id="201" min="1" max="11" man="1"/>
    <brk id="231" min="1" max="11" man="1"/>
    <brk id="262" min="1" max="11" man="1"/>
    <brk id="303" min="1" max="11" man="1"/>
    <brk id="330" min="1" max="11"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31"/>
  <dimension ref="B1:AB244"/>
  <sheetViews>
    <sheetView showGridLines="0" view="pageBreakPreview" zoomScaleNormal="100" zoomScaleSheetLayoutView="100" workbookViewId="0"/>
  </sheetViews>
  <sheetFormatPr defaultColWidth="9.140625" defaultRowHeight="12.75"/>
  <cols>
    <col min="1" max="1" width="9.140625" style="66"/>
    <col min="2" max="2" width="3.42578125" style="66" customWidth="1"/>
    <col min="3" max="3" width="4.85546875" style="66" customWidth="1"/>
    <col min="4" max="4" width="2" style="66" customWidth="1"/>
    <col min="5" max="6" width="3.7109375" style="66" customWidth="1"/>
    <col min="7" max="7" width="2.85546875" style="66" customWidth="1"/>
    <col min="8" max="8" width="3.7109375" style="66" customWidth="1"/>
    <col min="9" max="9" width="10.7109375" style="66" customWidth="1"/>
    <col min="10" max="10" width="3.7109375" style="66" customWidth="1"/>
    <col min="11" max="11" width="2.85546875" style="66" customWidth="1"/>
    <col min="12" max="12" width="5.7109375" style="66" customWidth="1"/>
    <col min="13" max="15" width="3.7109375" style="66" customWidth="1"/>
    <col min="16" max="17" width="3.5703125" style="66" customWidth="1"/>
    <col min="18" max="19" width="3.7109375" style="66" customWidth="1"/>
    <col min="20" max="21" width="3.5703125" style="66" customWidth="1"/>
    <col min="22" max="22" width="3.7109375" style="66" customWidth="1"/>
    <col min="23" max="23" width="9.140625" style="66"/>
    <col min="24" max="24" width="11.7109375" style="66" customWidth="1"/>
    <col min="25" max="16384" width="9.140625" style="66"/>
  </cols>
  <sheetData>
    <row r="1" spans="2:28">
      <c r="B1" s="749" t="s">
        <v>3202</v>
      </c>
      <c r="C1" s="749"/>
      <c r="D1" s="749"/>
      <c r="E1" s="749"/>
      <c r="F1" s="749"/>
      <c r="G1" s="749"/>
      <c r="H1" s="749"/>
      <c r="I1" s="749"/>
      <c r="J1" s="749"/>
      <c r="K1" s="749"/>
      <c r="L1" s="749"/>
      <c r="M1" s="749"/>
      <c r="N1" s="749"/>
      <c r="O1" s="749"/>
      <c r="P1" s="749"/>
      <c r="Q1" s="749"/>
      <c r="R1" s="749"/>
      <c r="S1" s="749"/>
      <c r="T1" s="749"/>
      <c r="U1" s="749"/>
      <c r="V1" s="749"/>
    </row>
    <row r="2" spans="2:28" s="561" customFormat="1" ht="75.75" customHeight="1">
      <c r="B2" s="559"/>
      <c r="C2" s="560"/>
      <c r="F2" s="560"/>
      <c r="I2" s="560"/>
    </row>
    <row r="3" spans="2:28" s="565" customFormat="1">
      <c r="B3" s="562"/>
      <c r="C3" s="563"/>
      <c r="D3" s="563"/>
      <c r="E3" s="563"/>
      <c r="F3" s="563"/>
      <c r="G3" s="563"/>
      <c r="H3" s="563"/>
      <c r="I3" s="563"/>
      <c r="J3" s="563"/>
      <c r="K3" s="563"/>
      <c r="L3" s="563"/>
      <c r="M3" s="563"/>
      <c r="N3" s="563"/>
      <c r="O3" s="563"/>
      <c r="P3" s="563"/>
      <c r="Q3" s="563"/>
      <c r="R3" s="563"/>
      <c r="S3" s="563"/>
      <c r="T3" s="563"/>
      <c r="U3" s="563"/>
      <c r="V3" s="564"/>
      <c r="Y3" s="566"/>
      <c r="Z3" s="566"/>
      <c r="AA3" s="566"/>
      <c r="AB3" s="566"/>
    </row>
    <row r="4" spans="2:28" s="565" customFormat="1">
      <c r="B4" s="562"/>
      <c r="C4" s="563"/>
      <c r="D4" s="563"/>
      <c r="E4" s="563"/>
      <c r="F4" s="563"/>
      <c r="G4" s="563"/>
      <c r="H4" s="563"/>
      <c r="I4" s="563"/>
      <c r="J4" s="563"/>
      <c r="K4" s="563"/>
      <c r="L4" s="563"/>
      <c r="M4" s="563"/>
      <c r="N4" s="563"/>
      <c r="O4" s="563"/>
      <c r="P4" s="563"/>
      <c r="Q4" s="563"/>
      <c r="R4" s="563"/>
      <c r="S4" s="563"/>
      <c r="T4" s="563"/>
      <c r="U4" s="563"/>
      <c r="V4" s="564"/>
      <c r="W4" s="567"/>
      <c r="Y4" s="566"/>
      <c r="Z4" s="566"/>
      <c r="AA4" s="566"/>
      <c r="AB4" s="566"/>
    </row>
    <row r="5" spans="2:28" s="565" customFormat="1">
      <c r="B5" s="562"/>
      <c r="C5" s="563"/>
      <c r="D5" s="563"/>
      <c r="E5" s="563"/>
      <c r="F5" s="563"/>
      <c r="G5" s="563"/>
      <c r="H5" s="563"/>
      <c r="I5" s="563"/>
      <c r="J5" s="563"/>
      <c r="K5" s="563"/>
      <c r="L5" s="563"/>
      <c r="M5" s="563"/>
      <c r="N5" s="563"/>
      <c r="O5" s="563"/>
      <c r="P5" s="563"/>
      <c r="Q5" s="563"/>
      <c r="R5" s="563"/>
      <c r="S5" s="563"/>
      <c r="T5" s="563"/>
      <c r="U5" s="563"/>
      <c r="V5" s="564"/>
      <c r="Y5" s="566"/>
      <c r="Z5" s="566"/>
      <c r="AA5" s="566"/>
      <c r="AB5" s="566"/>
    </row>
    <row r="6" spans="2:28" s="565" customFormat="1">
      <c r="B6" s="562"/>
      <c r="C6" s="563"/>
      <c r="D6" s="563"/>
      <c r="E6" s="563"/>
      <c r="F6" s="563"/>
      <c r="G6" s="563"/>
      <c r="H6" s="563"/>
      <c r="I6" s="563"/>
      <c r="J6" s="563"/>
      <c r="K6" s="563"/>
      <c r="L6" s="563"/>
      <c r="M6" s="563"/>
      <c r="N6" s="563"/>
      <c r="O6" s="563"/>
      <c r="P6" s="563"/>
      <c r="Q6" s="563"/>
      <c r="R6" s="563"/>
      <c r="S6" s="563"/>
      <c r="T6" s="563"/>
      <c r="U6" s="563"/>
      <c r="V6" s="564"/>
      <c r="Y6" s="566"/>
      <c r="Z6" s="566"/>
      <c r="AA6" s="566"/>
      <c r="AB6" s="566"/>
    </row>
    <row r="7" spans="2:28" s="565" customFormat="1">
      <c r="B7" s="562"/>
      <c r="C7" s="563"/>
      <c r="D7" s="563"/>
      <c r="E7" s="563"/>
      <c r="F7" s="563"/>
      <c r="G7" s="563"/>
      <c r="H7" s="563"/>
      <c r="I7" s="563"/>
      <c r="J7" s="563"/>
      <c r="K7" s="563"/>
      <c r="L7" s="563"/>
      <c r="M7" s="563"/>
      <c r="N7" s="563"/>
      <c r="O7" s="563"/>
      <c r="P7" s="563"/>
      <c r="Q7" s="563"/>
      <c r="R7" s="563"/>
      <c r="S7" s="563"/>
      <c r="T7" s="563"/>
      <c r="U7" s="563"/>
      <c r="V7" s="564"/>
      <c r="Y7" s="566"/>
      <c r="Z7" s="566"/>
      <c r="AA7" s="566"/>
      <c r="AB7" s="566"/>
    </row>
    <row r="8" spans="2:28" s="565" customFormat="1">
      <c r="B8" s="562"/>
      <c r="C8" s="563"/>
      <c r="D8" s="563"/>
      <c r="E8" s="563"/>
      <c r="F8" s="563"/>
      <c r="G8" s="563"/>
      <c r="H8" s="563"/>
      <c r="I8" s="563"/>
      <c r="J8" s="563"/>
      <c r="K8" s="563"/>
      <c r="L8" s="563"/>
      <c r="M8" s="563"/>
      <c r="N8" s="563"/>
      <c r="O8" s="563"/>
      <c r="P8" s="563"/>
      <c r="Q8" s="563"/>
      <c r="R8" s="563"/>
      <c r="S8" s="563"/>
      <c r="T8" s="563"/>
      <c r="U8" s="563"/>
      <c r="V8" s="564"/>
      <c r="Y8" s="566"/>
      <c r="Z8" s="566"/>
      <c r="AA8" s="566"/>
      <c r="AB8" s="566"/>
    </row>
    <row r="9" spans="2:28" s="565" customFormat="1">
      <c r="B9" s="562"/>
      <c r="C9" s="563"/>
      <c r="D9" s="563"/>
      <c r="E9" s="563"/>
      <c r="F9" s="563"/>
      <c r="G9" s="563"/>
      <c r="H9" s="563"/>
      <c r="I9" s="563"/>
      <c r="J9" s="563"/>
      <c r="K9" s="563"/>
      <c r="L9" s="563"/>
      <c r="M9" s="563"/>
      <c r="N9" s="563"/>
      <c r="O9" s="563"/>
      <c r="P9" s="563"/>
      <c r="Q9" s="563"/>
      <c r="R9" s="563"/>
      <c r="S9" s="563"/>
      <c r="T9" s="563"/>
      <c r="U9" s="563"/>
      <c r="V9" s="564"/>
      <c r="Y9" s="566"/>
      <c r="Z9" s="566"/>
      <c r="AA9" s="566"/>
      <c r="AB9" s="566"/>
    </row>
    <row r="10" spans="2:28" s="565" customFormat="1">
      <c r="B10" s="562"/>
      <c r="C10" s="563"/>
      <c r="D10" s="563"/>
      <c r="E10" s="563"/>
      <c r="F10" s="563"/>
      <c r="G10" s="563"/>
      <c r="H10" s="563"/>
      <c r="I10" s="563"/>
      <c r="J10" s="563"/>
      <c r="K10" s="563"/>
      <c r="L10" s="563"/>
      <c r="M10" s="563"/>
      <c r="N10" s="563"/>
      <c r="O10" s="563"/>
      <c r="P10" s="563"/>
      <c r="Q10" s="563"/>
      <c r="R10" s="563"/>
      <c r="S10" s="563"/>
      <c r="T10" s="563"/>
      <c r="U10" s="563"/>
      <c r="V10" s="564"/>
      <c r="Y10" s="566"/>
      <c r="Z10" s="566"/>
      <c r="AA10" s="566"/>
      <c r="AB10" s="566"/>
    </row>
    <row r="11" spans="2:28" s="565" customFormat="1">
      <c r="B11" s="562"/>
      <c r="C11" s="563"/>
      <c r="D11" s="563"/>
      <c r="E11" s="563"/>
      <c r="F11" s="563"/>
      <c r="G11" s="563"/>
      <c r="H11" s="563"/>
      <c r="I11" s="563"/>
      <c r="J11" s="563"/>
      <c r="K11" s="563"/>
      <c r="L11" s="563"/>
      <c r="M11" s="563"/>
      <c r="N11" s="563"/>
      <c r="O11" s="563"/>
      <c r="P11" s="563"/>
      <c r="Q11" s="563"/>
      <c r="R11" s="563"/>
      <c r="S11" s="563"/>
      <c r="T11" s="563"/>
      <c r="U11" s="563"/>
      <c r="V11" s="564"/>
      <c r="Y11" s="566"/>
      <c r="Z11" s="566"/>
      <c r="AA11" s="566"/>
      <c r="AB11" s="566"/>
    </row>
    <row r="12" spans="2:28" s="565" customFormat="1">
      <c r="B12" s="562"/>
      <c r="C12" s="563"/>
      <c r="D12" s="563"/>
      <c r="E12" s="563"/>
      <c r="F12" s="563"/>
      <c r="G12" s="563"/>
      <c r="H12" s="563"/>
      <c r="I12" s="563"/>
      <c r="J12" s="563"/>
      <c r="K12" s="563"/>
      <c r="L12" s="563"/>
      <c r="M12" s="563"/>
      <c r="N12" s="563"/>
      <c r="O12" s="563"/>
      <c r="P12" s="563"/>
      <c r="Q12" s="563"/>
      <c r="R12" s="563"/>
      <c r="S12" s="563"/>
      <c r="T12" s="563"/>
      <c r="U12" s="563"/>
      <c r="V12" s="564"/>
      <c r="Y12" s="566"/>
      <c r="Z12" s="566"/>
      <c r="AA12" s="566"/>
      <c r="AB12" s="566"/>
    </row>
    <row r="13" spans="2:28" s="565" customFormat="1">
      <c r="B13" s="562"/>
      <c r="C13" s="563"/>
      <c r="D13" s="563"/>
      <c r="E13" s="563"/>
      <c r="F13" s="563"/>
      <c r="G13" s="563"/>
      <c r="H13" s="563"/>
      <c r="I13" s="563"/>
      <c r="J13" s="563"/>
      <c r="K13" s="563"/>
      <c r="L13" s="563"/>
      <c r="M13" s="563"/>
      <c r="N13" s="563"/>
      <c r="O13" s="563"/>
      <c r="P13" s="563"/>
      <c r="Q13" s="563"/>
      <c r="R13" s="563"/>
      <c r="S13" s="563"/>
      <c r="T13" s="563"/>
      <c r="U13" s="563"/>
      <c r="V13" s="564"/>
      <c r="Y13" s="566"/>
      <c r="Z13" s="566"/>
      <c r="AA13" s="566"/>
      <c r="AB13" s="566"/>
    </row>
    <row r="14" spans="2:28" s="565" customFormat="1">
      <c r="B14" s="562"/>
      <c r="C14" s="563"/>
      <c r="D14" s="563"/>
      <c r="E14" s="563"/>
      <c r="F14" s="563"/>
      <c r="G14" s="563"/>
      <c r="H14" s="563"/>
      <c r="I14" s="563"/>
      <c r="J14" s="563"/>
      <c r="K14" s="563"/>
      <c r="L14" s="563"/>
      <c r="M14" s="563"/>
      <c r="N14" s="563"/>
      <c r="O14" s="563"/>
      <c r="P14" s="563"/>
      <c r="Q14" s="563"/>
      <c r="R14" s="563"/>
      <c r="S14" s="563"/>
      <c r="T14" s="563"/>
      <c r="U14" s="563"/>
      <c r="V14" s="564"/>
      <c r="Y14" s="566"/>
      <c r="Z14" s="566"/>
      <c r="AA14" s="566"/>
      <c r="AB14" s="566"/>
    </row>
    <row r="15" spans="2:28" s="565" customFormat="1">
      <c r="B15" s="562"/>
      <c r="C15" s="563"/>
      <c r="D15" s="563"/>
      <c r="E15" s="563"/>
      <c r="F15" s="563"/>
      <c r="G15" s="563"/>
      <c r="H15" s="563"/>
      <c r="I15" s="563"/>
      <c r="J15" s="563"/>
      <c r="K15" s="563"/>
      <c r="L15" s="563"/>
      <c r="M15" s="563"/>
      <c r="N15" s="563"/>
      <c r="O15" s="563"/>
      <c r="P15" s="563"/>
      <c r="Q15" s="563"/>
      <c r="R15" s="563"/>
      <c r="S15" s="563"/>
      <c r="T15" s="563"/>
      <c r="U15" s="563"/>
      <c r="V15" s="564"/>
      <c r="Y15" s="566"/>
      <c r="Z15" s="566"/>
      <c r="AA15" s="566"/>
      <c r="AB15" s="566"/>
    </row>
    <row r="16" spans="2:28" s="565" customFormat="1">
      <c r="B16" s="562"/>
      <c r="C16" s="563"/>
      <c r="D16" s="563"/>
      <c r="E16" s="563"/>
      <c r="F16" s="563"/>
      <c r="G16" s="563"/>
      <c r="H16" s="563"/>
      <c r="I16" s="563"/>
      <c r="J16" s="563"/>
      <c r="K16" s="563"/>
      <c r="L16" s="563"/>
      <c r="M16" s="563"/>
      <c r="N16" s="563"/>
      <c r="O16" s="563"/>
      <c r="P16" s="563"/>
      <c r="Q16" s="563"/>
      <c r="R16" s="563"/>
      <c r="S16" s="563"/>
      <c r="T16" s="563"/>
      <c r="U16" s="563"/>
      <c r="V16" s="564"/>
      <c r="Y16" s="566"/>
      <c r="Z16" s="566"/>
      <c r="AA16" s="566"/>
      <c r="AB16" s="566"/>
    </row>
    <row r="17" spans="2:28" s="565" customFormat="1">
      <c r="B17" s="562"/>
      <c r="C17" s="563"/>
      <c r="D17" s="563"/>
      <c r="E17" s="563"/>
      <c r="F17" s="563"/>
      <c r="G17" s="563"/>
      <c r="H17" s="563"/>
      <c r="I17" s="563"/>
      <c r="J17" s="563"/>
      <c r="K17" s="563"/>
      <c r="L17" s="563"/>
      <c r="M17" s="563"/>
      <c r="N17" s="563"/>
      <c r="O17" s="563"/>
      <c r="P17" s="563"/>
      <c r="Q17" s="563"/>
      <c r="R17" s="563"/>
      <c r="S17" s="563"/>
      <c r="T17" s="563"/>
      <c r="U17" s="563"/>
      <c r="V17" s="564"/>
      <c r="Y17" s="566"/>
      <c r="Z17" s="566"/>
      <c r="AA17" s="566"/>
      <c r="AB17" s="566"/>
    </row>
    <row r="18" spans="2:28" s="565" customFormat="1">
      <c r="B18" s="562"/>
      <c r="C18" s="563"/>
      <c r="D18" s="563"/>
      <c r="E18" s="563"/>
      <c r="F18" s="563"/>
      <c r="G18" s="563"/>
      <c r="H18" s="563"/>
      <c r="I18" s="563"/>
      <c r="J18" s="563"/>
      <c r="K18" s="563"/>
      <c r="L18" s="563"/>
      <c r="M18" s="563"/>
      <c r="N18" s="563"/>
      <c r="O18" s="563"/>
      <c r="P18" s="563"/>
      <c r="Q18" s="563"/>
      <c r="R18" s="563"/>
      <c r="S18" s="563"/>
      <c r="T18" s="563"/>
      <c r="U18" s="563"/>
      <c r="V18" s="564"/>
      <c r="Y18" s="566"/>
      <c r="Z18" s="566"/>
      <c r="AA18" s="566"/>
      <c r="AB18" s="566"/>
    </row>
    <row r="19" spans="2:28" s="565" customFormat="1">
      <c r="B19" s="562"/>
      <c r="C19" s="563"/>
      <c r="D19" s="563"/>
      <c r="E19" s="563"/>
      <c r="F19" s="563"/>
      <c r="G19" s="563"/>
      <c r="H19" s="563"/>
      <c r="I19" s="563"/>
      <c r="J19" s="563"/>
      <c r="K19" s="563"/>
      <c r="L19" s="563"/>
      <c r="M19" s="563"/>
      <c r="N19" s="563"/>
      <c r="O19" s="563"/>
      <c r="P19" s="563"/>
      <c r="Q19" s="563"/>
      <c r="R19" s="563"/>
      <c r="S19" s="563"/>
      <c r="T19" s="563"/>
      <c r="U19" s="563"/>
      <c r="V19" s="564"/>
      <c r="Y19" s="566"/>
      <c r="Z19" s="566"/>
      <c r="AA19" s="566"/>
      <c r="AB19" s="566"/>
    </row>
    <row r="20" spans="2:28" s="565" customFormat="1">
      <c r="B20" s="562"/>
      <c r="C20" s="563"/>
      <c r="D20" s="563"/>
      <c r="E20" s="563"/>
      <c r="F20" s="563"/>
      <c r="G20" s="563"/>
      <c r="H20" s="563"/>
      <c r="I20" s="563"/>
      <c r="J20" s="563"/>
      <c r="K20" s="563"/>
      <c r="L20" s="563"/>
      <c r="M20" s="563"/>
      <c r="N20" s="563"/>
      <c r="O20" s="563"/>
      <c r="P20" s="563"/>
      <c r="Q20" s="563"/>
      <c r="R20" s="563"/>
      <c r="S20" s="563"/>
      <c r="T20" s="563"/>
      <c r="U20" s="563"/>
      <c r="V20" s="564"/>
      <c r="Y20" s="566"/>
      <c r="Z20" s="566"/>
      <c r="AA20" s="566"/>
      <c r="AB20" s="566"/>
    </row>
    <row r="21" spans="2:28" s="565" customFormat="1">
      <c r="B21" s="562"/>
      <c r="C21" s="563"/>
      <c r="D21" s="563"/>
      <c r="E21" s="563"/>
      <c r="F21" s="563"/>
      <c r="G21" s="563"/>
      <c r="H21" s="1185" t="str">
        <f>CHOOSE(jezyk,n!A1475,n!B1475,n!C1475,n!D1471)</f>
        <v>SPRAWOZDANIE ZARZĄDU Z DZIAŁALNOŚCI JEDNOSTKI</v>
      </c>
      <c r="I21" s="1185"/>
      <c r="J21" s="1185"/>
      <c r="K21" s="1185"/>
      <c r="L21" s="1185"/>
      <c r="M21" s="1185"/>
      <c r="N21" s="1185"/>
      <c r="O21" s="1185"/>
      <c r="P21" s="1185"/>
      <c r="Q21" s="1185"/>
      <c r="R21" s="1185"/>
      <c r="S21" s="1185"/>
      <c r="T21" s="563"/>
      <c r="U21" s="563"/>
      <c r="V21" s="564"/>
      <c r="Y21" s="566"/>
      <c r="Z21" s="566"/>
      <c r="AA21" s="566"/>
      <c r="AB21" s="566"/>
    </row>
    <row r="22" spans="2:28" s="565" customFormat="1">
      <c r="B22" s="562"/>
      <c r="C22" s="563"/>
      <c r="D22" s="563"/>
      <c r="E22" s="563"/>
      <c r="F22" s="563"/>
      <c r="G22" s="563"/>
      <c r="H22" s="1186" t="str">
        <f>GA!D16</f>
        <v>Rhenus Digital Workforce Sp. z o.o.</v>
      </c>
      <c r="I22" s="1185"/>
      <c r="J22" s="1185"/>
      <c r="K22" s="1185"/>
      <c r="L22" s="1185"/>
      <c r="M22" s="1185"/>
      <c r="N22" s="1185"/>
      <c r="O22" s="1185"/>
      <c r="P22" s="1185"/>
      <c r="Q22" s="1185"/>
      <c r="R22" s="1185"/>
      <c r="S22" s="1185"/>
      <c r="T22" s="563"/>
      <c r="U22" s="563"/>
      <c r="V22" s="564"/>
      <c r="W22" s="567"/>
      <c r="Y22" s="566"/>
      <c r="Z22" s="566"/>
      <c r="AA22" s="566"/>
      <c r="AB22" s="566"/>
    </row>
    <row r="23" spans="2:28" s="565" customFormat="1">
      <c r="B23" s="562"/>
      <c r="C23" s="563"/>
      <c r="D23" s="563"/>
      <c r="E23" s="563"/>
      <c r="F23" s="563"/>
      <c r="G23" s="563"/>
      <c r="H23" s="1185" t="str">
        <f>CHOOSE(jezyk,n!A1476,n!B1476,n!C1476,n!D1472)</f>
        <v>ZA OKRES OD 01.01.2024 DO 31.12.2024</v>
      </c>
      <c r="I23" s="1185"/>
      <c r="J23" s="1185"/>
      <c r="K23" s="1185"/>
      <c r="L23" s="1185"/>
      <c r="M23" s="1185"/>
      <c r="N23" s="1185"/>
      <c r="O23" s="1185"/>
      <c r="P23" s="1185"/>
      <c r="Q23" s="1185"/>
      <c r="R23" s="1185"/>
      <c r="S23" s="1185"/>
      <c r="T23" s="563"/>
      <c r="U23" s="563"/>
      <c r="V23" s="564"/>
      <c r="Y23" s="566"/>
      <c r="Z23" s="566"/>
      <c r="AA23" s="566"/>
      <c r="AB23" s="566"/>
    </row>
    <row r="24" spans="2:28" s="565" customFormat="1">
      <c r="B24" s="562"/>
      <c r="C24" s="563"/>
      <c r="D24" s="563"/>
      <c r="E24" s="563"/>
      <c r="F24" s="563"/>
      <c r="G24" s="563"/>
      <c r="H24" s="563"/>
      <c r="I24" s="563"/>
      <c r="J24" s="563"/>
      <c r="K24" s="563"/>
      <c r="L24" s="563"/>
      <c r="M24" s="563"/>
      <c r="N24" s="563"/>
      <c r="O24" s="563"/>
      <c r="P24" s="563"/>
      <c r="Q24" s="563"/>
      <c r="R24" s="563"/>
      <c r="S24" s="563"/>
      <c r="T24" s="563"/>
      <c r="U24" s="563"/>
      <c r="V24" s="564"/>
      <c r="Y24" s="566"/>
      <c r="Z24" s="566"/>
      <c r="AA24" s="566"/>
      <c r="AB24" s="566"/>
    </row>
    <row r="25" spans="2:28" s="565" customFormat="1">
      <c r="B25" s="562"/>
      <c r="C25" s="563"/>
      <c r="D25" s="563"/>
      <c r="E25" s="563"/>
      <c r="F25" s="563"/>
      <c r="G25" s="563"/>
      <c r="H25" s="563"/>
      <c r="I25" s="563"/>
      <c r="J25" s="563"/>
      <c r="K25" s="563"/>
      <c r="L25" s="563"/>
      <c r="M25" s="563"/>
      <c r="N25" s="563"/>
      <c r="O25" s="563"/>
      <c r="P25" s="563"/>
      <c r="Q25" s="563"/>
      <c r="R25" s="563"/>
      <c r="S25" s="563"/>
      <c r="T25" s="563"/>
      <c r="U25" s="563"/>
      <c r="V25" s="564"/>
      <c r="Y25" s="566"/>
      <c r="Z25" s="566"/>
      <c r="AA25" s="566"/>
      <c r="AB25" s="566"/>
    </row>
    <row r="26" spans="2:28" s="565" customFormat="1">
      <c r="B26" s="562"/>
      <c r="C26" s="563"/>
      <c r="D26" s="563"/>
      <c r="E26" s="563"/>
      <c r="F26" s="563"/>
      <c r="G26" s="563"/>
      <c r="H26" s="563"/>
      <c r="I26" s="563"/>
      <c r="J26" s="563"/>
      <c r="K26" s="563"/>
      <c r="L26" s="563"/>
      <c r="M26" s="563"/>
      <c r="N26" s="563"/>
      <c r="O26" s="563"/>
      <c r="P26" s="563"/>
      <c r="Q26" s="563"/>
      <c r="R26" s="563"/>
      <c r="S26" s="563"/>
      <c r="T26" s="563"/>
      <c r="U26" s="563"/>
      <c r="V26" s="564"/>
      <c r="Y26" s="566"/>
      <c r="Z26" s="566"/>
      <c r="AA26" s="566"/>
      <c r="AB26" s="566"/>
    </row>
    <row r="27" spans="2:28" s="565" customFormat="1">
      <c r="B27" s="562"/>
      <c r="C27" s="563"/>
      <c r="D27" s="563"/>
      <c r="E27" s="563"/>
      <c r="F27" s="563"/>
      <c r="G27" s="563"/>
      <c r="H27" s="563"/>
      <c r="I27" s="563"/>
      <c r="J27" s="563"/>
      <c r="K27" s="563"/>
      <c r="L27" s="563"/>
      <c r="M27" s="563"/>
      <c r="N27" s="563"/>
      <c r="O27" s="563"/>
      <c r="P27" s="563"/>
      <c r="Q27" s="563"/>
      <c r="R27" s="563"/>
      <c r="S27" s="563"/>
      <c r="T27" s="563"/>
      <c r="U27" s="563"/>
      <c r="V27" s="564"/>
      <c r="Y27" s="566"/>
      <c r="Z27" s="566"/>
      <c r="AA27" s="566"/>
      <c r="AB27" s="566"/>
    </row>
    <row r="28" spans="2:28" s="565" customFormat="1">
      <c r="B28" s="562"/>
      <c r="C28" s="563"/>
      <c r="D28" s="563"/>
      <c r="E28" s="563"/>
      <c r="F28" s="563"/>
      <c r="G28" s="563"/>
      <c r="H28" s="563"/>
      <c r="I28" s="563"/>
      <c r="J28" s="563"/>
      <c r="K28" s="563"/>
      <c r="L28" s="563"/>
      <c r="M28" s="563"/>
      <c r="N28" s="563"/>
      <c r="O28" s="563"/>
      <c r="P28" s="563"/>
      <c r="Q28" s="563"/>
      <c r="R28" s="563"/>
      <c r="S28" s="563"/>
      <c r="T28" s="563"/>
      <c r="U28" s="563"/>
      <c r="V28" s="564"/>
      <c r="Y28" s="566"/>
      <c r="Z28" s="566"/>
      <c r="AA28" s="566"/>
      <c r="AB28" s="566"/>
    </row>
    <row r="29" spans="2:28" s="565" customFormat="1" ht="25.5" customHeight="1">
      <c r="B29" s="562"/>
      <c r="C29" s="563"/>
      <c r="D29" s="563"/>
      <c r="E29" s="563"/>
      <c r="F29" s="563"/>
      <c r="G29" s="568"/>
      <c r="T29" s="563"/>
      <c r="U29" s="563"/>
      <c r="V29" s="564"/>
      <c r="Y29" s="566"/>
      <c r="Z29" s="566"/>
      <c r="AA29" s="566"/>
      <c r="AB29" s="566"/>
    </row>
    <row r="30" spans="2:28" s="565" customFormat="1" ht="12.75" customHeight="1">
      <c r="B30" s="562"/>
      <c r="C30" s="563"/>
      <c r="D30" s="563"/>
      <c r="E30" s="563"/>
      <c r="F30" s="568"/>
      <c r="G30" s="568"/>
      <c r="T30" s="563"/>
      <c r="U30" s="563"/>
      <c r="V30" s="564"/>
      <c r="Y30" s="566"/>
      <c r="Z30" s="566"/>
      <c r="AA30" s="566"/>
      <c r="AB30" s="566"/>
    </row>
    <row r="31" spans="2:28" s="565" customFormat="1">
      <c r="B31" s="562"/>
      <c r="C31" s="563"/>
      <c r="D31" s="563"/>
      <c r="E31" s="563"/>
      <c r="F31" s="568"/>
      <c r="G31" s="568"/>
      <c r="T31" s="563"/>
      <c r="U31" s="563"/>
      <c r="V31" s="564"/>
      <c r="Y31" s="566"/>
      <c r="Z31" s="566"/>
      <c r="AA31" s="566"/>
      <c r="AB31" s="566"/>
    </row>
    <row r="32" spans="2:28" s="565" customFormat="1">
      <c r="B32" s="562"/>
      <c r="C32" s="563"/>
      <c r="D32" s="563"/>
      <c r="E32" s="563"/>
      <c r="F32" s="568"/>
      <c r="G32" s="568"/>
      <c r="H32" s="568"/>
      <c r="I32" s="568"/>
      <c r="J32" s="568"/>
      <c r="K32" s="568"/>
      <c r="L32" s="568"/>
      <c r="M32" s="568"/>
      <c r="N32" s="568"/>
      <c r="O32" s="568"/>
      <c r="P32" s="568"/>
      <c r="Q32" s="568"/>
      <c r="R32" s="568"/>
      <c r="S32" s="568"/>
      <c r="T32" s="563"/>
      <c r="U32" s="563"/>
      <c r="V32" s="564"/>
      <c r="Y32" s="566"/>
      <c r="Z32" s="566"/>
      <c r="AA32" s="566"/>
      <c r="AB32" s="566"/>
    </row>
    <row r="33" spans="2:28" s="565" customFormat="1" ht="12.75" customHeight="1">
      <c r="B33" s="562"/>
      <c r="C33" s="563"/>
      <c r="D33" s="563"/>
      <c r="E33" s="563"/>
      <c r="F33" s="563"/>
      <c r="G33" s="563"/>
      <c r="H33" s="563"/>
      <c r="I33" s="563"/>
      <c r="J33" s="563"/>
      <c r="K33" s="563"/>
      <c r="L33" s="563"/>
      <c r="M33" s="563"/>
      <c r="N33" s="563"/>
      <c r="O33" s="563"/>
      <c r="P33" s="563"/>
      <c r="Q33" s="563"/>
      <c r="R33" s="563"/>
      <c r="S33" s="563"/>
      <c r="T33" s="563"/>
      <c r="U33" s="563"/>
      <c r="V33" s="564"/>
      <c r="Y33" s="566"/>
      <c r="Z33" s="566"/>
      <c r="AA33" s="566"/>
      <c r="AB33" s="566"/>
    </row>
    <row r="34" spans="2:28" s="565" customFormat="1">
      <c r="B34" s="562"/>
      <c r="C34" s="563"/>
      <c r="D34" s="563"/>
      <c r="E34" s="563"/>
      <c r="F34" s="563"/>
      <c r="G34" s="563"/>
      <c r="H34" s="563"/>
      <c r="I34" s="563"/>
      <c r="J34" s="563"/>
      <c r="K34" s="563"/>
      <c r="L34" s="563"/>
      <c r="M34" s="563"/>
      <c r="N34" s="563"/>
      <c r="O34" s="563"/>
      <c r="P34" s="563"/>
      <c r="Q34" s="563"/>
      <c r="R34" s="563"/>
      <c r="S34" s="563"/>
      <c r="T34" s="563"/>
      <c r="U34" s="563"/>
      <c r="V34" s="564"/>
      <c r="Y34" s="566"/>
      <c r="Z34" s="566"/>
      <c r="AA34" s="566"/>
      <c r="AB34" s="566"/>
    </row>
    <row r="35" spans="2:28" s="565" customFormat="1">
      <c r="B35" s="562"/>
      <c r="C35" s="563"/>
      <c r="D35" s="563"/>
      <c r="E35" s="563"/>
      <c r="F35" s="563"/>
      <c r="G35" s="563"/>
      <c r="H35" s="563"/>
      <c r="I35" s="563"/>
      <c r="J35" s="563"/>
      <c r="K35" s="563"/>
      <c r="L35" s="563"/>
      <c r="M35" s="563"/>
      <c r="N35" s="563"/>
      <c r="O35" s="563"/>
      <c r="P35" s="563"/>
      <c r="Q35" s="563"/>
      <c r="R35" s="563"/>
      <c r="S35" s="563"/>
      <c r="T35" s="563"/>
      <c r="U35" s="563"/>
      <c r="V35" s="564"/>
      <c r="Y35" s="566"/>
      <c r="Z35" s="566"/>
      <c r="AA35" s="566"/>
      <c r="AB35" s="566"/>
    </row>
    <row r="36" spans="2:28" s="565" customFormat="1">
      <c r="B36" s="562"/>
      <c r="C36" s="563"/>
      <c r="D36" s="563"/>
      <c r="E36" s="563"/>
      <c r="F36" s="563"/>
      <c r="G36" s="563"/>
      <c r="H36" s="563"/>
      <c r="I36" s="563"/>
      <c r="J36" s="563"/>
      <c r="K36" s="563"/>
      <c r="L36" s="563"/>
      <c r="M36" s="563"/>
      <c r="N36" s="563"/>
      <c r="O36" s="563"/>
      <c r="P36" s="563"/>
      <c r="Q36" s="563"/>
      <c r="R36" s="563"/>
      <c r="S36" s="563"/>
      <c r="T36" s="563"/>
      <c r="U36" s="563"/>
      <c r="V36" s="564"/>
      <c r="Y36" s="566"/>
      <c r="Z36" s="566"/>
      <c r="AA36" s="566"/>
      <c r="AB36" s="566"/>
    </row>
    <row r="37" spans="2:28" s="565" customFormat="1">
      <c r="B37" s="562"/>
      <c r="C37" s="563"/>
      <c r="D37" s="563"/>
      <c r="E37" s="563"/>
      <c r="F37" s="563"/>
      <c r="G37" s="563"/>
      <c r="H37" s="563"/>
      <c r="I37" s="563"/>
      <c r="J37" s="563"/>
      <c r="K37" s="563"/>
      <c r="L37" s="563"/>
      <c r="M37" s="563"/>
      <c r="N37" s="563"/>
      <c r="O37" s="563"/>
      <c r="P37" s="563"/>
      <c r="Q37" s="563"/>
      <c r="R37" s="563"/>
      <c r="S37" s="563"/>
      <c r="T37" s="563"/>
      <c r="U37" s="563"/>
      <c r="V37" s="564"/>
      <c r="Y37" s="566"/>
      <c r="Z37" s="566"/>
      <c r="AA37" s="566"/>
      <c r="AB37" s="566"/>
    </row>
    <row r="38" spans="2:28" s="565" customFormat="1">
      <c r="B38" s="562"/>
      <c r="C38" s="563"/>
      <c r="D38" s="563"/>
      <c r="E38" s="563"/>
      <c r="F38" s="563"/>
      <c r="G38" s="563"/>
      <c r="H38" s="563"/>
      <c r="I38" s="563"/>
      <c r="J38" s="563"/>
      <c r="K38" s="563"/>
      <c r="L38" s="563"/>
      <c r="M38" s="563"/>
      <c r="N38" s="563"/>
      <c r="O38" s="563"/>
      <c r="P38" s="563"/>
      <c r="Q38" s="563"/>
      <c r="R38" s="563"/>
      <c r="S38" s="563"/>
      <c r="T38" s="563"/>
      <c r="U38" s="563"/>
      <c r="V38" s="564"/>
      <c r="Y38" s="566"/>
      <c r="Z38" s="566"/>
      <c r="AA38" s="566"/>
      <c r="AB38" s="566"/>
    </row>
    <row r="39" spans="2:28" s="565" customFormat="1">
      <c r="B39" s="562"/>
      <c r="C39" s="563"/>
      <c r="D39" s="563"/>
      <c r="E39" s="563"/>
      <c r="F39" s="563"/>
      <c r="G39" s="563"/>
      <c r="H39" s="563"/>
      <c r="I39" s="563"/>
      <c r="J39" s="563"/>
      <c r="K39" s="563"/>
      <c r="L39" s="563"/>
      <c r="M39" s="563"/>
      <c r="N39" s="563"/>
      <c r="O39" s="563"/>
      <c r="P39" s="563"/>
      <c r="Q39" s="563"/>
      <c r="R39" s="563"/>
      <c r="S39" s="563"/>
      <c r="T39" s="563"/>
      <c r="U39" s="563"/>
      <c r="V39" s="564"/>
      <c r="Y39" s="566"/>
      <c r="Z39" s="566"/>
      <c r="AA39" s="566"/>
      <c r="AB39" s="566"/>
    </row>
    <row r="40" spans="2:28" s="565" customFormat="1">
      <c r="B40" s="562"/>
      <c r="C40" s="563"/>
      <c r="D40" s="563"/>
      <c r="E40" s="563"/>
      <c r="F40" s="563"/>
      <c r="G40" s="563"/>
      <c r="H40" s="563"/>
      <c r="I40" s="563"/>
      <c r="J40" s="563"/>
      <c r="K40" s="563"/>
      <c r="L40" s="563"/>
      <c r="M40" s="563"/>
      <c r="N40" s="563"/>
      <c r="O40" s="563"/>
      <c r="P40" s="563"/>
      <c r="Q40" s="563"/>
      <c r="R40" s="563"/>
      <c r="S40" s="563"/>
      <c r="T40" s="563"/>
      <c r="U40" s="563"/>
      <c r="V40" s="564"/>
      <c r="Y40" s="566"/>
      <c r="Z40" s="566"/>
      <c r="AA40" s="566"/>
      <c r="AB40" s="566"/>
    </row>
    <row r="41" spans="2:28" s="565" customFormat="1">
      <c r="B41" s="562"/>
      <c r="C41" s="563"/>
      <c r="D41" s="563"/>
      <c r="E41" s="563"/>
      <c r="F41" s="563"/>
      <c r="G41" s="563"/>
      <c r="H41" s="563"/>
      <c r="I41" s="563"/>
      <c r="J41" s="563"/>
      <c r="K41" s="563"/>
      <c r="L41" s="563"/>
      <c r="M41" s="563"/>
      <c r="N41" s="563"/>
      <c r="O41" s="563"/>
      <c r="P41" s="563"/>
      <c r="Q41" s="563"/>
      <c r="R41" s="563"/>
      <c r="S41" s="563"/>
      <c r="T41" s="563"/>
      <c r="U41" s="563"/>
      <c r="V41" s="564"/>
      <c r="Y41" s="566"/>
      <c r="Z41" s="566"/>
      <c r="AA41" s="566"/>
      <c r="AB41" s="566"/>
    </row>
    <row r="42" spans="2:28" s="565" customFormat="1">
      <c r="B42" s="562"/>
      <c r="C42" s="563"/>
      <c r="D42" s="563"/>
      <c r="E42" s="563"/>
      <c r="F42" s="563"/>
      <c r="G42" s="563"/>
      <c r="H42" s="563"/>
      <c r="I42" s="563"/>
      <c r="J42" s="563"/>
      <c r="K42" s="563"/>
      <c r="L42" s="563"/>
      <c r="M42" s="563"/>
      <c r="N42" s="563"/>
      <c r="O42" s="563"/>
      <c r="P42" s="563"/>
      <c r="Q42" s="563"/>
      <c r="R42" s="563"/>
      <c r="S42" s="563"/>
      <c r="T42" s="563"/>
      <c r="U42" s="563"/>
      <c r="V42" s="564"/>
      <c r="Y42" s="566"/>
      <c r="Z42" s="566"/>
      <c r="AA42" s="566"/>
      <c r="AB42" s="566"/>
    </row>
    <row r="43" spans="2:28" s="565" customFormat="1">
      <c r="B43" s="562"/>
      <c r="C43" s="563"/>
      <c r="D43" s="563"/>
      <c r="E43" s="563"/>
      <c r="F43" s="563"/>
      <c r="G43" s="563"/>
      <c r="H43" s="563"/>
      <c r="I43" s="563"/>
      <c r="J43" s="563"/>
      <c r="K43" s="563"/>
      <c r="L43" s="563"/>
      <c r="M43" s="563"/>
      <c r="N43" s="563"/>
      <c r="O43" s="563"/>
      <c r="P43" s="563"/>
      <c r="Q43" s="563"/>
      <c r="R43" s="563"/>
      <c r="S43" s="563"/>
      <c r="T43" s="563"/>
      <c r="U43" s="563"/>
      <c r="V43" s="564"/>
      <c r="Y43" s="566"/>
      <c r="Z43" s="566"/>
      <c r="AA43" s="566"/>
      <c r="AB43" s="566"/>
    </row>
    <row r="44" spans="2:28" s="565" customFormat="1">
      <c r="B44" s="562"/>
      <c r="C44" s="563"/>
      <c r="D44" s="563"/>
      <c r="E44" s="563"/>
      <c r="F44" s="563"/>
      <c r="G44" s="563"/>
      <c r="H44" s="563"/>
      <c r="I44" s="563"/>
      <c r="J44" s="563"/>
      <c r="K44" s="563"/>
      <c r="L44" s="563"/>
      <c r="M44" s="563"/>
      <c r="N44" s="563"/>
      <c r="O44" s="563"/>
      <c r="P44" s="563"/>
      <c r="Q44" s="563"/>
      <c r="R44" s="563"/>
      <c r="S44" s="563"/>
      <c r="T44" s="563"/>
      <c r="U44" s="563"/>
      <c r="V44" s="564"/>
      <c r="Y44" s="566"/>
      <c r="Z44" s="566"/>
      <c r="AA44" s="566"/>
      <c r="AB44" s="566"/>
    </row>
    <row r="45" spans="2:28" s="565" customFormat="1">
      <c r="B45" s="562"/>
      <c r="C45" s="563"/>
      <c r="D45" s="563"/>
      <c r="E45" s="563"/>
      <c r="F45" s="563"/>
      <c r="G45" s="563"/>
      <c r="H45" s="563"/>
      <c r="I45" s="563"/>
      <c r="J45" s="563"/>
      <c r="K45" s="563"/>
      <c r="L45" s="563"/>
      <c r="M45" s="563"/>
      <c r="N45" s="563"/>
      <c r="O45" s="563"/>
      <c r="P45" s="563"/>
      <c r="Q45" s="563"/>
      <c r="R45" s="563"/>
      <c r="S45" s="563"/>
      <c r="T45" s="563"/>
      <c r="U45" s="563"/>
      <c r="V45" s="564"/>
      <c r="Y45" s="566"/>
      <c r="Z45" s="566"/>
      <c r="AA45" s="566"/>
      <c r="AB45" s="566"/>
    </row>
    <row r="46" spans="2:28" s="569" customFormat="1">
      <c r="B46" s="562"/>
      <c r="C46" s="563"/>
      <c r="D46" s="563"/>
      <c r="E46" s="563"/>
      <c r="F46" s="563"/>
      <c r="G46" s="563"/>
      <c r="H46" s="563"/>
      <c r="I46" s="563"/>
      <c r="J46" s="563"/>
      <c r="K46" s="563"/>
      <c r="L46" s="563"/>
      <c r="M46" s="563"/>
      <c r="N46" s="563"/>
      <c r="O46" s="563"/>
      <c r="P46" s="563"/>
      <c r="Q46" s="563"/>
      <c r="R46" s="563"/>
      <c r="S46" s="563"/>
      <c r="T46" s="563"/>
      <c r="U46" s="563"/>
      <c r="V46" s="563"/>
    </row>
    <row r="47" spans="2:28" s="569" customFormat="1">
      <c r="B47" s="1180" t="str">
        <f>CHOOSE(jezyk,n!A1477,n!B1477,n!C1477,n!D1473)</f>
        <v>Spis treści</v>
      </c>
      <c r="C47" s="1180"/>
      <c r="D47" s="1180"/>
      <c r="E47" s="1180"/>
      <c r="F47" s="563"/>
      <c r="G47" s="563"/>
      <c r="H47" s="563"/>
      <c r="I47" s="563"/>
      <c r="J47" s="563"/>
      <c r="K47" s="563"/>
      <c r="L47" s="563"/>
      <c r="M47" s="563"/>
      <c r="N47" s="563"/>
      <c r="O47" s="563"/>
      <c r="P47" s="563"/>
      <c r="Q47" s="563"/>
      <c r="R47" s="563"/>
      <c r="S47" s="563"/>
      <c r="T47" s="563"/>
      <c r="U47" s="563"/>
      <c r="V47" s="563"/>
    </row>
    <row r="48" spans="2:28" s="569" customFormat="1">
      <c r="B48" s="562"/>
      <c r="C48" s="563"/>
      <c r="D48" s="563"/>
      <c r="E48" s="563"/>
      <c r="F48" s="563"/>
      <c r="G48" s="563"/>
      <c r="H48" s="563"/>
      <c r="I48" s="563"/>
      <c r="J48" s="563"/>
      <c r="K48" s="563"/>
      <c r="L48" s="563"/>
      <c r="M48" s="563"/>
      <c r="N48" s="563"/>
      <c r="O48" s="563"/>
      <c r="P48" s="563"/>
      <c r="Q48" s="563"/>
      <c r="R48" s="563"/>
      <c r="S48" s="563"/>
      <c r="T48" s="563" t="str">
        <f>CHOOSE(jezyk,n!A1478,n!B1478,n!C1478,n!D1474)</f>
        <v>Strona</v>
      </c>
      <c r="U48" s="563"/>
      <c r="V48" s="563"/>
    </row>
    <row r="49" spans="2:28" s="569" customFormat="1">
      <c r="B49" s="562"/>
      <c r="C49" s="563"/>
      <c r="D49" s="563"/>
      <c r="E49" s="563"/>
      <c r="F49" s="563"/>
      <c r="G49" s="563"/>
      <c r="H49" s="563"/>
      <c r="I49" s="563"/>
      <c r="J49" s="563"/>
      <c r="K49" s="563"/>
      <c r="L49" s="563"/>
      <c r="M49" s="563"/>
      <c r="N49" s="563"/>
      <c r="O49" s="563"/>
      <c r="P49" s="563"/>
      <c r="Q49" s="563"/>
      <c r="R49" s="563"/>
      <c r="S49" s="563"/>
      <c r="T49" s="563"/>
      <c r="U49" s="563"/>
      <c r="V49" s="563"/>
    </row>
    <row r="50" spans="2:28" s="569" customFormat="1">
      <c r="B50" s="562"/>
      <c r="C50" s="563"/>
      <c r="D50" s="563"/>
      <c r="E50" s="563"/>
      <c r="F50" s="563"/>
      <c r="G50" s="563"/>
      <c r="H50" s="563"/>
      <c r="I50" s="563"/>
      <c r="J50" s="563"/>
      <c r="K50" s="563"/>
      <c r="L50" s="563"/>
      <c r="M50" s="563"/>
      <c r="N50" s="563"/>
      <c r="O50" s="563"/>
      <c r="P50" s="563"/>
      <c r="Q50" s="563"/>
      <c r="R50" s="563"/>
      <c r="S50" s="563"/>
      <c r="T50" s="563"/>
      <c r="U50" s="563"/>
      <c r="V50" s="563"/>
    </row>
    <row r="51" spans="2:28" s="569" customFormat="1">
      <c r="B51" s="570" t="str">
        <f>CHOOSE(jezyk,n!A1479,n!B1479,n!C1479,n!D1475)</f>
        <v>CZĘŚĆ OGÓLNA</v>
      </c>
      <c r="C51" s="570"/>
      <c r="D51" s="570"/>
      <c r="E51" s="570"/>
      <c r="F51" s="563"/>
      <c r="G51" s="563"/>
      <c r="H51" s="563"/>
      <c r="I51" s="563"/>
      <c r="J51" s="563"/>
      <c r="K51" s="563"/>
      <c r="L51" s="563"/>
      <c r="M51" s="563"/>
      <c r="N51" s="563"/>
      <c r="O51" s="563"/>
      <c r="P51" s="563"/>
      <c r="Q51" s="563"/>
      <c r="R51" s="563"/>
      <c r="S51" s="563"/>
      <c r="T51" s="563"/>
      <c r="U51" s="563"/>
      <c r="V51" s="563"/>
    </row>
    <row r="52" spans="2:28" s="569" customFormat="1" ht="15" customHeight="1">
      <c r="B52" s="562"/>
      <c r="C52" s="563"/>
      <c r="D52" s="563"/>
      <c r="E52" s="563"/>
      <c r="F52" s="563"/>
      <c r="G52" s="563"/>
      <c r="H52" s="563"/>
      <c r="I52" s="563"/>
      <c r="J52" s="563"/>
      <c r="K52" s="563"/>
      <c r="L52" s="563"/>
      <c r="M52" s="563"/>
      <c r="N52" s="563"/>
      <c r="O52" s="563"/>
      <c r="P52" s="563"/>
      <c r="Q52" s="563"/>
      <c r="R52" s="563"/>
      <c r="S52" s="563"/>
      <c r="T52" s="563"/>
      <c r="U52" s="563"/>
      <c r="V52" s="563"/>
    </row>
    <row r="53" spans="2:28" s="569" customFormat="1" ht="15" customHeight="1">
      <c r="B53" s="562"/>
      <c r="C53" s="563"/>
      <c r="D53" s="563"/>
      <c r="E53" s="563"/>
      <c r="F53" s="563"/>
      <c r="G53" s="563"/>
      <c r="H53" s="563"/>
      <c r="I53" s="563"/>
      <c r="J53" s="563"/>
      <c r="K53" s="563"/>
      <c r="L53" s="563"/>
      <c r="M53" s="563"/>
      <c r="N53" s="563"/>
      <c r="O53" s="563"/>
      <c r="P53" s="563"/>
      <c r="Q53" s="563"/>
      <c r="R53" s="563"/>
      <c r="S53" s="563"/>
      <c r="T53" s="563"/>
      <c r="U53" s="563"/>
      <c r="V53" s="563"/>
      <c r="W53" s="567"/>
    </row>
    <row r="54" spans="2:28" s="572" customFormat="1">
      <c r="B54" s="562"/>
      <c r="C54" s="571" t="s">
        <v>6530</v>
      </c>
      <c r="D54" s="1183" t="str">
        <f>CHOOSE(jezyk,n!A1480,n!B1480,n!C1480,n!D1476)</f>
        <v>WIZYTÓWKA SPÓŁKI</v>
      </c>
      <c r="E54" s="1183"/>
      <c r="F54" s="1183"/>
      <c r="G54" s="1183"/>
      <c r="H54" s="1183"/>
      <c r="I54" s="1183"/>
      <c r="J54" s="1183"/>
      <c r="K54" s="1183"/>
      <c r="L54" s="1183"/>
      <c r="M54" s="1183"/>
      <c r="N54" s="563"/>
      <c r="O54" s="563"/>
      <c r="P54" s="563"/>
      <c r="Q54" s="563"/>
      <c r="R54" s="563"/>
      <c r="S54" s="563"/>
      <c r="T54" s="563"/>
      <c r="U54" s="571">
        <f>W73</f>
        <v>3</v>
      </c>
      <c r="V54" s="563"/>
    </row>
    <row r="55" spans="2:28" s="569" customFormat="1" ht="18.75" customHeight="1">
      <c r="B55" s="562"/>
      <c r="C55" s="563"/>
      <c r="D55" s="563"/>
      <c r="E55" s="563"/>
      <c r="F55" s="563"/>
      <c r="G55" s="563"/>
      <c r="H55" s="563"/>
      <c r="I55" s="563"/>
      <c r="J55" s="563"/>
      <c r="K55" s="563"/>
      <c r="L55" s="563"/>
      <c r="M55" s="563"/>
      <c r="N55" s="563"/>
      <c r="O55" s="563"/>
      <c r="P55" s="563"/>
      <c r="Q55" s="563"/>
      <c r="R55" s="563"/>
      <c r="S55" s="563"/>
      <c r="T55" s="563"/>
      <c r="U55" s="571"/>
      <c r="V55" s="563"/>
    </row>
    <row r="56" spans="2:28" s="569" customFormat="1">
      <c r="B56" s="562"/>
      <c r="C56" s="571" t="s">
        <v>6540</v>
      </c>
      <c r="D56" s="1184" t="str">
        <f>CHOOSE(jezyk,n!A1481,n!B1481,n!C1481,n!D1477)</f>
        <v>SPRZEDAŻ</v>
      </c>
      <c r="E56" s="1184"/>
      <c r="F56" s="1184"/>
      <c r="G56" s="1184"/>
      <c r="H56" s="1184"/>
      <c r="I56" s="573"/>
      <c r="J56" s="573"/>
      <c r="K56" s="573"/>
      <c r="L56" s="573"/>
      <c r="M56" s="573"/>
      <c r="N56" s="573"/>
      <c r="O56" s="563"/>
      <c r="P56" s="563"/>
      <c r="Q56" s="563"/>
      <c r="R56" s="563"/>
      <c r="S56" s="563"/>
      <c r="T56" s="563"/>
      <c r="U56" s="571">
        <f>W150</f>
        <v>5</v>
      </c>
      <c r="V56" s="563"/>
    </row>
    <row r="57" spans="2:28" s="565" customFormat="1" ht="18.75" customHeight="1">
      <c r="B57" s="562"/>
      <c r="C57" s="563"/>
      <c r="D57" s="573"/>
      <c r="E57" s="573"/>
      <c r="F57" s="573"/>
      <c r="G57" s="573"/>
      <c r="H57" s="573"/>
      <c r="I57" s="573"/>
      <c r="J57" s="573"/>
      <c r="K57" s="573"/>
      <c r="L57" s="573"/>
      <c r="M57" s="573"/>
      <c r="N57" s="573"/>
      <c r="O57" s="563"/>
      <c r="P57" s="563"/>
      <c r="Q57" s="563"/>
      <c r="R57" s="563"/>
      <c r="S57" s="563"/>
      <c r="T57" s="563"/>
      <c r="U57" s="571"/>
      <c r="V57" s="563"/>
      <c r="Y57" s="566"/>
      <c r="Z57" s="566"/>
      <c r="AA57" s="566"/>
      <c r="AB57" s="566"/>
    </row>
    <row r="58" spans="2:28" s="565" customFormat="1">
      <c r="B58" s="562"/>
      <c r="C58" s="571" t="s">
        <v>6544</v>
      </c>
      <c r="D58" s="1184" t="str">
        <f>CHOOSE(jezyk,n!A1482,n!B1482,n!C1482,n!D1478)</f>
        <v>PERSONEL</v>
      </c>
      <c r="E58" s="1184"/>
      <c r="F58" s="1184"/>
      <c r="G58" s="1184"/>
      <c r="H58" s="1184"/>
      <c r="I58" s="1184"/>
      <c r="J58" s="1184"/>
      <c r="K58" s="1184"/>
      <c r="L58" s="1184"/>
      <c r="M58" s="1184"/>
      <c r="N58" s="1184"/>
      <c r="O58" s="563"/>
      <c r="P58" s="563"/>
      <c r="Q58" s="563"/>
      <c r="R58" s="563"/>
      <c r="S58" s="563"/>
      <c r="T58" s="563"/>
      <c r="U58" s="571">
        <f>W161</f>
        <v>5</v>
      </c>
      <c r="V58" s="563"/>
      <c r="Y58" s="566"/>
      <c r="Z58" s="566"/>
      <c r="AA58" s="566"/>
      <c r="AB58" s="566"/>
    </row>
    <row r="59" spans="2:28" s="565" customFormat="1" ht="18.75" customHeight="1">
      <c r="B59" s="562"/>
      <c r="C59" s="563"/>
      <c r="D59" s="573"/>
      <c r="E59" s="573"/>
      <c r="F59" s="573"/>
      <c r="G59" s="573"/>
      <c r="H59" s="573"/>
      <c r="I59" s="573"/>
      <c r="J59" s="573"/>
      <c r="K59" s="573"/>
      <c r="L59" s="573"/>
      <c r="M59" s="573"/>
      <c r="N59" s="573"/>
      <c r="O59" s="563"/>
      <c r="P59" s="563"/>
      <c r="Q59" s="563"/>
      <c r="R59" s="563"/>
      <c r="S59" s="563"/>
      <c r="T59" s="563"/>
      <c r="U59" s="571"/>
      <c r="V59" s="563"/>
      <c r="Y59" s="566"/>
      <c r="Z59" s="566"/>
      <c r="AA59" s="566"/>
      <c r="AB59" s="566"/>
    </row>
    <row r="60" spans="2:28" s="565" customFormat="1">
      <c r="B60" s="562"/>
      <c r="C60" s="571" t="s">
        <v>6545</v>
      </c>
      <c r="D60" s="1184" t="str">
        <f>CHOOSE(jezyk,n!A1483,n!B1483,n!C1483,n!D1479)</f>
        <v>ANALIZA FINANSOWA</v>
      </c>
      <c r="E60" s="1184"/>
      <c r="F60" s="1184"/>
      <c r="G60" s="1184"/>
      <c r="H60" s="1184"/>
      <c r="I60" s="1184"/>
      <c r="J60" s="1184"/>
      <c r="K60" s="1184"/>
      <c r="L60" s="1184"/>
      <c r="M60" s="1184"/>
      <c r="N60" s="1184"/>
      <c r="O60" s="563"/>
      <c r="P60" s="563"/>
      <c r="Q60" s="563"/>
      <c r="R60" s="563"/>
      <c r="S60" s="563"/>
      <c r="T60" s="563"/>
      <c r="U60" s="571">
        <f>W180</f>
        <v>5</v>
      </c>
      <c r="V60" s="563"/>
      <c r="Y60" s="566"/>
      <c r="Z60" s="566"/>
      <c r="AA60" s="566"/>
      <c r="AB60" s="566"/>
    </row>
    <row r="61" spans="2:28" s="565" customFormat="1" ht="18.75" customHeight="1">
      <c r="B61" s="562"/>
      <c r="C61" s="563"/>
      <c r="D61" s="573"/>
      <c r="E61" s="573"/>
      <c r="F61" s="573"/>
      <c r="G61" s="573"/>
      <c r="H61" s="573"/>
      <c r="I61" s="573"/>
      <c r="J61" s="573"/>
      <c r="K61" s="573"/>
      <c r="L61" s="573"/>
      <c r="M61" s="573"/>
      <c r="N61" s="573"/>
      <c r="O61" s="563"/>
      <c r="P61" s="563"/>
      <c r="Q61" s="563"/>
      <c r="R61" s="563"/>
      <c r="S61" s="563"/>
      <c r="T61" s="563"/>
      <c r="U61" s="571"/>
      <c r="V61" s="563"/>
      <c r="Y61" s="566"/>
      <c r="Z61" s="566"/>
      <c r="AA61" s="566"/>
      <c r="AB61" s="566"/>
    </row>
    <row r="62" spans="2:28" s="565" customFormat="1" ht="15" customHeight="1">
      <c r="B62" s="562"/>
      <c r="C62" s="571" t="s">
        <v>6550</v>
      </c>
      <c r="D62" s="1184" t="str">
        <f>CHOOSE(jezyk,n!A1484,n!B1484,n!C1484,n!D1480)</f>
        <v>PRZEWIDYWANY ROZWÓJ SPÓŁKI</v>
      </c>
      <c r="E62" s="1184"/>
      <c r="F62" s="1184"/>
      <c r="G62" s="1184"/>
      <c r="H62" s="1184"/>
      <c r="I62" s="1184"/>
      <c r="J62" s="1184"/>
      <c r="K62" s="1184"/>
      <c r="L62" s="1184"/>
      <c r="M62" s="1184"/>
      <c r="N62" s="1184"/>
      <c r="O62" s="1184"/>
      <c r="P62" s="1184"/>
      <c r="Q62" s="1184"/>
      <c r="R62" s="1184"/>
      <c r="S62" s="574"/>
      <c r="T62" s="574"/>
      <c r="U62" s="575">
        <f>W188</f>
        <v>5</v>
      </c>
      <c r="V62" s="576"/>
      <c r="Y62" s="566"/>
      <c r="Z62" s="566"/>
      <c r="AA62" s="566"/>
      <c r="AB62" s="566"/>
    </row>
    <row r="63" spans="2:28" s="565" customFormat="1" ht="15" customHeight="1">
      <c r="B63" s="562"/>
      <c r="C63" s="571"/>
      <c r="D63" s="577"/>
      <c r="E63" s="574"/>
      <c r="F63" s="574"/>
      <c r="G63" s="574"/>
      <c r="H63" s="574"/>
      <c r="I63" s="574"/>
      <c r="J63" s="574"/>
      <c r="K63" s="574"/>
      <c r="L63" s="574"/>
      <c r="M63" s="574"/>
      <c r="N63" s="574"/>
      <c r="O63" s="574"/>
      <c r="P63" s="574"/>
      <c r="Q63" s="574"/>
      <c r="R63" s="574"/>
      <c r="S63" s="574"/>
      <c r="T63" s="574"/>
      <c r="U63" s="575"/>
      <c r="V63" s="576"/>
      <c r="Y63" s="566"/>
      <c r="Z63" s="566"/>
      <c r="AA63" s="566"/>
      <c r="AB63" s="566"/>
    </row>
    <row r="64" spans="2:28" s="565" customFormat="1" ht="15" customHeight="1">
      <c r="B64" s="562"/>
      <c r="C64" s="571" t="s">
        <v>6549</v>
      </c>
      <c r="D64" s="1187" t="str">
        <f>CHOOSE(jezyk,n!A1485,n!B1485,n!C1485,n!D1481)</f>
        <v>CZYNNIKI RYZYKA ZWIĄZANE Z PROWADZONĄ DZIAŁALNOŚCIĄ,  W TYM W ZAKRESIE INSTRUMENTÓW FINANSOWYCH</v>
      </c>
      <c r="E64" s="1187"/>
      <c r="F64" s="1187"/>
      <c r="G64" s="1187"/>
      <c r="H64" s="1187"/>
      <c r="I64" s="1187"/>
      <c r="J64" s="1187"/>
      <c r="K64" s="1187"/>
      <c r="L64" s="1187"/>
      <c r="M64" s="1187"/>
      <c r="N64" s="1187"/>
      <c r="O64" s="1187"/>
      <c r="P64" s="1187"/>
      <c r="Q64" s="1187"/>
      <c r="R64" s="1187"/>
      <c r="S64" s="574"/>
      <c r="T64" s="574"/>
      <c r="U64" s="575">
        <f>W198</f>
        <v>6</v>
      </c>
      <c r="V64" s="576"/>
      <c r="Y64" s="566"/>
      <c r="Z64" s="566"/>
      <c r="AA64" s="566"/>
      <c r="AB64" s="566"/>
    </row>
    <row r="65" spans="2:28" s="565" customFormat="1" ht="15" customHeight="1">
      <c r="B65" s="562"/>
      <c r="C65" s="571"/>
      <c r="D65" s="577"/>
      <c r="E65" s="574"/>
      <c r="F65" s="574"/>
      <c r="G65" s="574"/>
      <c r="H65" s="574"/>
      <c r="I65" s="574"/>
      <c r="J65" s="574"/>
      <c r="K65" s="574"/>
      <c r="L65" s="574"/>
      <c r="M65" s="574"/>
      <c r="N65" s="574"/>
      <c r="O65" s="574"/>
      <c r="P65" s="574"/>
      <c r="Q65" s="574"/>
      <c r="R65" s="574"/>
      <c r="S65" s="574"/>
      <c r="T65" s="574"/>
      <c r="U65" s="575"/>
      <c r="V65" s="576"/>
      <c r="Y65" s="566"/>
      <c r="Z65" s="566"/>
      <c r="AA65" s="566"/>
      <c r="AB65" s="566"/>
    </row>
    <row r="66" spans="2:28" s="565" customFormat="1" ht="15" customHeight="1">
      <c r="B66" s="562"/>
      <c r="C66" s="571" t="s">
        <v>6763</v>
      </c>
      <c r="D66" s="1187" t="str">
        <f>CHOOSE(jezyk,n!A1487,n!B1487,n!C1487,n!D1482)</f>
        <v>WAŻNIEJSZE OSIĄGNIĘCIA W DZIEDZINIE BADAŃ I ROZWOJU</v>
      </c>
      <c r="E66" s="1187"/>
      <c r="F66" s="1187"/>
      <c r="G66" s="1187"/>
      <c r="H66" s="1187"/>
      <c r="I66" s="1187"/>
      <c r="J66" s="1187"/>
      <c r="K66" s="1187"/>
      <c r="L66" s="1187"/>
      <c r="M66" s="1187"/>
      <c r="N66" s="1187"/>
      <c r="O66" s="1187"/>
      <c r="P66" s="1187"/>
      <c r="Q66" s="1187"/>
      <c r="R66" s="1187"/>
      <c r="S66" s="574"/>
      <c r="T66" s="574"/>
      <c r="U66" s="575">
        <f>W209</f>
        <v>6</v>
      </c>
      <c r="V66" s="576"/>
      <c r="Y66" s="566"/>
      <c r="Z66" s="566"/>
      <c r="AA66" s="566"/>
      <c r="AB66" s="566"/>
    </row>
    <row r="67" spans="2:28" s="565" customFormat="1" ht="15" customHeight="1">
      <c r="B67" s="562"/>
      <c r="C67" s="571"/>
      <c r="D67" s="578"/>
      <c r="E67" s="578"/>
      <c r="F67" s="578"/>
      <c r="G67" s="578"/>
      <c r="H67" s="578"/>
      <c r="I67" s="578"/>
      <c r="J67" s="578"/>
      <c r="K67" s="578"/>
      <c r="L67" s="578"/>
      <c r="M67" s="578"/>
      <c r="N67" s="578"/>
      <c r="O67" s="578"/>
      <c r="P67" s="578"/>
      <c r="Q67" s="578"/>
      <c r="R67" s="578"/>
      <c r="S67" s="579"/>
      <c r="T67" s="579"/>
      <c r="U67" s="575"/>
      <c r="V67" s="580"/>
      <c r="Y67" s="566"/>
      <c r="Z67" s="566"/>
      <c r="AA67" s="566"/>
      <c r="AB67" s="566"/>
    </row>
    <row r="68" spans="2:28" s="565" customFormat="1" ht="15" customHeight="1">
      <c r="B68" s="562"/>
      <c r="C68" s="571" t="s">
        <v>6772</v>
      </c>
      <c r="D68" s="1187" t="str">
        <f>CHOOSE(jezyk,n!A1488,n!B1488,n!C1488,n!D1483)</f>
        <v>INFORMACJE O NABYCIU UDZIAŁÓW (AKCJI) WŁASNYCH</v>
      </c>
      <c r="E68" s="1187"/>
      <c r="F68" s="1187"/>
      <c r="G68" s="1187"/>
      <c r="H68" s="1187"/>
      <c r="I68" s="1187"/>
      <c r="J68" s="1187"/>
      <c r="K68" s="1187"/>
      <c r="L68" s="1187"/>
      <c r="M68" s="1187"/>
      <c r="N68" s="1187"/>
      <c r="O68" s="1187"/>
      <c r="P68" s="1187"/>
      <c r="Q68" s="1187"/>
      <c r="R68" s="1187"/>
      <c r="S68" s="579"/>
      <c r="T68" s="579"/>
      <c r="U68" s="575">
        <f>W219</f>
        <v>6</v>
      </c>
      <c r="V68" s="580"/>
      <c r="Y68" s="566"/>
      <c r="Z68" s="566"/>
      <c r="AA68" s="566"/>
      <c r="AB68" s="566"/>
    </row>
    <row r="69" spans="2:28" s="565" customFormat="1" ht="15" customHeight="1">
      <c r="B69" s="562"/>
      <c r="C69" s="571"/>
      <c r="D69" s="581"/>
      <c r="E69" s="581"/>
      <c r="F69" s="581"/>
      <c r="G69" s="581"/>
      <c r="H69" s="581"/>
      <c r="I69" s="581"/>
      <c r="J69" s="581"/>
      <c r="K69" s="581"/>
      <c r="L69" s="581"/>
      <c r="M69" s="581"/>
      <c r="N69" s="581"/>
      <c r="O69" s="581"/>
      <c r="P69" s="581"/>
      <c r="Q69" s="581"/>
      <c r="R69" s="581"/>
      <c r="S69" s="582"/>
      <c r="T69" s="582"/>
      <c r="U69" s="575"/>
      <c r="V69" s="583"/>
      <c r="Y69" s="566"/>
      <c r="Z69" s="566"/>
      <c r="AA69" s="566"/>
      <c r="AB69" s="566"/>
    </row>
    <row r="70" spans="2:28" s="565" customFormat="1" ht="15" customHeight="1">
      <c r="B70" s="562"/>
      <c r="C70" s="571" t="s">
        <v>6773</v>
      </c>
      <c r="D70" s="1184" t="str">
        <f>CHOOSE(jezyk,n!A1490,n!B1490,n!C1490,n!D1486)</f>
        <v>PODSUMOWANIE</v>
      </c>
      <c r="E70" s="1184"/>
      <c r="F70" s="1184"/>
      <c r="G70" s="1184"/>
      <c r="H70" s="1184"/>
      <c r="I70" s="1184"/>
      <c r="J70" s="1184"/>
      <c r="K70" s="1184"/>
      <c r="L70" s="1184"/>
      <c r="M70" s="1184"/>
      <c r="N70" s="1184"/>
      <c r="O70" s="563"/>
      <c r="P70" s="563"/>
      <c r="Q70" s="563"/>
      <c r="R70" s="563"/>
      <c r="S70" s="563"/>
      <c r="T70" s="563"/>
      <c r="U70" s="571">
        <f>W227</f>
        <v>7</v>
      </c>
      <c r="V70" s="563"/>
      <c r="Y70" s="566"/>
      <c r="Z70" s="566"/>
      <c r="AA70" s="566"/>
      <c r="AB70" s="566"/>
    </row>
    <row r="71" spans="2:28" s="565" customFormat="1">
      <c r="B71" s="562"/>
      <c r="C71" s="563"/>
      <c r="D71" s="563"/>
      <c r="E71" s="563"/>
      <c r="F71" s="563"/>
      <c r="G71" s="563"/>
      <c r="H71" s="563"/>
      <c r="I71" s="563"/>
      <c r="J71" s="563"/>
      <c r="K71" s="563"/>
      <c r="L71" s="563"/>
      <c r="M71" s="563"/>
      <c r="N71" s="563"/>
      <c r="O71" s="563"/>
      <c r="P71" s="563"/>
      <c r="Q71" s="563"/>
      <c r="R71" s="563"/>
      <c r="S71" s="563"/>
      <c r="T71" s="563"/>
      <c r="U71" s="563"/>
      <c r="V71" s="563"/>
      <c r="Y71" s="566"/>
      <c r="Z71" s="566"/>
      <c r="AA71" s="566"/>
      <c r="AB71" s="566"/>
    </row>
    <row r="72" spans="2:28" s="565" customFormat="1">
      <c r="B72" s="562"/>
      <c r="C72" s="563"/>
      <c r="D72" s="563"/>
      <c r="E72" s="563"/>
      <c r="F72" s="563"/>
      <c r="G72" s="563"/>
      <c r="H72" s="563"/>
      <c r="I72" s="563"/>
      <c r="J72" s="563"/>
      <c r="K72" s="563"/>
      <c r="L72" s="563"/>
      <c r="M72" s="563"/>
      <c r="N72" s="563"/>
      <c r="O72" s="563"/>
      <c r="P72" s="563"/>
      <c r="Q72" s="563"/>
      <c r="R72" s="563"/>
      <c r="S72" s="563"/>
      <c r="T72" s="563"/>
      <c r="U72" s="563"/>
      <c r="V72" s="563"/>
      <c r="Y72" s="566"/>
      <c r="Z72" s="566"/>
      <c r="AA72" s="566"/>
      <c r="AB72" s="566"/>
    </row>
    <row r="73" spans="2:28" s="588" customFormat="1">
      <c r="B73" s="584" t="s">
        <v>6530</v>
      </c>
      <c r="C73" s="573" t="str">
        <f>CHOOSE(jezyk,n!A1480,n!B1480,n!C1480,n!D1476)</f>
        <v>WIZYTÓWKA SPÓŁKI</v>
      </c>
      <c r="D73" s="563"/>
      <c r="E73" s="563"/>
      <c r="F73" s="563"/>
      <c r="G73" s="563"/>
      <c r="H73" s="563"/>
      <c r="I73" s="563"/>
      <c r="J73" s="563"/>
      <c r="K73" s="563"/>
      <c r="L73" s="563"/>
      <c r="M73" s="563"/>
      <c r="N73" s="563"/>
      <c r="O73" s="563"/>
      <c r="P73" s="563"/>
      <c r="Q73" s="563"/>
      <c r="R73" s="563"/>
      <c r="S73" s="563"/>
      <c r="T73" s="563"/>
      <c r="U73" s="563"/>
      <c r="V73" s="563"/>
      <c r="W73" s="585">
        <v>3</v>
      </c>
      <c r="X73" s="586" t="s">
        <v>6912</v>
      </c>
      <c r="Y73" s="587"/>
      <c r="Z73" s="587"/>
      <c r="AA73" s="587"/>
      <c r="AB73" s="587"/>
    </row>
    <row r="74" spans="2:28" s="565" customFormat="1">
      <c r="B74" s="562"/>
      <c r="C74" s="563"/>
      <c r="D74" s="563"/>
      <c r="E74" s="563"/>
      <c r="F74" s="563"/>
      <c r="G74" s="563"/>
      <c r="H74" s="563"/>
      <c r="I74" s="563"/>
      <c r="J74" s="563"/>
      <c r="K74" s="563"/>
      <c r="L74" s="563"/>
      <c r="M74" s="563"/>
      <c r="N74" s="563"/>
      <c r="O74" s="563"/>
      <c r="P74" s="563"/>
      <c r="Q74" s="563"/>
      <c r="R74" s="563"/>
      <c r="S74" s="563"/>
      <c r="T74" s="563"/>
      <c r="U74" s="563"/>
      <c r="V74" s="563"/>
      <c r="Y74" s="566"/>
      <c r="Z74" s="566"/>
      <c r="AA74" s="566"/>
      <c r="AB74" s="566"/>
    </row>
    <row r="75" spans="2:28" s="565" customFormat="1">
      <c r="B75" s="562"/>
      <c r="C75" s="563"/>
      <c r="D75" s="563"/>
      <c r="E75" s="563"/>
      <c r="F75" s="563"/>
      <c r="G75" s="563"/>
      <c r="H75" s="563"/>
      <c r="I75" s="563"/>
      <c r="J75" s="563"/>
      <c r="K75" s="563"/>
      <c r="L75" s="563"/>
      <c r="M75" s="563"/>
      <c r="N75" s="563"/>
      <c r="O75" s="563"/>
      <c r="P75" s="563"/>
      <c r="Q75" s="563"/>
      <c r="R75" s="563"/>
      <c r="S75" s="563"/>
      <c r="T75" s="563"/>
      <c r="U75" s="563"/>
      <c r="V75" s="563"/>
      <c r="Y75" s="566"/>
      <c r="Z75" s="566"/>
      <c r="AA75" s="566"/>
      <c r="AB75" s="566"/>
    </row>
    <row r="76" spans="2:28" s="565" customFormat="1">
      <c r="B76" s="562"/>
      <c r="C76" s="563" t="str">
        <f>CHOOSE(jezyk,n!A1491,n!B1491,n!C1491,n!D1487)</f>
        <v>Spółka jest zarejestrowana pod firmą:</v>
      </c>
      <c r="D76" s="563"/>
      <c r="E76" s="563"/>
      <c r="F76" s="563"/>
      <c r="G76" s="563"/>
      <c r="H76" s="563"/>
      <c r="I76" s="563"/>
      <c r="J76" s="563"/>
      <c r="K76" s="563"/>
      <c r="L76" s="563"/>
      <c r="M76" s="563"/>
      <c r="N76" s="563"/>
      <c r="O76" s="589"/>
      <c r="P76" s="589"/>
      <c r="U76" s="589"/>
    </row>
    <row r="77" spans="2:28" s="565" customFormat="1">
      <c r="B77" s="562"/>
      <c r="C77" s="563"/>
      <c r="D77" s="563"/>
      <c r="E77" s="563"/>
      <c r="F77" s="563"/>
      <c r="G77" s="563"/>
      <c r="H77" s="563"/>
      <c r="I77" s="563"/>
      <c r="J77" s="563"/>
      <c r="K77" s="563"/>
      <c r="L77" s="563"/>
      <c r="M77" s="563"/>
      <c r="N77" s="563"/>
      <c r="O77" s="589"/>
      <c r="P77" s="589"/>
      <c r="U77" s="589"/>
      <c r="W77" s="590"/>
    </row>
    <row r="78" spans="2:28" s="565" customFormat="1">
      <c r="B78" s="562"/>
      <c r="C78" s="573" t="str">
        <f>nazwa_spolki</f>
        <v>Rhenus Digital Workforce Sp. z o.o.</v>
      </c>
      <c r="D78" s="563"/>
      <c r="E78" s="563"/>
      <c r="F78" s="563"/>
      <c r="G78" s="563"/>
      <c r="H78" s="563"/>
      <c r="I78" s="563"/>
      <c r="J78" s="563"/>
      <c r="K78" s="563"/>
      <c r="L78" s="563"/>
      <c r="M78" s="563"/>
      <c r="N78" s="563"/>
      <c r="O78" s="589"/>
      <c r="P78" s="589"/>
      <c r="U78" s="589"/>
    </row>
    <row r="79" spans="2:28" s="565" customFormat="1">
      <c r="B79" s="562"/>
      <c r="C79" s="563"/>
      <c r="D79" s="563"/>
      <c r="E79" s="563"/>
      <c r="F79" s="563"/>
      <c r="G79" s="563"/>
      <c r="H79" s="563"/>
      <c r="I79" s="563"/>
      <c r="J79" s="563"/>
      <c r="K79" s="563"/>
      <c r="L79" s="563"/>
      <c r="M79" s="563"/>
      <c r="N79" s="563"/>
      <c r="O79" s="589"/>
      <c r="P79" s="589"/>
      <c r="U79" s="589"/>
    </row>
    <row r="80" spans="2:28" s="565" customFormat="1" ht="25.5" customHeight="1">
      <c r="B80" s="562"/>
      <c r="C80" s="1189" t="str">
        <f>CHOOSE(jezyk,n!A1657,n!B1657,n!C1657,n!D1653)</f>
        <v xml:space="preserve">w Sądzie Rejonowym dla ……………., ………... Wydział Gospodarczy Krajowego Rejestru Sądowego, numer rejestru ………….. </v>
      </c>
      <c r="D80" s="1189"/>
      <c r="E80" s="1189"/>
      <c r="F80" s="1189"/>
      <c r="G80" s="1189"/>
      <c r="H80" s="1189"/>
      <c r="I80" s="1189"/>
      <c r="J80" s="1189"/>
      <c r="K80" s="1189"/>
      <c r="L80" s="1189"/>
      <c r="M80" s="1189"/>
      <c r="N80" s="1189"/>
      <c r="O80" s="1189"/>
      <c r="P80" s="1189"/>
      <c r="Q80" s="1189"/>
      <c r="R80" s="1189"/>
      <c r="S80" s="1189"/>
      <c r="T80" s="1189"/>
      <c r="U80" s="1189"/>
      <c r="V80" s="1189"/>
    </row>
    <row r="81" spans="2:28" s="565" customFormat="1">
      <c r="B81" s="562"/>
      <c r="C81" s="563"/>
      <c r="D81" s="563"/>
      <c r="E81" s="563"/>
      <c r="F81" s="563"/>
      <c r="G81" s="563"/>
      <c r="H81" s="563"/>
      <c r="I81" s="563"/>
      <c r="J81" s="563"/>
      <c r="K81" s="563"/>
      <c r="L81" s="563"/>
      <c r="M81" s="563"/>
      <c r="N81" s="563"/>
      <c r="O81" s="589"/>
      <c r="P81" s="589"/>
      <c r="U81" s="589"/>
    </row>
    <row r="82" spans="2:28" s="565" customFormat="1">
      <c r="B82" s="562"/>
      <c r="C82" s="106" t="str">
        <f>CHOOSE(jezyk,n!A1492,n!B1492,n!C1492,n!D1488)</f>
        <v>Siedzibą Spółki jest Warszawa 02-595, ul. ul. Puławska 99</v>
      </c>
      <c r="D82" s="563"/>
      <c r="E82" s="563"/>
      <c r="F82" s="563"/>
      <c r="G82" s="563"/>
      <c r="H82" s="563"/>
      <c r="I82" s="563"/>
      <c r="J82" s="563"/>
      <c r="K82" s="563"/>
      <c r="L82" s="563"/>
      <c r="M82" s="563"/>
      <c r="N82" s="563"/>
      <c r="O82" s="589"/>
      <c r="P82" s="589"/>
      <c r="U82" s="589"/>
    </row>
    <row r="83" spans="2:28" s="565" customFormat="1">
      <c r="B83" s="562"/>
      <c r="C83" s="563"/>
      <c r="D83" s="563"/>
      <c r="E83" s="563"/>
      <c r="F83" s="563"/>
      <c r="G83" s="563"/>
      <c r="H83" s="563"/>
      <c r="I83" s="563"/>
      <c r="J83" s="563"/>
      <c r="K83" s="563"/>
      <c r="L83" s="563"/>
      <c r="M83" s="563"/>
      <c r="N83" s="563"/>
      <c r="O83" s="589"/>
      <c r="P83" s="589"/>
      <c r="U83" s="589"/>
    </row>
    <row r="84" spans="2:28" s="565" customFormat="1" ht="38.25" customHeight="1">
      <c r="B84" s="562"/>
      <c r="C84" s="1172" t="str">
        <f>CHOOSE(jezyk,n!A1658,n!B1658,n!C1658,n!D1654)</f>
        <v>Podstawą działalności Spółki jest umowa Spółki z dnia ……………..,  sporządzona w (nawa kancelarii) w (miasto) pod sygnaturą akt Repertorium ……………. wraz z późniejszymi zmianami.</v>
      </c>
      <c r="D84" s="1172"/>
      <c r="E84" s="1172"/>
      <c r="F84" s="1172"/>
      <c r="G84" s="1172"/>
      <c r="H84" s="1172"/>
      <c r="I84" s="1172"/>
      <c r="J84" s="1172"/>
      <c r="K84" s="1172"/>
      <c r="L84" s="1172"/>
      <c r="M84" s="1172"/>
      <c r="N84" s="1172"/>
      <c r="O84" s="1172"/>
      <c r="P84" s="1172"/>
      <c r="Q84" s="1172"/>
      <c r="R84" s="1172"/>
      <c r="S84" s="1172"/>
      <c r="T84" s="1172"/>
      <c r="U84" s="1172"/>
      <c r="V84" s="1172"/>
      <c r="Y84" s="566"/>
      <c r="Z84" s="566"/>
      <c r="AA84" s="566"/>
      <c r="AB84" s="566"/>
    </row>
    <row r="85" spans="2:28" s="565" customFormat="1" ht="12.75" customHeight="1">
      <c r="B85" s="591"/>
      <c r="C85" s="591"/>
      <c r="D85" s="591"/>
      <c r="E85" s="591"/>
      <c r="F85" s="591"/>
      <c r="G85" s="591"/>
      <c r="H85" s="591"/>
      <c r="I85" s="591"/>
      <c r="J85" s="591"/>
      <c r="K85" s="591"/>
      <c r="L85" s="591"/>
      <c r="M85" s="591"/>
      <c r="N85" s="591"/>
      <c r="O85" s="591"/>
      <c r="P85" s="591"/>
      <c r="Q85" s="591"/>
      <c r="R85" s="591"/>
      <c r="S85" s="591"/>
      <c r="T85" s="591"/>
      <c r="U85" s="591"/>
      <c r="V85" s="591"/>
      <c r="Y85" s="566"/>
      <c r="Z85" s="566"/>
      <c r="AA85" s="566"/>
      <c r="AB85" s="566"/>
    </row>
    <row r="86" spans="2:28" s="565" customFormat="1">
      <c r="B86" s="584" t="str">
        <f>CHOOSE(jezyk,n!A1493,n!B1493,n!C1493,n!D1489)</f>
        <v>Kapitał zakładowy</v>
      </c>
      <c r="C86" s="563"/>
      <c r="D86" s="563"/>
      <c r="E86" s="563"/>
      <c r="F86" s="563"/>
      <c r="G86" s="563"/>
      <c r="H86" s="563"/>
      <c r="I86" s="563"/>
      <c r="J86" s="563"/>
      <c r="K86" s="563"/>
      <c r="L86" s="563"/>
      <c r="M86" s="563"/>
      <c r="N86" s="563"/>
      <c r="O86" s="589"/>
      <c r="P86" s="589"/>
      <c r="U86" s="589"/>
    </row>
    <row r="87" spans="2:28" s="565" customFormat="1">
      <c r="B87" s="562"/>
      <c r="C87" s="563"/>
      <c r="D87" s="563"/>
      <c r="E87" s="563"/>
      <c r="F87" s="563"/>
      <c r="G87" s="563"/>
      <c r="H87" s="563"/>
      <c r="I87" s="563"/>
      <c r="J87" s="563"/>
      <c r="K87" s="563"/>
      <c r="L87" s="563"/>
      <c r="M87" s="563"/>
      <c r="N87" s="563"/>
      <c r="O87" s="563"/>
      <c r="P87" s="563"/>
      <c r="Q87" s="563"/>
      <c r="R87" s="563"/>
      <c r="S87" s="563"/>
      <c r="T87" s="563"/>
      <c r="U87" s="563"/>
      <c r="V87" s="563"/>
      <c r="Y87" s="566"/>
      <c r="Z87" s="566"/>
      <c r="AA87" s="566"/>
      <c r="AB87" s="566"/>
    </row>
    <row r="88" spans="2:28" s="565" customFormat="1" ht="25.5" customHeight="1">
      <c r="B88" s="562"/>
      <c r="C88" s="1172" t="str">
        <f>CHOOSE(jezyk,n!A1659,n!B1659,n!C1659,n!D1655)</f>
        <v>Kapitał zakładowy Spółki  wynosi PLN ………….... Składa się z ………. udziałów o wartości nominalnej PLN ………. każdy.</v>
      </c>
      <c r="D88" s="1172"/>
      <c r="E88" s="1172"/>
      <c r="F88" s="1172"/>
      <c r="G88" s="1172"/>
      <c r="H88" s="1172"/>
      <c r="I88" s="1172"/>
      <c r="J88" s="1172"/>
      <c r="K88" s="1172"/>
      <c r="L88" s="1172"/>
      <c r="M88" s="1172"/>
      <c r="N88" s="1172"/>
      <c r="O88" s="1172"/>
      <c r="P88" s="1172"/>
      <c r="Q88" s="1172"/>
      <c r="R88" s="1172"/>
      <c r="S88" s="1172"/>
      <c r="T88" s="1172"/>
      <c r="U88" s="1172"/>
      <c r="V88" s="1172"/>
      <c r="Y88" s="566"/>
      <c r="Z88" s="566"/>
      <c r="AA88" s="566"/>
      <c r="AB88" s="566"/>
    </row>
    <row r="89" spans="2:28" s="565" customFormat="1">
      <c r="B89" s="562"/>
      <c r="C89" s="563"/>
      <c r="D89" s="563"/>
      <c r="E89" s="563"/>
      <c r="F89" s="563"/>
      <c r="G89" s="563"/>
      <c r="H89" s="563"/>
      <c r="I89" s="563"/>
      <c r="J89" s="563"/>
      <c r="K89" s="563"/>
      <c r="L89" s="563"/>
      <c r="M89" s="563"/>
      <c r="N89" s="563"/>
      <c r="O89" s="563"/>
      <c r="P89" s="563"/>
      <c r="Q89" s="563"/>
      <c r="R89" s="563"/>
      <c r="S89" s="563"/>
      <c r="T89" s="563"/>
      <c r="U89" s="563"/>
      <c r="V89" s="563"/>
      <c r="Y89" s="566"/>
      <c r="Z89" s="566"/>
      <c r="AA89" s="566"/>
      <c r="AB89" s="566"/>
    </row>
    <row r="90" spans="2:28" s="565" customFormat="1" ht="38.25" customHeight="1">
      <c r="B90" s="562"/>
      <c r="C90" s="1172" t="s">
        <v>6913</v>
      </c>
      <c r="D90" s="1172"/>
      <c r="E90" s="1172"/>
      <c r="F90" s="1172"/>
      <c r="G90" s="1172"/>
      <c r="H90" s="1172"/>
      <c r="I90" s="1172"/>
      <c r="J90" s="1172"/>
      <c r="K90" s="1172"/>
      <c r="L90" s="1172"/>
      <c r="M90" s="1172"/>
      <c r="N90" s="1172"/>
      <c r="O90" s="1172"/>
      <c r="P90" s="1172"/>
      <c r="Q90" s="1172"/>
      <c r="R90" s="1172"/>
      <c r="S90" s="1172"/>
      <c r="T90" s="1172"/>
      <c r="U90" s="1172"/>
      <c r="V90" s="1172"/>
      <c r="Y90" s="566"/>
      <c r="Z90" s="566"/>
      <c r="AA90" s="566"/>
      <c r="AB90" s="566"/>
    </row>
    <row r="91" spans="2:28" s="565" customFormat="1">
      <c r="B91" s="562"/>
      <c r="C91" s="563"/>
      <c r="D91" s="563"/>
      <c r="E91" s="563"/>
      <c r="F91" s="563"/>
      <c r="G91" s="563"/>
      <c r="H91" s="563"/>
      <c r="I91" s="563"/>
      <c r="J91" s="563"/>
      <c r="K91" s="563"/>
      <c r="L91" s="563"/>
      <c r="M91" s="563"/>
      <c r="N91" s="563"/>
      <c r="O91" s="563"/>
      <c r="P91" s="563"/>
      <c r="Q91" s="563"/>
      <c r="R91" s="563"/>
      <c r="S91" s="563"/>
      <c r="T91" s="563"/>
      <c r="U91" s="563"/>
      <c r="V91" s="563"/>
      <c r="Y91" s="566"/>
      <c r="Z91" s="566"/>
      <c r="AA91" s="566"/>
      <c r="AB91" s="566"/>
    </row>
    <row r="92" spans="2:28" s="565" customFormat="1">
      <c r="B92" s="584" t="str">
        <f>CHOOSE(jezyk,n!A1494,n!B1494,n!C1494,n!D1490)</f>
        <v>Zarząd i przedstawicielstwo</v>
      </c>
      <c r="C92" s="563"/>
      <c r="D92" s="563"/>
      <c r="E92" s="563"/>
      <c r="F92" s="563"/>
      <c r="G92" s="563"/>
      <c r="H92" s="563"/>
      <c r="I92" s="563"/>
      <c r="J92" s="563"/>
      <c r="K92" s="563"/>
      <c r="L92" s="563"/>
      <c r="M92" s="563"/>
      <c r="N92" s="563"/>
      <c r="O92" s="589"/>
      <c r="P92" s="589"/>
      <c r="U92" s="589"/>
    </row>
    <row r="93" spans="2:28" s="565" customFormat="1">
      <c r="B93" s="562"/>
      <c r="C93" s="563"/>
      <c r="D93" s="563"/>
      <c r="E93" s="563"/>
      <c r="F93" s="563"/>
      <c r="G93" s="563"/>
      <c r="H93" s="563"/>
      <c r="I93" s="563"/>
      <c r="J93" s="563"/>
      <c r="K93" s="563"/>
      <c r="L93" s="563"/>
      <c r="M93" s="563"/>
      <c r="N93" s="563"/>
      <c r="O93" s="589"/>
      <c r="P93" s="589"/>
      <c r="U93" s="589"/>
    </row>
    <row r="94" spans="2:28" s="565" customFormat="1">
      <c r="B94" s="562"/>
      <c r="C94" s="563" t="str">
        <f>CHOOSE(jezyk,n!A1495,n!B1495,n!C1495,n!D1491)</f>
        <v>W okresie sprawozdawczym Zarząd sprawowali:</v>
      </c>
      <c r="D94" s="563"/>
      <c r="E94" s="563"/>
      <c r="F94" s="563"/>
      <c r="G94" s="563"/>
      <c r="H94" s="563"/>
      <c r="I94" s="563"/>
      <c r="J94" s="563"/>
      <c r="K94" s="563"/>
      <c r="L94" s="563"/>
      <c r="M94" s="563"/>
      <c r="N94" s="563"/>
      <c r="O94" s="589"/>
      <c r="P94" s="589"/>
      <c r="U94" s="589"/>
    </row>
    <row r="95" spans="2:28" s="565" customFormat="1">
      <c r="B95" s="562"/>
      <c r="C95" s="563"/>
      <c r="D95" s="563"/>
      <c r="E95" s="563"/>
      <c r="F95" s="563"/>
      <c r="G95" s="563"/>
      <c r="H95" s="563"/>
      <c r="I95" s="563"/>
      <c r="J95" s="563"/>
      <c r="K95" s="563"/>
      <c r="L95" s="563"/>
      <c r="M95" s="563"/>
      <c r="N95" s="563"/>
      <c r="O95" s="589"/>
      <c r="P95" s="589"/>
      <c r="U95" s="589"/>
    </row>
    <row r="96" spans="2:28" s="565" customFormat="1">
      <c r="B96" s="562"/>
      <c r="C96" s="563"/>
      <c r="D96" s="563"/>
      <c r="E96" s="1171" t="str">
        <f>CHOOSE(jezyk,n!A1662,n!B1662,n!C1662,n!D1658)</f>
        <v>Pan/Pani</v>
      </c>
      <c r="F96" s="1171"/>
      <c r="G96" s="1171"/>
      <c r="H96" s="1171"/>
      <c r="I96" s="1171"/>
      <c r="J96" s="1171"/>
      <c r="K96" s="1171"/>
      <c r="L96" s="1171"/>
      <c r="M96" s="1171"/>
      <c r="N96" s="563"/>
      <c r="O96" s="589"/>
      <c r="P96" s="589"/>
      <c r="U96" s="589"/>
    </row>
    <row r="97" spans="2:21" s="565" customFormat="1">
      <c r="B97" s="562"/>
      <c r="C97" s="563"/>
      <c r="D97" s="563"/>
      <c r="E97" s="563"/>
      <c r="F97" s="563"/>
      <c r="G97" s="563"/>
      <c r="H97" s="563"/>
      <c r="I97" s="563"/>
      <c r="J97" s="563"/>
      <c r="K97" s="563"/>
      <c r="L97" s="563"/>
      <c r="M97" s="563"/>
      <c r="N97" s="563"/>
      <c r="O97" s="589"/>
      <c r="P97" s="589"/>
      <c r="U97" s="589"/>
    </row>
    <row r="98" spans="2:21" s="565" customFormat="1">
      <c r="B98" s="562"/>
      <c r="C98" s="563"/>
      <c r="D98" s="563"/>
      <c r="E98" s="1171" t="str">
        <f>CHOOSE(jezyk,n!A1662,n!B1662,n!C1662,n!D1658)</f>
        <v>Pan/Pani</v>
      </c>
      <c r="F98" s="1171"/>
      <c r="G98" s="1171"/>
      <c r="H98" s="1171"/>
      <c r="I98" s="1171"/>
      <c r="J98" s="1171"/>
      <c r="K98" s="1171"/>
      <c r="L98" s="1171"/>
      <c r="M98" s="1171"/>
      <c r="N98" s="563"/>
      <c r="O98" s="589"/>
      <c r="P98" s="589"/>
      <c r="U98" s="589"/>
    </row>
    <row r="99" spans="2:21" s="565" customFormat="1">
      <c r="B99" s="562"/>
      <c r="C99" s="563"/>
      <c r="D99" s="563"/>
      <c r="E99" s="563"/>
      <c r="F99" s="563"/>
      <c r="G99" s="563"/>
      <c r="H99" s="563"/>
      <c r="I99" s="563"/>
      <c r="J99" s="563"/>
      <c r="K99" s="563"/>
      <c r="L99" s="563"/>
      <c r="M99" s="563"/>
      <c r="N99" s="563"/>
      <c r="O99" s="589"/>
      <c r="P99" s="589"/>
      <c r="U99" s="589"/>
    </row>
    <row r="100" spans="2:21" s="565" customFormat="1">
      <c r="B100" s="584" t="str">
        <f>CHOOSE(jezyk,n!A1496,n!B1496,n!C1496,n!D1492)</f>
        <v>Rada Nadzorcza</v>
      </c>
      <c r="C100" s="563"/>
      <c r="D100" s="563"/>
      <c r="E100" s="563"/>
      <c r="F100" s="563"/>
      <c r="G100" s="563"/>
      <c r="H100" s="563"/>
      <c r="I100" s="563"/>
      <c r="J100" s="563"/>
      <c r="K100" s="563"/>
      <c r="L100" s="563"/>
      <c r="M100" s="563"/>
      <c r="N100" s="563"/>
      <c r="O100" s="589"/>
      <c r="P100" s="589"/>
      <c r="U100" s="589"/>
    </row>
    <row r="101" spans="2:21" s="565" customFormat="1">
      <c r="B101" s="562"/>
      <c r="C101" s="563"/>
      <c r="D101" s="563"/>
      <c r="E101" s="563"/>
      <c r="F101" s="563"/>
      <c r="G101" s="563"/>
      <c r="H101" s="563"/>
      <c r="I101" s="563"/>
      <c r="J101" s="563"/>
      <c r="K101" s="563"/>
      <c r="L101" s="563"/>
      <c r="M101" s="563"/>
      <c r="N101" s="563"/>
      <c r="O101" s="589"/>
      <c r="P101" s="589"/>
      <c r="U101" s="589"/>
    </row>
    <row r="102" spans="2:21" s="565" customFormat="1">
      <c r="B102" s="562"/>
      <c r="C102" s="563" t="str">
        <f>CHOOSE(jezyk,n!A1497,n!B1497,n!C1497,n!D1493)</f>
        <v>W Radzie Nadzorczej zasiadają:</v>
      </c>
      <c r="D102" s="563"/>
      <c r="E102" s="563"/>
      <c r="F102" s="563"/>
      <c r="G102" s="563"/>
      <c r="H102" s="563"/>
      <c r="I102" s="563"/>
      <c r="J102" s="563"/>
      <c r="K102" s="563"/>
      <c r="L102" s="563"/>
      <c r="M102" s="563"/>
      <c r="N102" s="563"/>
      <c r="O102" s="589"/>
      <c r="P102" s="589"/>
      <c r="U102" s="589"/>
    </row>
    <row r="103" spans="2:21" s="565" customFormat="1">
      <c r="B103" s="562"/>
      <c r="C103" s="563"/>
      <c r="D103" s="563"/>
      <c r="E103" s="563"/>
      <c r="F103" s="563"/>
      <c r="G103" s="563"/>
      <c r="H103" s="563"/>
      <c r="I103" s="563"/>
      <c r="J103" s="563"/>
      <c r="K103" s="563"/>
      <c r="L103" s="563"/>
      <c r="M103" s="563"/>
      <c r="N103" s="563"/>
      <c r="O103" s="589"/>
      <c r="P103" s="589"/>
      <c r="U103" s="589"/>
    </row>
    <row r="104" spans="2:21" s="565" customFormat="1">
      <c r="B104" s="562"/>
      <c r="C104" s="563"/>
      <c r="D104" s="563"/>
      <c r="E104" s="1171" t="str">
        <f>CHOOSE(jezyk,n!A1662,n!B1662,n!C1662,n!D1658)</f>
        <v>Pan/Pani</v>
      </c>
      <c r="F104" s="1171"/>
      <c r="G104" s="1171"/>
      <c r="H104" s="1171"/>
      <c r="I104" s="1171"/>
      <c r="J104" s="1171"/>
      <c r="K104" s="1171"/>
      <c r="L104" s="1171"/>
      <c r="M104" s="1171"/>
      <c r="N104" s="563"/>
      <c r="O104" s="589"/>
      <c r="P104" s="589"/>
      <c r="U104" s="589"/>
    </row>
    <row r="105" spans="2:21" s="565" customFormat="1">
      <c r="B105" s="562"/>
      <c r="C105" s="563"/>
      <c r="D105" s="563"/>
      <c r="E105" s="563"/>
      <c r="F105" s="563"/>
      <c r="G105" s="563"/>
      <c r="H105" s="563"/>
      <c r="I105" s="563"/>
      <c r="J105" s="563"/>
      <c r="K105" s="563"/>
      <c r="L105" s="563"/>
      <c r="M105" s="563"/>
      <c r="N105" s="563"/>
      <c r="O105" s="589"/>
      <c r="P105" s="589"/>
      <c r="U105" s="589"/>
    </row>
    <row r="106" spans="2:21" s="565" customFormat="1">
      <c r="B106" s="562"/>
      <c r="C106" s="563"/>
      <c r="D106" s="563"/>
      <c r="E106" s="1171" t="str">
        <f>CHOOSE(jezyk,n!A1662,n!B1662,n!C1662,n!D1658)</f>
        <v>Pan/Pani</v>
      </c>
      <c r="F106" s="1171"/>
      <c r="G106" s="1171"/>
      <c r="H106" s="1171"/>
      <c r="I106" s="1171"/>
      <c r="J106" s="1171"/>
      <c r="K106" s="1171"/>
      <c r="L106" s="1171"/>
      <c r="M106" s="1171"/>
      <c r="N106" s="563"/>
      <c r="O106" s="589"/>
      <c r="P106" s="589"/>
      <c r="U106" s="589"/>
    </row>
    <row r="107" spans="2:21" s="565" customFormat="1">
      <c r="B107" s="562"/>
      <c r="C107" s="563"/>
      <c r="D107" s="563"/>
      <c r="E107" s="563"/>
      <c r="F107" s="563"/>
      <c r="G107" s="563"/>
      <c r="H107" s="563"/>
      <c r="I107" s="563"/>
      <c r="J107" s="563"/>
      <c r="K107" s="563"/>
      <c r="L107" s="563"/>
      <c r="M107" s="563"/>
      <c r="N107" s="563"/>
      <c r="O107" s="589"/>
      <c r="P107" s="589"/>
      <c r="U107" s="589"/>
    </row>
    <row r="108" spans="2:21" s="565" customFormat="1">
      <c r="B108" s="562"/>
      <c r="C108" s="563"/>
      <c r="D108" s="563"/>
      <c r="E108" s="1171" t="str">
        <f>CHOOSE(jezyk,n!A1662,n!B1662,n!C1662,n!D1658)</f>
        <v>Pan/Pani</v>
      </c>
      <c r="F108" s="1171"/>
      <c r="G108" s="1171"/>
      <c r="H108" s="1171"/>
      <c r="I108" s="1171"/>
      <c r="J108" s="1171"/>
      <c r="K108" s="1171"/>
      <c r="L108" s="1171"/>
      <c r="M108" s="1171"/>
      <c r="N108" s="563"/>
      <c r="O108" s="589"/>
      <c r="P108" s="589"/>
      <c r="U108" s="589"/>
    </row>
    <row r="109" spans="2:21" s="565" customFormat="1">
      <c r="B109" s="562"/>
      <c r="C109" s="563"/>
      <c r="D109" s="563"/>
      <c r="N109" s="563"/>
      <c r="O109" s="589"/>
      <c r="P109" s="589"/>
      <c r="U109" s="589"/>
    </row>
    <row r="110" spans="2:21" s="565" customFormat="1">
      <c r="B110" s="562"/>
      <c r="C110" s="563"/>
      <c r="D110" s="563"/>
      <c r="E110" s="563"/>
      <c r="F110" s="563"/>
      <c r="G110" s="563"/>
      <c r="H110" s="563"/>
      <c r="I110" s="563"/>
      <c r="J110" s="563"/>
      <c r="K110" s="563"/>
      <c r="L110" s="563"/>
      <c r="M110" s="563"/>
      <c r="N110" s="563"/>
      <c r="O110" s="589"/>
      <c r="P110" s="589"/>
      <c r="U110" s="589"/>
    </row>
    <row r="111" spans="2:21" s="565" customFormat="1">
      <c r="B111" s="584" t="str">
        <f>CHOOSE(jezyk,n!A1498,n!B1498,n!C1498,n!D1494)</f>
        <v>Przedmiot działalności jednostki</v>
      </c>
      <c r="C111" s="563"/>
      <c r="D111" s="563"/>
      <c r="E111" s="563"/>
      <c r="F111" s="563"/>
      <c r="G111" s="563"/>
      <c r="H111" s="563"/>
      <c r="I111" s="563"/>
      <c r="J111" s="563"/>
      <c r="K111" s="563"/>
      <c r="L111" s="563"/>
      <c r="M111" s="563"/>
      <c r="N111" s="563"/>
      <c r="O111" s="589"/>
      <c r="P111" s="589"/>
      <c r="U111" s="589"/>
    </row>
    <row r="112" spans="2:21" s="565" customFormat="1">
      <c r="B112" s="562"/>
      <c r="C112" s="563"/>
      <c r="D112" s="563"/>
      <c r="E112" s="563"/>
      <c r="F112" s="563"/>
      <c r="G112" s="563"/>
      <c r="H112" s="563"/>
      <c r="I112" s="563"/>
      <c r="J112" s="563"/>
      <c r="K112" s="563"/>
      <c r="L112" s="563"/>
      <c r="M112" s="563"/>
      <c r="N112" s="563"/>
      <c r="O112" s="589"/>
      <c r="P112" s="589"/>
      <c r="U112" s="589"/>
    </row>
    <row r="113" spans="2:28" s="565" customFormat="1">
      <c r="B113" s="562"/>
      <c r="C113" s="563" t="str">
        <f>CHOOSE(jezyk,n!A1499,n!B1499,n!C1499,n!D1495)</f>
        <v>Przedmiotem działalności jednostki jest:</v>
      </c>
      <c r="D113" s="563"/>
      <c r="E113" s="563"/>
      <c r="F113" s="563"/>
      <c r="G113" s="563"/>
      <c r="H113" s="563"/>
      <c r="I113" s="563"/>
      <c r="J113" s="563"/>
      <c r="K113" s="563"/>
      <c r="L113" s="563"/>
      <c r="M113" s="563"/>
      <c r="N113" s="563"/>
      <c r="O113" s="589"/>
      <c r="P113" s="589"/>
      <c r="U113" s="589"/>
      <c r="W113" s="590"/>
    </row>
    <row r="114" spans="2:28" s="565" customFormat="1" ht="14.25" customHeight="1">
      <c r="B114" s="562"/>
      <c r="C114" s="563"/>
      <c r="D114" s="563"/>
      <c r="E114" s="563"/>
      <c r="F114" s="563"/>
      <c r="G114" s="563"/>
      <c r="H114" s="563"/>
      <c r="I114" s="563"/>
      <c r="J114" s="563"/>
      <c r="K114" s="563"/>
      <c r="L114" s="563"/>
      <c r="M114" s="563"/>
      <c r="N114" s="563"/>
      <c r="O114" s="589"/>
      <c r="P114" s="589"/>
      <c r="U114" s="589"/>
    </row>
    <row r="115" spans="2:28" s="565" customFormat="1">
      <c r="B115" s="562"/>
      <c r="C115" s="592" t="s">
        <v>6547</v>
      </c>
      <c r="D115" s="1177"/>
      <c r="E115" s="1177"/>
      <c r="F115" s="1177"/>
      <c r="G115" s="1177"/>
      <c r="H115" s="1177"/>
      <c r="I115" s="1177"/>
      <c r="J115" s="1177"/>
      <c r="K115" s="1177"/>
      <c r="L115" s="1177"/>
      <c r="M115" s="1177"/>
      <c r="N115" s="1177"/>
      <c r="O115" s="1177"/>
      <c r="P115" s="1177"/>
      <c r="Q115" s="1177"/>
      <c r="R115" s="1177"/>
      <c r="S115" s="1177"/>
    </row>
    <row r="116" spans="2:28" s="565" customFormat="1" ht="14.25" customHeight="1">
      <c r="B116" s="562"/>
      <c r="C116" s="563"/>
      <c r="D116" s="563"/>
      <c r="E116" s="563"/>
      <c r="F116" s="563"/>
      <c r="G116" s="563"/>
      <c r="H116" s="563"/>
      <c r="I116" s="563"/>
      <c r="J116" s="563"/>
      <c r="K116" s="563"/>
      <c r="L116" s="563"/>
      <c r="M116" s="563"/>
      <c r="N116" s="563"/>
      <c r="O116" s="589"/>
      <c r="P116" s="589"/>
      <c r="U116" s="589"/>
    </row>
    <row r="117" spans="2:28" s="565" customFormat="1">
      <c r="B117" s="562"/>
      <c r="C117" s="592" t="s">
        <v>6547</v>
      </c>
      <c r="D117" s="1177"/>
      <c r="E117" s="1177"/>
      <c r="F117" s="1177"/>
      <c r="G117" s="1177"/>
      <c r="H117" s="1177"/>
      <c r="I117" s="1177"/>
      <c r="J117" s="1177"/>
      <c r="K117" s="1177"/>
      <c r="L117" s="1177"/>
      <c r="M117" s="1177"/>
      <c r="N117" s="1177"/>
      <c r="O117" s="1177"/>
      <c r="P117" s="1177"/>
      <c r="Q117" s="1177"/>
      <c r="R117" s="1177"/>
      <c r="S117" s="1177"/>
      <c r="U117" s="589"/>
    </row>
    <row r="118" spans="2:28" s="565" customFormat="1" ht="14.25" customHeight="1">
      <c r="B118" s="562"/>
      <c r="C118" s="563"/>
      <c r="D118" s="563"/>
      <c r="E118" s="563"/>
      <c r="F118" s="563"/>
      <c r="G118" s="563"/>
      <c r="H118" s="563"/>
      <c r="I118" s="563"/>
      <c r="J118" s="563"/>
      <c r="K118" s="563"/>
      <c r="L118" s="563"/>
      <c r="M118" s="563"/>
      <c r="N118" s="563"/>
      <c r="O118" s="589"/>
      <c r="P118" s="589"/>
      <c r="U118" s="589"/>
    </row>
    <row r="119" spans="2:28" s="565" customFormat="1">
      <c r="B119" s="562"/>
      <c r="C119" s="592" t="s">
        <v>6547</v>
      </c>
      <c r="D119" s="1177"/>
      <c r="E119" s="1177"/>
      <c r="F119" s="1177"/>
      <c r="G119" s="1177"/>
      <c r="H119" s="1177"/>
      <c r="I119" s="1177"/>
      <c r="J119" s="1177"/>
      <c r="K119" s="1177"/>
      <c r="L119" s="1177"/>
      <c r="M119" s="1177"/>
      <c r="N119" s="1177"/>
      <c r="O119" s="1177"/>
      <c r="P119" s="1177"/>
      <c r="Q119" s="1177"/>
      <c r="R119" s="1177"/>
      <c r="S119" s="1177"/>
      <c r="U119" s="589"/>
    </row>
    <row r="120" spans="2:28" s="565" customFormat="1" ht="14.25" customHeight="1">
      <c r="B120" s="562"/>
      <c r="C120" s="563"/>
      <c r="D120" s="563"/>
      <c r="E120" s="563"/>
      <c r="F120" s="563"/>
      <c r="G120" s="563"/>
      <c r="H120" s="563"/>
      <c r="I120" s="563"/>
      <c r="J120" s="563"/>
      <c r="K120" s="563"/>
      <c r="L120" s="563"/>
      <c r="M120" s="563"/>
      <c r="N120" s="563"/>
      <c r="O120" s="589"/>
      <c r="P120" s="589"/>
      <c r="U120" s="589"/>
    </row>
    <row r="121" spans="2:28" s="565" customFormat="1">
      <c r="B121" s="562"/>
      <c r="C121" s="593" t="s">
        <v>6547</v>
      </c>
      <c r="D121" s="1188"/>
      <c r="E121" s="1188"/>
      <c r="F121" s="1188"/>
      <c r="G121" s="1188"/>
      <c r="H121" s="1188"/>
      <c r="I121" s="1188"/>
      <c r="J121" s="1188"/>
      <c r="K121" s="1188"/>
      <c r="L121" s="1188"/>
      <c r="M121" s="1188"/>
      <c r="N121" s="1188"/>
      <c r="O121" s="1188"/>
      <c r="P121" s="1188"/>
      <c r="Q121" s="1188"/>
      <c r="R121" s="1188"/>
      <c r="S121" s="1188"/>
      <c r="T121" s="594"/>
      <c r="U121" s="594"/>
      <c r="V121" s="594"/>
    </row>
    <row r="122" spans="2:28" s="565" customFormat="1" ht="14.25" customHeight="1">
      <c r="B122" s="562"/>
      <c r="C122" s="563"/>
      <c r="D122" s="563"/>
      <c r="E122" s="563"/>
      <c r="F122" s="563"/>
      <c r="G122" s="563"/>
      <c r="H122" s="563"/>
      <c r="I122" s="563"/>
      <c r="J122" s="563"/>
      <c r="K122" s="563"/>
      <c r="L122" s="563"/>
      <c r="M122" s="563"/>
      <c r="N122" s="563"/>
      <c r="O122" s="589"/>
      <c r="P122" s="589"/>
      <c r="U122" s="589"/>
    </row>
    <row r="123" spans="2:28" s="565" customFormat="1">
      <c r="B123" s="562"/>
      <c r="C123" s="592" t="s">
        <v>6547</v>
      </c>
      <c r="D123" s="1177"/>
      <c r="E123" s="1177"/>
      <c r="F123" s="1177"/>
      <c r="G123" s="1177"/>
      <c r="H123" s="1177"/>
      <c r="I123" s="1177"/>
      <c r="J123" s="1177"/>
      <c r="K123" s="1177"/>
      <c r="L123" s="1177"/>
      <c r="M123" s="1177"/>
      <c r="N123" s="1177"/>
      <c r="O123" s="1177"/>
      <c r="P123" s="1177"/>
      <c r="Q123" s="1177"/>
      <c r="R123" s="1177"/>
      <c r="S123" s="1177"/>
      <c r="U123" s="589"/>
    </row>
    <row r="124" spans="2:28" s="565" customFormat="1" ht="14.25" customHeight="1">
      <c r="B124" s="562"/>
      <c r="C124" s="563"/>
      <c r="D124" s="563"/>
      <c r="E124" s="563"/>
      <c r="F124" s="563"/>
      <c r="G124" s="563"/>
      <c r="H124" s="563"/>
      <c r="I124" s="563"/>
      <c r="J124" s="563"/>
      <c r="K124" s="563"/>
      <c r="L124" s="563"/>
      <c r="M124" s="563"/>
      <c r="N124" s="563"/>
      <c r="O124" s="589"/>
      <c r="P124" s="589"/>
      <c r="U124" s="589"/>
    </row>
    <row r="125" spans="2:28" s="565" customFormat="1">
      <c r="B125" s="562"/>
      <c r="C125" s="592" t="s">
        <v>6547</v>
      </c>
      <c r="D125" s="1171"/>
      <c r="E125" s="1171"/>
      <c r="F125" s="1171"/>
      <c r="G125" s="1171"/>
      <c r="H125" s="1171"/>
      <c r="I125" s="1171"/>
      <c r="J125" s="1171"/>
      <c r="K125" s="1171"/>
      <c r="L125" s="1171"/>
      <c r="M125" s="1171"/>
      <c r="N125" s="1171"/>
      <c r="O125" s="1171"/>
      <c r="P125" s="1171"/>
      <c r="Q125" s="1171"/>
      <c r="R125" s="1171"/>
      <c r="S125" s="1171"/>
      <c r="U125" s="589"/>
    </row>
    <row r="126" spans="2:28" s="565" customFormat="1" ht="14.25" customHeight="1">
      <c r="B126" s="562"/>
      <c r="C126" s="563"/>
      <c r="D126" s="563"/>
      <c r="E126" s="563"/>
      <c r="F126" s="563"/>
      <c r="G126" s="563"/>
      <c r="H126" s="563"/>
      <c r="I126" s="563"/>
      <c r="J126" s="563"/>
      <c r="K126" s="563"/>
      <c r="L126" s="563"/>
      <c r="M126" s="563"/>
      <c r="N126" s="563"/>
      <c r="O126" s="589"/>
      <c r="P126" s="589"/>
      <c r="U126" s="589"/>
    </row>
    <row r="127" spans="2:28" s="565" customFormat="1">
      <c r="B127" s="562"/>
      <c r="C127" s="592" t="s">
        <v>6547</v>
      </c>
      <c r="D127" s="1171"/>
      <c r="E127" s="1171"/>
      <c r="F127" s="1171"/>
      <c r="G127" s="1171"/>
      <c r="H127" s="1171"/>
      <c r="I127" s="1171"/>
      <c r="J127" s="1171"/>
      <c r="K127" s="1171"/>
      <c r="L127" s="1171"/>
      <c r="M127" s="1171"/>
      <c r="N127" s="1171"/>
      <c r="O127" s="1171"/>
      <c r="P127" s="1171"/>
      <c r="Q127" s="1171"/>
      <c r="R127" s="1171"/>
      <c r="S127" s="1171"/>
      <c r="U127" s="589"/>
    </row>
    <row r="128" spans="2:28" s="565" customFormat="1" ht="14.25" customHeight="1">
      <c r="B128" s="1174"/>
      <c r="C128" s="1174"/>
      <c r="D128" s="1174"/>
      <c r="E128" s="1174"/>
      <c r="F128" s="1174"/>
      <c r="G128" s="1174"/>
      <c r="H128" s="1174"/>
      <c r="I128" s="1174"/>
      <c r="J128" s="1174"/>
      <c r="K128" s="1174"/>
      <c r="L128" s="1174"/>
      <c r="M128" s="1174"/>
      <c r="N128" s="1174"/>
      <c r="O128" s="1174"/>
      <c r="P128" s="1174"/>
      <c r="Q128" s="1174"/>
      <c r="R128" s="1174"/>
      <c r="S128" s="1174"/>
      <c r="T128" s="1174"/>
      <c r="U128" s="1174"/>
      <c r="V128" s="1174"/>
      <c r="Y128" s="566"/>
      <c r="Z128" s="566"/>
      <c r="AA128" s="566"/>
      <c r="AB128" s="566"/>
    </row>
    <row r="129" spans="2:28" s="565" customFormat="1">
      <c r="B129" s="584" t="str">
        <f>CHOOSE(jezyk,n!A1500,n!B1500,n!C1500,n!D1496)</f>
        <v>Oddziały Spółki</v>
      </c>
      <c r="C129" s="563"/>
      <c r="D129" s="563"/>
      <c r="E129" s="563"/>
      <c r="F129" s="563"/>
      <c r="G129" s="563"/>
      <c r="H129" s="563"/>
      <c r="I129" s="563"/>
      <c r="J129" s="563"/>
      <c r="K129" s="563"/>
      <c r="L129" s="563"/>
      <c r="M129" s="563"/>
      <c r="N129" s="563"/>
      <c r="O129" s="589"/>
      <c r="P129" s="589"/>
      <c r="U129" s="589"/>
    </row>
    <row r="130" spans="2:28" s="565" customFormat="1">
      <c r="B130" s="562"/>
      <c r="C130" s="563"/>
      <c r="D130" s="563"/>
      <c r="E130" s="563"/>
      <c r="F130" s="563"/>
      <c r="G130" s="563"/>
      <c r="H130" s="563"/>
      <c r="I130" s="563"/>
      <c r="J130" s="563"/>
      <c r="K130" s="563"/>
      <c r="L130" s="563"/>
      <c r="M130" s="563"/>
      <c r="N130" s="563"/>
      <c r="O130" s="589"/>
      <c r="P130" s="589"/>
      <c r="U130" s="589"/>
    </row>
    <row r="131" spans="2:28" s="565" customFormat="1">
      <c r="B131" s="562"/>
      <c r="C131" s="592" t="s">
        <v>6547</v>
      </c>
      <c r="D131" s="1171" t="str">
        <f>CHOOSE(jezyk,n!A1663,n!B1663,n!C1663,n!D1659)</f>
        <v>Nazwa oddziału</v>
      </c>
      <c r="E131" s="1171"/>
      <c r="F131" s="1171"/>
      <c r="G131" s="1171"/>
      <c r="H131" s="1171"/>
      <c r="I131" s="1171"/>
      <c r="J131" s="1171"/>
      <c r="K131" s="1171"/>
      <c r="L131" s="1171"/>
      <c r="M131" s="1171"/>
      <c r="N131" s="1171"/>
      <c r="O131" s="1171"/>
      <c r="P131" s="1171"/>
      <c r="Q131" s="1171"/>
      <c r="R131" s="1171"/>
      <c r="S131" s="1171"/>
      <c r="U131" s="589"/>
    </row>
    <row r="132" spans="2:28" s="565" customFormat="1">
      <c r="B132" s="562"/>
      <c r="C132" s="563"/>
      <c r="D132" s="1171" t="str">
        <f>CHOOSE(jezyk,n!A1664,n!B1664,n!C1664,n!D1660)</f>
        <v>Adres oddziału</v>
      </c>
      <c r="E132" s="1171"/>
      <c r="F132" s="1171"/>
      <c r="G132" s="1171"/>
      <c r="H132" s="1171"/>
      <c r="I132" s="1171"/>
      <c r="J132" s="1171"/>
      <c r="K132" s="1171"/>
      <c r="L132" s="1171"/>
      <c r="M132" s="1171"/>
      <c r="N132" s="1171"/>
      <c r="O132" s="1171"/>
      <c r="P132" s="1171"/>
      <c r="Q132" s="1171"/>
      <c r="R132" s="1171"/>
      <c r="S132" s="1171"/>
      <c r="T132" s="563"/>
      <c r="U132" s="563"/>
      <c r="V132" s="563"/>
      <c r="Y132" s="566"/>
      <c r="Z132" s="566"/>
      <c r="AA132" s="566"/>
      <c r="AB132" s="566"/>
    </row>
    <row r="133" spans="2:28" s="565" customFormat="1">
      <c r="B133" s="562"/>
      <c r="C133" s="563"/>
      <c r="D133" s="563"/>
      <c r="E133" s="563"/>
      <c r="F133" s="563"/>
      <c r="G133" s="563"/>
      <c r="H133" s="563"/>
      <c r="I133" s="563"/>
      <c r="J133" s="563"/>
      <c r="K133" s="563"/>
      <c r="L133" s="563"/>
      <c r="M133" s="563"/>
      <c r="N133" s="563"/>
      <c r="O133" s="563"/>
      <c r="P133" s="563"/>
      <c r="Q133" s="563"/>
      <c r="R133" s="563"/>
      <c r="S133" s="563"/>
      <c r="T133" s="563"/>
      <c r="U133" s="563"/>
      <c r="V133" s="563"/>
      <c r="Y133" s="566"/>
      <c r="Z133" s="566"/>
      <c r="AA133" s="566"/>
      <c r="AB133" s="566"/>
    </row>
    <row r="134" spans="2:28" s="565" customFormat="1">
      <c r="B134" s="562"/>
      <c r="C134" s="592" t="s">
        <v>6547</v>
      </c>
      <c r="D134" s="1171" t="str">
        <f>CHOOSE(jezyk,n!A1663,n!B1663,n!C1663,n!D1659)</f>
        <v>Nazwa oddziału</v>
      </c>
      <c r="E134" s="1171"/>
      <c r="F134" s="1171"/>
      <c r="G134" s="1171"/>
      <c r="H134" s="1171"/>
      <c r="I134" s="1171"/>
      <c r="J134" s="1171"/>
      <c r="K134" s="1171"/>
      <c r="L134" s="1171"/>
      <c r="M134" s="1171"/>
      <c r="N134" s="1171"/>
      <c r="O134" s="1171"/>
      <c r="P134" s="1171"/>
      <c r="Q134" s="1171"/>
      <c r="R134" s="1171"/>
      <c r="S134" s="1171"/>
      <c r="T134" s="563"/>
      <c r="U134" s="563"/>
      <c r="V134" s="563"/>
      <c r="Y134" s="566"/>
      <c r="Z134" s="566"/>
      <c r="AA134" s="566"/>
      <c r="AB134" s="566"/>
    </row>
    <row r="135" spans="2:28" s="565" customFormat="1">
      <c r="B135" s="562"/>
      <c r="C135" s="563"/>
      <c r="D135" s="1171" t="str">
        <f>CHOOSE(jezyk,n!A1664,n!B1664,n!C1664,n!D1660)</f>
        <v>Adres oddziału</v>
      </c>
      <c r="E135" s="1171"/>
      <c r="F135" s="1171"/>
      <c r="G135" s="1171"/>
      <c r="H135" s="1171"/>
      <c r="I135" s="1171"/>
      <c r="J135" s="1171"/>
      <c r="K135" s="1171"/>
      <c r="L135" s="1171"/>
      <c r="M135" s="1171"/>
      <c r="N135" s="1171"/>
      <c r="O135" s="1171"/>
      <c r="P135" s="1171"/>
      <c r="Q135" s="1171"/>
      <c r="R135" s="1171"/>
      <c r="S135" s="1171"/>
      <c r="T135" s="563"/>
      <c r="U135" s="563"/>
      <c r="V135" s="563"/>
      <c r="Y135" s="566"/>
      <c r="Z135" s="566"/>
      <c r="AA135" s="566"/>
      <c r="AB135" s="566"/>
    </row>
    <row r="136" spans="2:28" s="565" customFormat="1">
      <c r="B136" s="562"/>
      <c r="C136" s="563"/>
      <c r="D136" s="563"/>
      <c r="E136" s="563"/>
      <c r="F136" s="563"/>
      <c r="G136" s="563"/>
      <c r="H136" s="563"/>
      <c r="I136" s="563"/>
      <c r="J136" s="563"/>
      <c r="K136" s="563"/>
      <c r="L136" s="563"/>
      <c r="M136" s="563"/>
      <c r="N136" s="563"/>
      <c r="O136" s="563"/>
      <c r="P136" s="563"/>
      <c r="Q136" s="563"/>
      <c r="R136" s="563"/>
      <c r="S136" s="563"/>
      <c r="T136" s="563"/>
      <c r="U136" s="563"/>
      <c r="V136" s="563"/>
      <c r="Y136" s="566"/>
      <c r="Z136" s="566"/>
      <c r="AA136" s="566"/>
      <c r="AB136" s="566"/>
    </row>
    <row r="137" spans="2:28" s="565" customFormat="1">
      <c r="B137" s="562"/>
      <c r="C137" s="592" t="s">
        <v>6547</v>
      </c>
      <c r="D137" s="1171" t="str">
        <f>CHOOSE(jezyk,n!A1663,n!B1663,n!C1663,n!D1659)</f>
        <v>Nazwa oddziału</v>
      </c>
      <c r="E137" s="1171"/>
      <c r="F137" s="1171"/>
      <c r="G137" s="1171"/>
      <c r="H137" s="1171"/>
      <c r="I137" s="1171"/>
      <c r="J137" s="1171"/>
      <c r="K137" s="1171"/>
      <c r="L137" s="1171"/>
      <c r="M137" s="1171"/>
      <c r="N137" s="1171"/>
      <c r="O137" s="1171"/>
      <c r="P137" s="1171"/>
      <c r="Q137" s="1171"/>
      <c r="R137" s="1171"/>
      <c r="S137" s="1171"/>
      <c r="T137" s="563"/>
      <c r="U137" s="563"/>
      <c r="V137" s="563"/>
      <c r="Y137" s="566"/>
      <c r="Z137" s="566"/>
      <c r="AA137" s="566"/>
      <c r="AB137" s="566"/>
    </row>
    <row r="138" spans="2:28" s="565" customFormat="1">
      <c r="B138" s="562"/>
      <c r="C138" s="563"/>
      <c r="D138" s="1171" t="str">
        <f>CHOOSE(jezyk,n!A1664,n!B1664,n!C1664,n!D1660)</f>
        <v>Adres oddziału</v>
      </c>
      <c r="E138" s="1171"/>
      <c r="F138" s="1171"/>
      <c r="G138" s="1171"/>
      <c r="H138" s="1171"/>
      <c r="I138" s="1171"/>
      <c r="J138" s="1171"/>
      <c r="K138" s="1171"/>
      <c r="L138" s="1171"/>
      <c r="M138" s="1171"/>
      <c r="N138" s="1171"/>
      <c r="O138" s="1171"/>
      <c r="P138" s="1171"/>
      <c r="Q138" s="1171"/>
      <c r="R138" s="1171"/>
      <c r="S138" s="1171"/>
      <c r="T138" s="563"/>
      <c r="U138" s="563"/>
      <c r="V138" s="563"/>
      <c r="Y138" s="566"/>
      <c r="Z138" s="566"/>
      <c r="AA138" s="566"/>
      <c r="AB138" s="566"/>
    </row>
    <row r="139" spans="2:28" s="565" customFormat="1">
      <c r="B139" s="562"/>
      <c r="C139" s="563"/>
      <c r="D139" s="563"/>
      <c r="E139" s="563"/>
      <c r="F139" s="563"/>
      <c r="G139" s="563"/>
      <c r="H139" s="563"/>
      <c r="I139" s="563"/>
      <c r="J139" s="563"/>
      <c r="K139" s="563"/>
      <c r="L139" s="563"/>
      <c r="M139" s="563"/>
      <c r="N139" s="563"/>
      <c r="O139" s="563"/>
      <c r="P139" s="563"/>
      <c r="Q139" s="563"/>
      <c r="R139" s="563"/>
      <c r="S139" s="563"/>
      <c r="T139" s="563"/>
      <c r="U139" s="563"/>
      <c r="V139" s="563"/>
      <c r="Y139" s="566"/>
      <c r="Z139" s="566"/>
      <c r="AA139" s="566"/>
      <c r="AB139" s="566"/>
    </row>
    <row r="140" spans="2:28" s="565" customFormat="1">
      <c r="B140" s="562"/>
      <c r="C140" s="592" t="s">
        <v>6547</v>
      </c>
      <c r="D140" s="1171" t="str">
        <f>CHOOSE(jezyk,n!A1663,n!B1663,n!C1663,n!D1659)</f>
        <v>Nazwa oddziału</v>
      </c>
      <c r="E140" s="1171"/>
      <c r="F140" s="1171"/>
      <c r="G140" s="1171"/>
      <c r="H140" s="1171"/>
      <c r="I140" s="1171"/>
      <c r="J140" s="1171"/>
      <c r="K140" s="1171"/>
      <c r="L140" s="1171"/>
      <c r="M140" s="1171"/>
      <c r="N140" s="1171"/>
      <c r="O140" s="1171"/>
      <c r="P140" s="1171"/>
      <c r="Q140" s="1171"/>
      <c r="R140" s="1171"/>
      <c r="S140" s="1171"/>
      <c r="T140" s="563"/>
      <c r="U140" s="563"/>
      <c r="V140" s="563"/>
      <c r="Y140" s="566"/>
      <c r="Z140" s="566"/>
      <c r="AA140" s="566"/>
      <c r="AB140" s="566"/>
    </row>
    <row r="141" spans="2:28" s="565" customFormat="1">
      <c r="B141" s="562"/>
      <c r="C141" s="563"/>
      <c r="D141" s="1171" t="str">
        <f>CHOOSE(jezyk,n!A1664,n!B1664,n!C1664,n!D1660)</f>
        <v>Adres oddziału</v>
      </c>
      <c r="E141" s="1171"/>
      <c r="F141" s="1171"/>
      <c r="G141" s="1171"/>
      <c r="H141" s="1171"/>
      <c r="I141" s="1171"/>
      <c r="J141" s="1171"/>
      <c r="K141" s="1171"/>
      <c r="L141" s="1171"/>
      <c r="M141" s="1171"/>
      <c r="N141" s="1171"/>
      <c r="O141" s="1171"/>
      <c r="P141" s="1171"/>
      <c r="Q141" s="1171"/>
      <c r="R141" s="1171"/>
      <c r="S141" s="1171"/>
      <c r="T141" s="563"/>
      <c r="U141" s="563"/>
      <c r="V141" s="563"/>
      <c r="Y141" s="566"/>
      <c r="Z141" s="566"/>
      <c r="AA141" s="566"/>
      <c r="AB141" s="566"/>
    </row>
    <row r="142" spans="2:28" s="565" customFormat="1">
      <c r="B142" s="562"/>
      <c r="C142" s="563"/>
      <c r="D142" s="563"/>
      <c r="E142" s="563"/>
      <c r="F142" s="563"/>
      <c r="G142" s="563"/>
      <c r="H142" s="563"/>
      <c r="I142" s="563"/>
      <c r="J142" s="563"/>
      <c r="K142" s="563"/>
      <c r="L142" s="563"/>
      <c r="M142" s="563"/>
      <c r="N142" s="563"/>
      <c r="O142" s="563"/>
      <c r="P142" s="563"/>
      <c r="Q142" s="563"/>
      <c r="R142" s="563"/>
      <c r="S142" s="563"/>
      <c r="T142" s="563"/>
      <c r="U142" s="563"/>
      <c r="V142" s="563"/>
      <c r="Y142" s="566"/>
      <c r="Z142" s="566"/>
      <c r="AA142" s="566"/>
      <c r="AB142" s="566"/>
    </row>
    <row r="143" spans="2:28" s="565" customFormat="1">
      <c r="B143" s="562"/>
      <c r="C143" s="563"/>
      <c r="D143" s="563"/>
      <c r="E143" s="563"/>
      <c r="F143" s="563"/>
      <c r="G143" s="563"/>
      <c r="H143" s="563"/>
      <c r="I143" s="563"/>
      <c r="J143" s="563"/>
      <c r="K143" s="563"/>
      <c r="L143" s="563"/>
      <c r="M143" s="563"/>
      <c r="N143" s="563"/>
      <c r="O143" s="563"/>
      <c r="P143" s="563"/>
      <c r="Q143" s="563"/>
      <c r="R143" s="563"/>
      <c r="S143" s="563"/>
      <c r="T143" s="563"/>
      <c r="U143" s="563"/>
      <c r="V143" s="563"/>
      <c r="Y143" s="566"/>
      <c r="Z143" s="566"/>
      <c r="AA143" s="566"/>
      <c r="AB143" s="566"/>
    </row>
    <row r="144" spans="2:28" s="565" customFormat="1">
      <c r="B144" s="562"/>
      <c r="C144" s="563"/>
      <c r="D144" s="563"/>
      <c r="E144" s="563"/>
      <c r="F144" s="563"/>
      <c r="G144" s="563"/>
      <c r="H144" s="563"/>
      <c r="I144" s="563"/>
      <c r="J144" s="563"/>
      <c r="K144" s="563"/>
      <c r="L144" s="563"/>
      <c r="M144" s="563"/>
      <c r="N144" s="563"/>
      <c r="O144" s="563"/>
      <c r="P144" s="563"/>
      <c r="Q144" s="563"/>
      <c r="R144" s="563"/>
      <c r="S144" s="563"/>
      <c r="T144" s="563"/>
      <c r="U144" s="563"/>
      <c r="V144" s="563"/>
      <c r="Y144" s="566"/>
      <c r="Z144" s="566"/>
      <c r="AA144" s="566"/>
      <c r="AB144" s="566"/>
    </row>
    <row r="145" spans="2:28" s="565" customFormat="1">
      <c r="B145" s="562"/>
      <c r="C145" s="563"/>
      <c r="D145" s="563"/>
      <c r="E145" s="563"/>
      <c r="F145" s="563"/>
      <c r="G145" s="563"/>
      <c r="H145" s="563"/>
      <c r="I145" s="563"/>
      <c r="J145" s="563"/>
      <c r="K145" s="563"/>
      <c r="L145" s="563"/>
      <c r="M145" s="563"/>
      <c r="N145" s="563"/>
      <c r="O145" s="563"/>
      <c r="P145" s="563"/>
      <c r="Q145" s="563"/>
      <c r="R145" s="563"/>
      <c r="S145" s="563"/>
      <c r="T145" s="563"/>
      <c r="U145" s="563"/>
      <c r="V145" s="563"/>
      <c r="Y145" s="566"/>
      <c r="Z145" s="566"/>
      <c r="AA145" s="566"/>
      <c r="AB145" s="566"/>
    </row>
    <row r="146" spans="2:28" s="565" customFormat="1">
      <c r="B146" s="562"/>
      <c r="C146" s="563"/>
      <c r="D146" s="563"/>
      <c r="E146" s="563"/>
      <c r="F146" s="563"/>
      <c r="G146" s="563"/>
      <c r="H146" s="563"/>
      <c r="I146" s="563"/>
      <c r="J146" s="563"/>
      <c r="K146" s="563"/>
      <c r="L146" s="563"/>
      <c r="M146" s="563"/>
      <c r="N146" s="563"/>
      <c r="O146" s="563"/>
      <c r="P146" s="563"/>
      <c r="Q146" s="563"/>
      <c r="R146" s="563"/>
      <c r="S146" s="563"/>
      <c r="T146" s="563"/>
      <c r="U146" s="563"/>
      <c r="V146" s="563"/>
      <c r="Y146" s="566"/>
      <c r="Z146" s="566"/>
      <c r="AA146" s="566"/>
      <c r="AB146" s="566"/>
    </row>
    <row r="147" spans="2:28" s="565" customFormat="1">
      <c r="B147" s="562"/>
      <c r="C147" s="563"/>
      <c r="D147" s="563"/>
      <c r="E147" s="563"/>
      <c r="F147" s="563"/>
      <c r="G147" s="563"/>
      <c r="H147" s="563"/>
      <c r="I147" s="563"/>
      <c r="J147" s="563"/>
      <c r="K147" s="563"/>
      <c r="L147" s="563"/>
      <c r="M147" s="563"/>
      <c r="N147" s="563"/>
      <c r="O147" s="563"/>
      <c r="P147" s="563"/>
      <c r="Q147" s="563"/>
      <c r="R147" s="563"/>
      <c r="S147" s="563"/>
      <c r="T147" s="563"/>
      <c r="U147" s="563"/>
      <c r="V147" s="563"/>
      <c r="Y147" s="566"/>
      <c r="Z147" s="566"/>
      <c r="AA147" s="566"/>
      <c r="AB147" s="566"/>
    </row>
    <row r="148" spans="2:28" s="565" customFormat="1">
      <c r="B148" s="562"/>
      <c r="C148" s="563"/>
      <c r="D148" s="563"/>
      <c r="E148" s="563"/>
      <c r="F148" s="563"/>
      <c r="G148" s="563"/>
      <c r="H148" s="563"/>
      <c r="I148" s="563"/>
      <c r="J148" s="563"/>
      <c r="K148" s="563"/>
      <c r="L148" s="563"/>
      <c r="M148" s="563"/>
      <c r="N148" s="563"/>
      <c r="O148" s="563"/>
      <c r="P148" s="563"/>
      <c r="Q148" s="563"/>
      <c r="R148" s="563"/>
      <c r="S148" s="563"/>
      <c r="T148" s="563"/>
      <c r="U148" s="563"/>
      <c r="V148" s="563"/>
      <c r="Y148" s="566"/>
      <c r="Z148" s="566"/>
      <c r="AA148" s="566"/>
      <c r="AB148" s="566"/>
    </row>
    <row r="149" spans="2:28" s="565" customFormat="1">
      <c r="B149" s="562"/>
      <c r="C149" s="563"/>
      <c r="D149" s="563"/>
      <c r="E149" s="563"/>
      <c r="F149" s="563"/>
      <c r="G149" s="563"/>
      <c r="H149" s="563"/>
      <c r="I149" s="563"/>
      <c r="J149" s="563"/>
      <c r="K149" s="563"/>
      <c r="L149" s="563"/>
      <c r="M149" s="563"/>
      <c r="N149" s="563"/>
      <c r="O149" s="563"/>
      <c r="P149" s="563"/>
      <c r="Q149" s="563"/>
      <c r="R149" s="563"/>
      <c r="S149" s="563"/>
      <c r="T149" s="563"/>
      <c r="U149" s="563"/>
      <c r="V149" s="563"/>
      <c r="Y149" s="566"/>
      <c r="Z149" s="566"/>
      <c r="AA149" s="566"/>
      <c r="AB149" s="566"/>
    </row>
    <row r="150" spans="2:28" s="565" customFormat="1">
      <c r="B150" s="584" t="s">
        <v>6540</v>
      </c>
      <c r="C150" s="573" t="str">
        <f>CHOOSE(jezyk,n!A1481,n!B1481,n!C1481,n!D1477)</f>
        <v>SPRZEDAŻ</v>
      </c>
      <c r="D150" s="563"/>
      <c r="E150" s="563"/>
      <c r="F150" s="563"/>
      <c r="G150" s="563"/>
      <c r="H150" s="563"/>
      <c r="I150" s="563"/>
      <c r="J150" s="563"/>
      <c r="K150" s="563"/>
      <c r="L150" s="563"/>
      <c r="M150" s="563"/>
      <c r="N150" s="563"/>
      <c r="O150" s="563"/>
      <c r="P150" s="563"/>
      <c r="Q150" s="563"/>
      <c r="R150" s="563"/>
      <c r="S150" s="563"/>
      <c r="T150" s="563"/>
      <c r="U150" s="563"/>
      <c r="V150" s="563"/>
      <c r="W150" s="585">
        <v>5</v>
      </c>
      <c r="X150" s="586" t="s">
        <v>6912</v>
      </c>
      <c r="Y150" s="566"/>
      <c r="Z150" s="566"/>
      <c r="AA150" s="566"/>
      <c r="AB150" s="566"/>
    </row>
    <row r="151" spans="2:28" s="565" customFormat="1">
      <c r="B151" s="562"/>
      <c r="C151" s="563"/>
      <c r="D151" s="563"/>
      <c r="E151" s="563"/>
      <c r="F151" s="563"/>
      <c r="G151" s="563"/>
      <c r="H151" s="563"/>
      <c r="I151" s="563"/>
      <c r="J151" s="563"/>
      <c r="K151" s="563"/>
      <c r="L151" s="563"/>
      <c r="M151" s="563"/>
      <c r="N151" s="563"/>
      <c r="O151" s="563"/>
      <c r="P151" s="563"/>
      <c r="Q151" s="563"/>
      <c r="R151" s="563"/>
      <c r="S151" s="563"/>
      <c r="T151" s="563"/>
      <c r="U151" s="563"/>
      <c r="V151" s="563"/>
      <c r="Y151" s="566"/>
      <c r="Z151" s="566"/>
      <c r="AA151" s="566"/>
      <c r="AB151" s="566"/>
    </row>
    <row r="152" spans="2:28" s="565" customFormat="1">
      <c r="B152" s="562"/>
      <c r="C152" s="563"/>
      <c r="D152" s="563"/>
      <c r="E152" s="563"/>
      <c r="F152" s="563"/>
      <c r="G152" s="563"/>
      <c r="H152" s="563"/>
      <c r="I152" s="563"/>
      <c r="J152" s="563"/>
      <c r="K152" s="563"/>
      <c r="L152" s="563"/>
      <c r="M152" s="563"/>
      <c r="N152" s="563"/>
      <c r="O152" s="563"/>
      <c r="P152" s="563"/>
      <c r="Q152" s="563"/>
      <c r="R152" s="563"/>
      <c r="S152" s="563"/>
      <c r="T152" s="563"/>
      <c r="U152" s="563"/>
      <c r="V152" s="563"/>
      <c r="Y152" s="566"/>
      <c r="Z152" s="566"/>
      <c r="AA152" s="566"/>
      <c r="AB152" s="566"/>
    </row>
    <row r="153" spans="2:28" s="565" customFormat="1" ht="13.5" customHeight="1">
      <c r="B153" s="1172" t="str">
        <f>CHOOSE(jezyk,n!A1665,n!B1665,n!C1665,n!D1661)</f>
        <v>Spółka uzyskuje przychody ze sprzedaży usług na terenie kraju i/lub za granicą.</v>
      </c>
      <c r="C153" s="1172"/>
      <c r="D153" s="1172"/>
      <c r="E153" s="1172"/>
      <c r="F153" s="1172"/>
      <c r="G153" s="1172"/>
      <c r="H153" s="1172"/>
      <c r="I153" s="1172"/>
      <c r="J153" s="1172"/>
      <c r="K153" s="1172"/>
      <c r="L153" s="1172"/>
      <c r="M153" s="1172"/>
      <c r="N153" s="1172"/>
      <c r="O153" s="1172"/>
      <c r="P153" s="1172"/>
      <c r="Q153" s="1172"/>
      <c r="R153" s="1172"/>
      <c r="S153" s="1172"/>
      <c r="T153" s="1172"/>
      <c r="U153" s="1172"/>
      <c r="V153" s="1172"/>
      <c r="Y153" s="566"/>
      <c r="Z153" s="566"/>
      <c r="AA153" s="566"/>
      <c r="AB153" s="566"/>
    </row>
    <row r="154" spans="2:28" s="565" customFormat="1">
      <c r="B154" s="562"/>
      <c r="C154" s="563"/>
      <c r="D154" s="563"/>
      <c r="E154" s="563"/>
      <c r="F154" s="563"/>
      <c r="G154" s="563"/>
      <c r="H154" s="563"/>
      <c r="I154" s="563"/>
      <c r="J154" s="563"/>
      <c r="K154" s="563"/>
      <c r="L154" s="563"/>
      <c r="M154" s="563"/>
      <c r="N154" s="563"/>
      <c r="O154" s="563"/>
      <c r="P154" s="563"/>
      <c r="Q154" s="563"/>
      <c r="R154" s="563"/>
      <c r="S154" s="563"/>
      <c r="T154" s="563"/>
      <c r="U154" s="563"/>
      <c r="V154" s="563"/>
      <c r="Y154" s="566"/>
      <c r="Z154" s="566"/>
      <c r="AA154" s="566"/>
      <c r="AB154" s="566"/>
    </row>
    <row r="155" spans="2:28" s="565" customFormat="1" ht="29.25" customHeight="1">
      <c r="B155" s="1172" t="str">
        <f>CHOOSE(jezyk,n!A1666,n!B1666,n!C1666,n!D1662)</f>
        <v>Spółka uzyskała w analizowanym okresie wynik netto w wysokości PLN …………..., na który składa się w szczególności ………………….</v>
      </c>
      <c r="C155" s="1172"/>
      <c r="D155" s="1172"/>
      <c r="E155" s="1172"/>
      <c r="F155" s="1172"/>
      <c r="G155" s="1172"/>
      <c r="H155" s="1172"/>
      <c r="I155" s="1172"/>
      <c r="J155" s="1172"/>
      <c r="K155" s="1172"/>
      <c r="L155" s="1172"/>
      <c r="M155" s="1172"/>
      <c r="N155" s="1172"/>
      <c r="O155" s="1172"/>
      <c r="P155" s="1172"/>
      <c r="Q155" s="1172"/>
      <c r="R155" s="1172"/>
      <c r="S155" s="1172"/>
      <c r="T155" s="1172"/>
      <c r="U155" s="1172"/>
      <c r="V155" s="1172"/>
      <c r="Y155" s="566"/>
      <c r="Z155" s="566"/>
      <c r="AA155" s="566"/>
      <c r="AB155" s="566"/>
    </row>
    <row r="156" spans="2:28" s="565" customFormat="1">
      <c r="B156" s="562"/>
      <c r="C156" s="563"/>
      <c r="D156" s="563"/>
      <c r="E156" s="563"/>
      <c r="F156" s="563"/>
      <c r="G156" s="563"/>
      <c r="H156" s="563"/>
      <c r="I156" s="563"/>
      <c r="J156" s="563"/>
      <c r="K156" s="563"/>
      <c r="L156" s="563"/>
      <c r="M156" s="563"/>
      <c r="N156" s="563"/>
      <c r="O156" s="563"/>
      <c r="P156" s="563"/>
      <c r="Q156" s="563"/>
      <c r="R156" s="563"/>
      <c r="S156" s="563"/>
      <c r="T156" s="563"/>
      <c r="U156" s="563"/>
      <c r="V156" s="563"/>
      <c r="Y156" s="566"/>
      <c r="Z156" s="566"/>
      <c r="AA156" s="566"/>
      <c r="AB156" s="566"/>
    </row>
    <row r="157" spans="2:28" s="565" customFormat="1" ht="57.75" customHeight="1">
      <c r="B157" s="1172" t="str">
        <f>CHOOSE(jezyk,n!A1668,n!B1668,n!C1668,n!D1664)</f>
        <v xml:space="preserve">Znane naszej spółce fakty, z których najistotniejsze zostały przedstawione w niniejszym sprawozdaniu, wskazują, że sytuacja spółki nie budzi obaw, co do funkcjonowania w dającej się przewidzieć przyszłości. </v>
      </c>
      <c r="C157" s="1172"/>
      <c r="D157" s="1172"/>
      <c r="E157" s="1172"/>
      <c r="F157" s="1172"/>
      <c r="G157" s="1172"/>
      <c r="H157" s="1172"/>
      <c r="I157" s="1172"/>
      <c r="J157" s="1172"/>
      <c r="K157" s="1172"/>
      <c r="L157" s="1172"/>
      <c r="M157" s="1172"/>
      <c r="N157" s="1172"/>
      <c r="O157" s="1172"/>
      <c r="P157" s="1172"/>
      <c r="Q157" s="1172"/>
      <c r="R157" s="1172"/>
      <c r="S157" s="1172"/>
      <c r="T157" s="1172"/>
      <c r="U157" s="1172"/>
      <c r="V157" s="1172"/>
      <c r="Y157" s="566"/>
      <c r="Z157" s="566"/>
      <c r="AA157" s="566"/>
      <c r="AB157" s="566"/>
    </row>
    <row r="158" spans="2:28" s="565" customFormat="1">
      <c r="B158" s="562"/>
      <c r="C158" s="563"/>
      <c r="D158" s="563"/>
      <c r="E158" s="563"/>
      <c r="F158" s="563"/>
      <c r="G158" s="563"/>
      <c r="H158" s="563"/>
      <c r="I158" s="563"/>
      <c r="J158" s="563"/>
      <c r="K158" s="563"/>
      <c r="L158" s="563"/>
      <c r="M158" s="563"/>
      <c r="N158" s="563"/>
      <c r="O158" s="563"/>
      <c r="P158" s="563"/>
      <c r="Q158" s="563"/>
      <c r="R158" s="563"/>
      <c r="S158" s="563"/>
      <c r="T158" s="563"/>
      <c r="U158" s="563"/>
      <c r="V158" s="563"/>
      <c r="Y158" s="566"/>
      <c r="Z158" s="566"/>
      <c r="AA158" s="566"/>
      <c r="AB158" s="566"/>
    </row>
    <row r="159" spans="2:28" s="565" customFormat="1">
      <c r="B159" s="562"/>
      <c r="C159" s="563"/>
      <c r="D159" s="563"/>
      <c r="E159" s="563"/>
      <c r="F159" s="563"/>
      <c r="G159" s="563"/>
      <c r="H159" s="563"/>
      <c r="I159" s="563"/>
      <c r="J159" s="563"/>
      <c r="K159" s="563"/>
      <c r="L159" s="563"/>
      <c r="M159" s="563"/>
      <c r="N159" s="563"/>
      <c r="O159" s="563"/>
      <c r="P159" s="563"/>
      <c r="Q159" s="563"/>
      <c r="R159" s="563"/>
      <c r="S159" s="563"/>
      <c r="T159" s="563"/>
      <c r="U159" s="563"/>
      <c r="V159" s="563"/>
      <c r="Y159" s="566"/>
      <c r="Z159" s="566"/>
      <c r="AA159" s="566"/>
      <c r="AB159" s="566"/>
    </row>
    <row r="160" spans="2:28" s="565" customFormat="1">
      <c r="B160" s="562"/>
      <c r="C160" s="563"/>
      <c r="D160" s="563"/>
      <c r="E160" s="563"/>
      <c r="F160" s="563"/>
      <c r="G160" s="563"/>
      <c r="H160" s="563"/>
      <c r="I160" s="563"/>
      <c r="J160" s="563"/>
      <c r="K160" s="563"/>
      <c r="L160" s="563"/>
      <c r="M160" s="563"/>
      <c r="N160" s="563"/>
      <c r="O160" s="589"/>
      <c r="P160" s="589"/>
      <c r="U160" s="589"/>
    </row>
    <row r="161" spans="2:24" s="565" customFormat="1">
      <c r="B161" s="584" t="s">
        <v>6544</v>
      </c>
      <c r="C161" s="573" t="str">
        <f>CHOOSE(jezyk,n!A1482,n!B1482,n!C1482,n!D1478)</f>
        <v>PERSONEL</v>
      </c>
      <c r="D161" s="563"/>
      <c r="E161" s="563"/>
      <c r="F161" s="563"/>
      <c r="G161" s="563"/>
      <c r="H161" s="563"/>
      <c r="I161" s="563"/>
      <c r="J161" s="563"/>
      <c r="K161" s="563"/>
      <c r="L161" s="563"/>
      <c r="M161" s="563"/>
      <c r="N161" s="563"/>
      <c r="O161" s="589"/>
      <c r="P161" s="589"/>
      <c r="U161" s="589"/>
      <c r="W161" s="585">
        <v>5</v>
      </c>
      <c r="X161" s="586" t="s">
        <v>6912</v>
      </c>
    </row>
    <row r="162" spans="2:24" s="565" customFormat="1">
      <c r="B162" s="584"/>
      <c r="C162" s="573"/>
      <c r="D162" s="563"/>
      <c r="E162" s="563"/>
      <c r="F162" s="563"/>
      <c r="G162" s="563"/>
      <c r="H162" s="563"/>
      <c r="I162" s="563"/>
      <c r="J162" s="563"/>
      <c r="K162" s="563"/>
      <c r="L162" s="563"/>
      <c r="M162" s="563"/>
      <c r="N162" s="563"/>
      <c r="O162" s="589"/>
      <c r="P162" s="589"/>
      <c r="U162" s="589"/>
    </row>
    <row r="163" spans="2:24" s="565" customFormat="1">
      <c r="B163" s="562"/>
      <c r="C163" s="563"/>
      <c r="D163" s="563"/>
      <c r="E163" s="563"/>
      <c r="F163" s="563"/>
      <c r="G163" s="563"/>
      <c r="H163" s="563"/>
      <c r="I163" s="563"/>
      <c r="J163" s="563"/>
      <c r="K163" s="563"/>
      <c r="L163" s="563"/>
      <c r="M163" s="563"/>
      <c r="N163" s="563"/>
      <c r="O163" s="589"/>
      <c r="P163" s="589"/>
      <c r="U163" s="589"/>
      <c r="W163" s="567"/>
    </row>
    <row r="164" spans="2:24" s="565" customFormat="1">
      <c r="B164" s="1182" t="str">
        <f>CHOOSE(jezyk,n!A1667,n!B1667,n!C1667,n!D1663)</f>
        <v>Na dzień 31.12.2024 w Spółce zatrudnione były/była …………… osoby/ osoba</v>
      </c>
      <c r="C164" s="1182"/>
      <c r="D164" s="1182"/>
      <c r="E164" s="1182"/>
      <c r="F164" s="1182"/>
      <c r="G164" s="1182"/>
      <c r="H164" s="1182"/>
      <c r="I164" s="1182"/>
      <c r="J164" s="1182"/>
      <c r="K164" s="1182"/>
      <c r="L164" s="1182"/>
      <c r="M164" s="1182"/>
      <c r="N164" s="1182"/>
      <c r="O164" s="1182"/>
      <c r="P164" s="1182"/>
      <c r="Q164" s="1182"/>
      <c r="R164" s="1182"/>
      <c r="S164" s="1182"/>
      <c r="T164" s="1182"/>
      <c r="U164" s="1182"/>
      <c r="V164" s="1182"/>
      <c r="W164" s="567"/>
    </row>
    <row r="165" spans="2:24" s="565" customFormat="1" hidden="1">
      <c r="B165" s="562"/>
      <c r="C165" s="563"/>
      <c r="D165" s="563"/>
      <c r="E165" s="563"/>
      <c r="F165" s="563"/>
      <c r="G165" s="563"/>
      <c r="H165" s="563"/>
      <c r="I165" s="564"/>
      <c r="J165" s="564"/>
      <c r="K165" s="563"/>
      <c r="L165" s="563"/>
      <c r="M165" s="564"/>
      <c r="N165" s="564"/>
      <c r="O165" s="595"/>
      <c r="P165" s="595"/>
      <c r="Q165" s="566"/>
      <c r="R165" s="566"/>
      <c r="S165" s="566"/>
      <c r="U165" s="595"/>
      <c r="W165" s="567"/>
    </row>
    <row r="166" spans="2:24" s="565" customFormat="1" hidden="1">
      <c r="B166" s="562"/>
      <c r="C166" s="563"/>
      <c r="D166" s="563"/>
      <c r="E166" s="563"/>
      <c r="F166" s="563"/>
      <c r="G166" s="563"/>
      <c r="H166" s="563"/>
      <c r="I166" s="564"/>
      <c r="J166" s="564"/>
      <c r="K166" s="563"/>
      <c r="L166" s="563"/>
      <c r="M166" s="564"/>
      <c r="N166" s="564"/>
      <c r="O166" s="595"/>
      <c r="P166" s="595"/>
      <c r="Q166" s="566"/>
      <c r="R166" s="566"/>
      <c r="S166" s="566"/>
      <c r="U166" s="595"/>
      <c r="W166" s="567"/>
    </row>
    <row r="167" spans="2:24" s="565" customFormat="1" hidden="1">
      <c r="B167" s="562"/>
      <c r="C167" s="563"/>
      <c r="D167" s="563"/>
      <c r="E167" s="563"/>
      <c r="F167" s="563"/>
      <c r="G167" s="563"/>
      <c r="H167" s="563"/>
      <c r="I167" s="564"/>
      <c r="J167" s="564"/>
      <c r="K167" s="563"/>
      <c r="L167" s="563"/>
      <c r="M167" s="564"/>
      <c r="N167" s="564"/>
      <c r="O167" s="595"/>
      <c r="P167" s="595"/>
      <c r="Q167" s="566"/>
      <c r="R167" s="566"/>
      <c r="S167" s="566"/>
      <c r="U167" s="595"/>
      <c r="W167" s="567"/>
    </row>
    <row r="168" spans="2:24" s="565" customFormat="1" hidden="1">
      <c r="B168" s="562"/>
      <c r="C168" s="563"/>
      <c r="D168" s="563"/>
      <c r="E168" s="563"/>
      <c r="F168" s="563"/>
      <c r="G168" s="563"/>
      <c r="H168" s="563"/>
      <c r="I168" s="564"/>
      <c r="J168" s="564"/>
      <c r="K168" s="563"/>
      <c r="L168" s="563"/>
      <c r="M168" s="564"/>
      <c r="N168" s="564"/>
      <c r="O168" s="595"/>
      <c r="P168" s="595"/>
      <c r="Q168" s="566"/>
      <c r="R168" s="566"/>
      <c r="S168" s="566"/>
      <c r="U168" s="595"/>
      <c r="W168" s="567"/>
    </row>
    <row r="169" spans="2:24" s="565" customFormat="1" hidden="1">
      <c r="B169" s="562"/>
      <c r="C169" s="563"/>
      <c r="D169" s="563"/>
      <c r="E169" s="563"/>
      <c r="F169" s="563"/>
      <c r="G169" s="563"/>
      <c r="H169" s="563"/>
      <c r="I169" s="564"/>
      <c r="J169" s="564"/>
      <c r="K169" s="563"/>
      <c r="L169" s="563"/>
      <c r="M169" s="564"/>
      <c r="N169" s="564"/>
      <c r="O169" s="595"/>
      <c r="P169" s="595"/>
      <c r="Q169" s="566"/>
      <c r="R169" s="566"/>
      <c r="S169" s="566"/>
      <c r="U169" s="595"/>
      <c r="W169" s="567"/>
    </row>
    <row r="170" spans="2:24" s="565" customFormat="1" hidden="1">
      <c r="B170" s="562"/>
      <c r="C170" s="563"/>
      <c r="D170" s="563"/>
      <c r="E170" s="563"/>
      <c r="F170" s="563"/>
      <c r="G170" s="563"/>
      <c r="H170" s="563"/>
      <c r="I170" s="564"/>
      <c r="J170" s="564"/>
      <c r="K170" s="563"/>
      <c r="L170" s="563"/>
      <c r="M170" s="564"/>
      <c r="N170" s="564"/>
      <c r="O170" s="595"/>
      <c r="P170" s="595"/>
      <c r="Q170" s="566"/>
      <c r="R170" s="566"/>
      <c r="S170" s="566"/>
      <c r="U170" s="595"/>
      <c r="W170" s="567"/>
    </row>
    <row r="171" spans="2:24" s="565" customFormat="1" hidden="1">
      <c r="B171" s="562"/>
      <c r="C171" s="563"/>
      <c r="D171" s="563"/>
      <c r="E171" s="563"/>
      <c r="F171" s="563"/>
      <c r="G171" s="563"/>
      <c r="H171" s="563"/>
      <c r="I171" s="564"/>
      <c r="J171" s="564"/>
      <c r="K171" s="563"/>
      <c r="L171" s="563"/>
      <c r="M171" s="564"/>
      <c r="N171" s="564"/>
      <c r="O171" s="595"/>
      <c r="P171" s="595"/>
      <c r="Q171" s="566"/>
      <c r="R171" s="566"/>
      <c r="S171" s="566"/>
      <c r="U171" s="595"/>
      <c r="W171" s="567"/>
    </row>
    <row r="172" spans="2:24" s="565" customFormat="1" hidden="1">
      <c r="B172" s="562"/>
      <c r="C172" s="563"/>
      <c r="D172" s="563"/>
      <c r="E172" s="563"/>
      <c r="F172" s="563"/>
      <c r="G172" s="563"/>
      <c r="H172" s="563"/>
      <c r="I172" s="564"/>
      <c r="J172" s="564"/>
      <c r="K172" s="563"/>
      <c r="L172" s="563"/>
      <c r="M172" s="564"/>
      <c r="N172" s="564"/>
      <c r="O172" s="595"/>
      <c r="P172" s="595"/>
      <c r="Q172" s="566"/>
      <c r="R172" s="566"/>
      <c r="S172" s="566"/>
      <c r="U172" s="595"/>
      <c r="W172" s="567"/>
    </row>
    <row r="173" spans="2:24" s="565" customFormat="1" hidden="1">
      <c r="B173" s="562"/>
      <c r="C173" s="563"/>
      <c r="D173" s="563"/>
      <c r="E173" s="563"/>
      <c r="F173" s="563"/>
      <c r="G173" s="563"/>
      <c r="H173" s="563"/>
      <c r="I173" s="564"/>
      <c r="J173" s="564"/>
      <c r="K173" s="563"/>
      <c r="L173" s="563"/>
      <c r="M173" s="564"/>
      <c r="N173" s="564"/>
      <c r="O173" s="595"/>
      <c r="P173" s="595"/>
      <c r="Q173" s="566"/>
      <c r="R173" s="566"/>
      <c r="S173" s="566"/>
      <c r="U173" s="595"/>
      <c r="W173" s="567"/>
    </row>
    <row r="174" spans="2:24" s="565" customFormat="1" hidden="1">
      <c r="B174" s="562"/>
      <c r="C174" s="563"/>
      <c r="D174" s="563"/>
      <c r="E174" s="563"/>
      <c r="F174" s="563"/>
      <c r="G174" s="563"/>
      <c r="H174" s="563"/>
      <c r="I174" s="564"/>
      <c r="J174" s="564"/>
      <c r="K174" s="563"/>
      <c r="L174" s="563"/>
      <c r="M174" s="564"/>
      <c r="N174" s="564"/>
      <c r="O174" s="595"/>
      <c r="P174" s="595"/>
      <c r="Q174" s="566"/>
      <c r="R174" s="566"/>
      <c r="S174" s="566"/>
      <c r="U174" s="595"/>
      <c r="W174" s="567"/>
    </row>
    <row r="175" spans="2:24" s="565" customFormat="1" hidden="1">
      <c r="B175" s="562"/>
      <c r="C175" s="563"/>
      <c r="D175" s="563"/>
      <c r="E175" s="563"/>
      <c r="F175" s="563"/>
      <c r="G175" s="563"/>
      <c r="H175" s="563"/>
      <c r="I175" s="564"/>
      <c r="J175" s="564"/>
      <c r="K175" s="563"/>
      <c r="L175" s="563"/>
      <c r="M175" s="564"/>
      <c r="N175" s="564"/>
      <c r="O175" s="595"/>
      <c r="P175" s="595"/>
      <c r="Q175" s="566"/>
      <c r="R175" s="566"/>
      <c r="S175" s="566"/>
      <c r="U175" s="595"/>
      <c r="W175" s="567"/>
    </row>
    <row r="176" spans="2:24" s="565" customFormat="1" hidden="1">
      <c r="B176" s="562"/>
      <c r="C176" s="563"/>
      <c r="D176" s="563"/>
      <c r="E176" s="563"/>
      <c r="F176" s="563"/>
      <c r="G176" s="563"/>
      <c r="H176" s="563"/>
      <c r="I176" s="564"/>
      <c r="J176" s="564"/>
      <c r="K176" s="563"/>
      <c r="L176" s="563"/>
      <c r="M176" s="564"/>
      <c r="N176" s="564"/>
      <c r="O176" s="595"/>
      <c r="P176" s="595"/>
      <c r="Q176" s="566"/>
      <c r="R176" s="566"/>
      <c r="S176" s="566"/>
      <c r="U176" s="595"/>
      <c r="W176" s="567"/>
    </row>
    <row r="177" spans="2:24" s="565" customFormat="1" hidden="1">
      <c r="B177" s="562"/>
      <c r="C177" s="563"/>
      <c r="D177" s="563"/>
      <c r="E177" s="563"/>
      <c r="F177" s="563"/>
      <c r="G177" s="563"/>
      <c r="H177" s="563"/>
      <c r="I177" s="564"/>
      <c r="J177" s="564"/>
      <c r="K177" s="563"/>
      <c r="L177" s="563"/>
      <c r="M177" s="564"/>
      <c r="N177" s="564"/>
      <c r="O177" s="595"/>
      <c r="P177" s="595"/>
      <c r="Q177" s="566"/>
      <c r="R177" s="566"/>
      <c r="S177" s="566"/>
      <c r="U177" s="595"/>
      <c r="W177" s="567"/>
    </row>
    <row r="178" spans="2:24" s="565" customFormat="1">
      <c r="B178" s="562"/>
      <c r="C178" s="1170"/>
      <c r="D178" s="1170"/>
      <c r="E178" s="1170"/>
      <c r="F178" s="1170"/>
      <c r="G178" s="1170"/>
      <c r="H178" s="1170"/>
      <c r="I178" s="1170"/>
      <c r="J178" s="1170"/>
      <c r="K178" s="1170"/>
      <c r="L178" s="1170"/>
      <c r="M178" s="1170"/>
      <c r="N178" s="1170"/>
      <c r="O178" s="1170"/>
      <c r="P178" s="1170"/>
      <c r="Q178" s="1170"/>
      <c r="R178" s="1170"/>
      <c r="S178" s="1170"/>
      <c r="T178" s="1170"/>
      <c r="U178" s="1170"/>
      <c r="V178" s="1170"/>
    </row>
    <row r="179" spans="2:24" s="565" customFormat="1">
      <c r="B179" s="562"/>
      <c r="C179" s="563"/>
      <c r="D179" s="563"/>
      <c r="E179" s="563"/>
      <c r="F179" s="563"/>
      <c r="G179" s="563"/>
      <c r="H179" s="563"/>
      <c r="I179" s="564"/>
      <c r="J179" s="564"/>
      <c r="K179" s="563"/>
      <c r="L179" s="563"/>
      <c r="M179" s="564"/>
      <c r="N179" s="564"/>
      <c r="O179" s="595"/>
      <c r="P179" s="595"/>
      <c r="Q179" s="566"/>
      <c r="R179" s="566"/>
      <c r="S179" s="566"/>
      <c r="U179" s="595"/>
    </row>
    <row r="180" spans="2:24" s="565" customFormat="1" ht="12" customHeight="1">
      <c r="B180" s="584" t="s">
        <v>6545</v>
      </c>
      <c r="C180" s="573" t="str">
        <f>CHOOSE(jezyk,n!A1483,n!B1483,n!C1483,n!D1479)</f>
        <v>ANALIZA FINANSOWA</v>
      </c>
      <c r="D180" s="563"/>
      <c r="E180" s="563"/>
      <c r="F180" s="563"/>
      <c r="G180" s="563"/>
      <c r="H180" s="563"/>
      <c r="I180" s="564"/>
      <c r="J180" s="564"/>
      <c r="K180" s="563"/>
      <c r="L180" s="563"/>
      <c r="M180" s="564"/>
      <c r="N180" s="564"/>
      <c r="O180" s="595"/>
      <c r="P180" s="595"/>
      <c r="Q180" s="566"/>
      <c r="R180" s="566"/>
      <c r="S180" s="566"/>
      <c r="U180" s="595"/>
      <c r="W180" s="585">
        <v>5</v>
      </c>
      <c r="X180" s="586" t="s">
        <v>6912</v>
      </c>
    </row>
    <row r="181" spans="2:24" s="565" customFormat="1" ht="9" customHeight="1">
      <c r="B181" s="562"/>
      <c r="C181" s="563"/>
      <c r="D181" s="563"/>
      <c r="E181" s="563"/>
      <c r="F181" s="563"/>
      <c r="G181" s="563"/>
      <c r="H181" s="563"/>
      <c r="I181" s="564"/>
      <c r="J181" s="564"/>
      <c r="K181" s="563"/>
      <c r="L181" s="563"/>
      <c r="M181" s="564"/>
      <c r="N181" s="564"/>
      <c r="O181" s="595"/>
      <c r="P181" s="595"/>
      <c r="Q181" s="566"/>
      <c r="R181" s="566"/>
      <c r="S181" s="566"/>
      <c r="U181" s="595"/>
    </row>
    <row r="182" spans="2:24" s="565" customFormat="1" ht="12.75" customHeight="1">
      <c r="B182" s="596"/>
      <c r="C182" s="596"/>
      <c r="D182" s="596"/>
      <c r="E182" s="596"/>
      <c r="F182" s="596"/>
      <c r="G182" s="596"/>
      <c r="H182" s="596"/>
      <c r="I182" s="596"/>
      <c r="J182" s="596"/>
      <c r="K182" s="596"/>
      <c r="L182" s="597"/>
      <c r="M182" s="597"/>
      <c r="N182" s="598"/>
      <c r="O182" s="598"/>
      <c r="P182" s="598"/>
      <c r="Q182" s="598"/>
      <c r="R182" s="598"/>
      <c r="S182" s="598"/>
      <c r="T182" s="598"/>
      <c r="U182" s="598"/>
      <c r="V182" s="598"/>
    </row>
    <row r="183" spans="2:24" s="565" customFormat="1">
      <c r="B183" s="1170"/>
      <c r="C183" s="1170"/>
      <c r="D183" s="1170"/>
      <c r="E183" s="1170"/>
      <c r="F183" s="1175"/>
      <c r="G183" s="1175"/>
      <c r="H183" s="1175"/>
      <c r="I183" s="1175"/>
      <c r="J183" s="1175"/>
      <c r="K183" s="1175"/>
      <c r="L183" s="1175"/>
      <c r="M183" s="1175"/>
      <c r="N183" s="1176"/>
      <c r="O183" s="1176"/>
      <c r="P183" s="1176"/>
      <c r="Q183" s="1176"/>
      <c r="R183" s="1176"/>
      <c r="S183" s="1176"/>
      <c r="T183" s="1176"/>
      <c r="U183" s="1176"/>
      <c r="V183" s="1176"/>
    </row>
    <row r="184" spans="2:24" s="565" customFormat="1" ht="42.75" customHeight="1">
      <c r="B184" s="1172" t="s">
        <v>6914</v>
      </c>
      <c r="C184" s="1172"/>
      <c r="D184" s="1172"/>
      <c r="E184" s="1172"/>
      <c r="F184" s="1172"/>
      <c r="G184" s="1172"/>
      <c r="H184" s="1172"/>
      <c r="I184" s="1172"/>
      <c r="J184" s="1172"/>
      <c r="K184" s="1172"/>
      <c r="L184" s="1172"/>
      <c r="M184" s="1172"/>
      <c r="N184" s="1172"/>
      <c r="O184" s="1172"/>
      <c r="P184" s="1172"/>
      <c r="Q184" s="1172"/>
      <c r="R184" s="1172"/>
      <c r="S184" s="1172"/>
      <c r="T184" s="1172"/>
      <c r="U184" s="1172"/>
      <c r="V184" s="1172"/>
    </row>
    <row r="185" spans="2:24" s="565" customFormat="1" ht="7.5" customHeight="1">
      <c r="B185" s="596"/>
      <c r="C185" s="596"/>
      <c r="D185" s="596"/>
      <c r="E185" s="596"/>
      <c r="F185" s="597"/>
      <c r="G185" s="597"/>
      <c r="H185" s="597"/>
      <c r="I185" s="597"/>
      <c r="J185" s="597"/>
      <c r="K185" s="597"/>
      <c r="L185" s="597"/>
      <c r="M185" s="597"/>
      <c r="N185" s="598"/>
      <c r="O185" s="598"/>
      <c r="P185" s="598"/>
      <c r="Q185" s="598"/>
      <c r="R185" s="598"/>
      <c r="S185" s="598"/>
      <c r="T185" s="598"/>
      <c r="U185" s="598"/>
      <c r="V185" s="598"/>
    </row>
    <row r="186" spans="2:24" s="565" customFormat="1" ht="14.25" customHeight="1">
      <c r="B186" s="594"/>
      <c r="C186" s="594"/>
      <c r="D186" s="594"/>
      <c r="E186" s="594"/>
      <c r="F186" s="594"/>
      <c r="G186" s="594"/>
      <c r="H186" s="594"/>
      <c r="I186" s="594"/>
      <c r="J186" s="594"/>
      <c r="K186" s="594"/>
      <c r="L186" s="594"/>
      <c r="M186" s="594"/>
      <c r="N186" s="594"/>
      <c r="O186" s="594"/>
      <c r="P186" s="594"/>
      <c r="Q186" s="594"/>
      <c r="R186" s="594"/>
      <c r="S186" s="594"/>
      <c r="T186" s="594"/>
      <c r="U186" s="594"/>
      <c r="V186" s="594"/>
      <c r="W186" s="586"/>
    </row>
    <row r="187" spans="2:24" s="565" customFormat="1">
      <c r="B187" s="562"/>
      <c r="C187" s="563"/>
      <c r="D187" s="563"/>
      <c r="E187" s="563"/>
      <c r="F187" s="563"/>
      <c r="G187" s="563"/>
      <c r="H187" s="563"/>
      <c r="I187" s="564"/>
      <c r="J187" s="564"/>
      <c r="K187" s="563"/>
      <c r="L187" s="563"/>
      <c r="M187" s="564"/>
      <c r="N187" s="564"/>
      <c r="O187" s="595"/>
      <c r="P187" s="595"/>
      <c r="Q187" s="566"/>
      <c r="R187" s="566"/>
      <c r="S187" s="566"/>
    </row>
    <row r="188" spans="2:24" s="565" customFormat="1">
      <c r="B188" s="584" t="s">
        <v>6915</v>
      </c>
      <c r="C188" s="573" t="str">
        <f>CHOOSE(jezyk,n!A1484,n!B1484,n!C1484,n!D1480)</f>
        <v>PRZEWIDYWANY ROZWÓJ SPÓŁKI</v>
      </c>
      <c r="D188" s="563"/>
      <c r="E188" s="563"/>
      <c r="F188" s="563"/>
      <c r="G188" s="563"/>
      <c r="H188" s="563"/>
      <c r="I188" s="564"/>
      <c r="J188" s="564"/>
      <c r="K188" s="563"/>
      <c r="L188" s="563"/>
      <c r="M188" s="564"/>
      <c r="N188" s="564"/>
      <c r="O188" s="595"/>
      <c r="P188" s="595"/>
      <c r="Q188" s="566"/>
      <c r="R188" s="566"/>
      <c r="S188" s="566"/>
      <c r="W188" s="585">
        <v>5</v>
      </c>
      <c r="X188" s="586" t="s">
        <v>6912</v>
      </c>
    </row>
    <row r="189" spans="2:24" s="565" customFormat="1">
      <c r="B189" s="562"/>
      <c r="C189" s="563"/>
      <c r="D189" s="563"/>
      <c r="E189" s="563"/>
      <c r="F189" s="563"/>
      <c r="G189" s="563"/>
      <c r="H189" s="563"/>
      <c r="I189" s="564"/>
      <c r="J189" s="564"/>
      <c r="K189" s="563"/>
      <c r="L189" s="563"/>
      <c r="M189" s="564"/>
      <c r="N189" s="564"/>
      <c r="O189" s="595"/>
      <c r="P189" s="595"/>
      <c r="Q189" s="566"/>
      <c r="R189" s="566"/>
      <c r="S189" s="566"/>
    </row>
    <row r="190" spans="2:24" s="565" customFormat="1">
      <c r="B190" s="562"/>
      <c r="C190" s="563"/>
      <c r="D190" s="563"/>
      <c r="E190" s="563"/>
      <c r="F190" s="563"/>
      <c r="G190" s="563"/>
      <c r="H190" s="563"/>
      <c r="I190" s="564"/>
      <c r="J190" s="564"/>
      <c r="K190" s="563"/>
      <c r="L190" s="563"/>
      <c r="M190" s="564"/>
      <c r="N190" s="564"/>
      <c r="O190" s="595"/>
      <c r="P190" s="595"/>
      <c r="Q190" s="566"/>
      <c r="R190" s="566"/>
      <c r="S190" s="566"/>
    </row>
    <row r="191" spans="2:24" s="565" customFormat="1" ht="38.25" customHeight="1">
      <c r="B191" s="1172"/>
      <c r="C191" s="1172"/>
      <c r="D191" s="1172"/>
      <c r="E191" s="1172"/>
      <c r="F191" s="1172"/>
      <c r="G191" s="1172"/>
      <c r="H191" s="1172"/>
      <c r="I191" s="1172"/>
      <c r="J191" s="1172"/>
      <c r="K191" s="1172"/>
      <c r="L191" s="1172"/>
      <c r="M191" s="1172"/>
      <c r="N191" s="1172"/>
      <c r="O191" s="1172"/>
      <c r="P191" s="1172"/>
      <c r="Q191" s="1172"/>
      <c r="R191" s="1172"/>
      <c r="S191" s="1172"/>
      <c r="T191" s="1172"/>
      <c r="U191" s="1172"/>
      <c r="V191" s="1172"/>
    </row>
    <row r="192" spans="2:24" s="565" customFormat="1">
      <c r="B192" s="562"/>
      <c r="C192" s="563"/>
      <c r="D192" s="563"/>
      <c r="E192" s="563"/>
      <c r="F192" s="563"/>
      <c r="G192" s="563"/>
      <c r="H192" s="563"/>
      <c r="I192" s="564"/>
      <c r="J192" s="564"/>
      <c r="K192" s="563"/>
      <c r="L192" s="563"/>
      <c r="M192" s="564"/>
      <c r="N192" s="564"/>
      <c r="O192" s="595"/>
      <c r="P192" s="595"/>
      <c r="Q192" s="566"/>
      <c r="R192" s="566"/>
      <c r="S192" s="566"/>
    </row>
    <row r="193" spans="2:24" s="565" customFormat="1" ht="38.25" customHeight="1">
      <c r="B193" s="1172"/>
      <c r="C193" s="1172"/>
      <c r="D193" s="1172"/>
      <c r="E193" s="1172"/>
      <c r="F193" s="1172"/>
      <c r="G193" s="1172"/>
      <c r="H193" s="1172"/>
      <c r="I193" s="1172"/>
      <c r="J193" s="1172"/>
      <c r="K193" s="1172"/>
      <c r="L193" s="1172"/>
      <c r="M193" s="1172"/>
      <c r="N193" s="1172"/>
      <c r="O193" s="1172"/>
      <c r="P193" s="1172"/>
      <c r="Q193" s="1172"/>
      <c r="R193" s="1172"/>
      <c r="S193" s="1172"/>
      <c r="T193" s="1172"/>
      <c r="U193" s="1172"/>
      <c r="V193" s="1172"/>
    </row>
    <row r="194" spans="2:24" s="565" customFormat="1">
      <c r="B194" s="562"/>
      <c r="C194" s="563"/>
      <c r="D194" s="563"/>
      <c r="E194" s="563"/>
      <c r="F194" s="563"/>
      <c r="G194" s="563"/>
      <c r="H194" s="563"/>
      <c r="I194" s="564"/>
      <c r="J194" s="564"/>
      <c r="K194" s="563"/>
      <c r="L194" s="563"/>
      <c r="M194" s="564"/>
      <c r="N194" s="564"/>
      <c r="O194" s="595"/>
      <c r="P194" s="595"/>
      <c r="Q194" s="566"/>
      <c r="R194" s="566"/>
      <c r="S194" s="566"/>
    </row>
    <row r="195" spans="2:24" s="565" customFormat="1" ht="38.25" customHeight="1">
      <c r="B195" s="1172"/>
      <c r="C195" s="1172"/>
      <c r="D195" s="1172"/>
      <c r="E195" s="1172"/>
      <c r="F195" s="1172"/>
      <c r="G195" s="1172"/>
      <c r="H195" s="1172"/>
      <c r="I195" s="1172"/>
      <c r="J195" s="1172"/>
      <c r="K195" s="1172"/>
      <c r="L195" s="1172"/>
      <c r="M195" s="1172"/>
      <c r="N195" s="1172"/>
      <c r="O195" s="1172"/>
      <c r="P195" s="1172"/>
      <c r="Q195" s="1172"/>
      <c r="R195" s="1172"/>
      <c r="S195" s="1172"/>
      <c r="T195" s="1172"/>
      <c r="U195" s="1172"/>
      <c r="V195" s="1172"/>
    </row>
    <row r="196" spans="2:24" s="565" customFormat="1">
      <c r="B196" s="562"/>
      <c r="C196" s="563"/>
      <c r="D196" s="563"/>
      <c r="E196" s="563"/>
      <c r="F196" s="563"/>
      <c r="G196" s="563"/>
      <c r="H196" s="563"/>
      <c r="I196" s="564"/>
      <c r="J196" s="564"/>
      <c r="K196" s="563"/>
      <c r="L196" s="563"/>
      <c r="M196" s="564"/>
      <c r="N196" s="564"/>
      <c r="O196" s="595"/>
      <c r="P196" s="595"/>
      <c r="Q196" s="566"/>
      <c r="R196" s="566"/>
      <c r="S196" s="566"/>
    </row>
    <row r="197" spans="2:24" s="565" customFormat="1">
      <c r="B197" s="562"/>
      <c r="D197" s="563"/>
      <c r="E197" s="563"/>
      <c r="F197" s="563"/>
      <c r="G197" s="563"/>
      <c r="H197" s="563"/>
      <c r="I197" s="564"/>
      <c r="J197" s="564"/>
      <c r="K197" s="563"/>
      <c r="L197" s="563"/>
      <c r="M197" s="564"/>
      <c r="N197" s="564"/>
      <c r="O197" s="595"/>
      <c r="P197" s="595"/>
      <c r="Q197" s="566"/>
      <c r="R197" s="566"/>
      <c r="S197" s="566"/>
    </row>
    <row r="198" spans="2:24" s="565" customFormat="1" ht="12" customHeight="1">
      <c r="B198" s="584" t="s">
        <v>6549</v>
      </c>
      <c r="C198" s="1173" t="str">
        <f>CHOOSE(jezyk,n!A1485,n!B1485,n!C1485,n!D1483)</f>
        <v>CZYNNIKI RYZYKA ZWIĄZANE Z PROWADZONĄ DZIAŁALNOŚCIĄ,  W TYM W ZAKRESIE INSTRUMENTÓW FINANSOWYCH</v>
      </c>
      <c r="D198" s="1173"/>
      <c r="E198" s="1173"/>
      <c r="F198" s="1173"/>
      <c r="G198" s="1173"/>
      <c r="H198" s="1173"/>
      <c r="I198" s="1173"/>
      <c r="J198" s="1173"/>
      <c r="K198" s="1173"/>
      <c r="L198" s="1173"/>
      <c r="M198" s="1173"/>
      <c r="N198" s="1173"/>
      <c r="O198" s="1173"/>
      <c r="P198" s="1173"/>
      <c r="Q198" s="1173"/>
      <c r="R198" s="1173"/>
      <c r="S198" s="1173"/>
      <c r="T198" s="1173"/>
      <c r="U198" s="1173"/>
      <c r="V198" s="1173"/>
      <c r="W198" s="585">
        <v>6</v>
      </c>
      <c r="X198" s="586" t="s">
        <v>6912</v>
      </c>
    </row>
    <row r="199" spans="2:24" s="565" customFormat="1" ht="14.25" customHeight="1">
      <c r="B199" s="584"/>
      <c r="C199" s="1173"/>
      <c r="D199" s="1173"/>
      <c r="E199" s="1173"/>
      <c r="F199" s="1173"/>
      <c r="G199" s="1173"/>
      <c r="H199" s="1173"/>
      <c r="I199" s="1173"/>
      <c r="J199" s="1173"/>
      <c r="K199" s="1173"/>
      <c r="L199" s="1173"/>
      <c r="M199" s="1173"/>
      <c r="N199" s="1173"/>
      <c r="O199" s="1173"/>
      <c r="P199" s="1173"/>
      <c r="Q199" s="1173"/>
      <c r="R199" s="1173"/>
      <c r="S199" s="1173"/>
      <c r="T199" s="1173"/>
      <c r="U199" s="1173"/>
      <c r="V199" s="1173"/>
    </row>
    <row r="200" spans="2:24" s="565" customFormat="1" ht="14.25" customHeight="1">
      <c r="B200" s="562"/>
      <c r="C200" s="563"/>
      <c r="D200" s="563"/>
      <c r="E200" s="563"/>
      <c r="F200" s="563"/>
      <c r="G200" s="563"/>
      <c r="H200" s="563"/>
      <c r="I200" s="564"/>
      <c r="J200" s="564"/>
      <c r="K200" s="563"/>
      <c r="L200" s="563"/>
      <c r="M200" s="564"/>
      <c r="N200" s="564"/>
      <c r="O200" s="595"/>
      <c r="P200" s="595"/>
      <c r="Q200" s="566"/>
      <c r="R200" s="566"/>
      <c r="S200" s="566"/>
      <c r="U200" s="595"/>
    </row>
    <row r="201" spans="2:24" s="565" customFormat="1" ht="38.25" customHeight="1">
      <c r="B201" s="1170" t="s">
        <v>4103</v>
      </c>
      <c r="C201" s="1170"/>
      <c r="D201" s="1170"/>
      <c r="E201" s="1170"/>
      <c r="F201" s="1170"/>
      <c r="G201" s="1170"/>
      <c r="H201" s="1170"/>
      <c r="I201" s="1170"/>
      <c r="J201" s="1170"/>
      <c r="K201" s="1170"/>
      <c r="L201" s="1170"/>
      <c r="M201" s="1170"/>
      <c r="N201" s="1170"/>
      <c r="O201" s="1170"/>
      <c r="P201" s="1170"/>
      <c r="Q201" s="1170"/>
      <c r="R201" s="1170"/>
      <c r="S201" s="1170"/>
      <c r="T201" s="1170"/>
      <c r="U201" s="1170"/>
      <c r="V201" s="1170"/>
      <c r="W201" s="130" t="s">
        <v>6916</v>
      </c>
    </row>
    <row r="202" spans="2:24" s="565" customFormat="1" ht="38.25" customHeight="1">
      <c r="B202" s="1170" t="s">
        <v>4106</v>
      </c>
      <c r="C202" s="1170"/>
      <c r="D202" s="1170"/>
      <c r="E202" s="1170"/>
      <c r="F202" s="1170"/>
      <c r="G202" s="1170"/>
      <c r="H202" s="1170"/>
      <c r="I202" s="1170"/>
      <c r="J202" s="1170"/>
      <c r="K202" s="1170"/>
      <c r="L202" s="1170"/>
      <c r="M202" s="1170"/>
      <c r="N202" s="1170"/>
      <c r="O202" s="1170"/>
      <c r="P202" s="1170"/>
      <c r="Q202" s="1170"/>
      <c r="R202" s="1170"/>
      <c r="S202" s="1170"/>
      <c r="T202" s="1170"/>
      <c r="U202" s="1170"/>
      <c r="V202" s="1170"/>
      <c r="W202" s="130" t="s">
        <v>6916</v>
      </c>
    </row>
    <row r="203" spans="2:24" s="565" customFormat="1" ht="12.75" customHeight="1">
      <c r="B203" s="562"/>
      <c r="C203" s="563"/>
      <c r="D203" s="563"/>
      <c r="E203" s="563"/>
      <c r="F203" s="563"/>
      <c r="G203" s="563"/>
      <c r="H203" s="563"/>
      <c r="I203" s="564"/>
      <c r="J203" s="564"/>
      <c r="K203" s="563"/>
      <c r="L203" s="563"/>
      <c r="M203" s="564"/>
      <c r="N203" s="564"/>
      <c r="O203" s="595"/>
      <c r="P203" s="595"/>
      <c r="Q203" s="566"/>
      <c r="R203" s="566"/>
      <c r="S203" s="566"/>
      <c r="U203" s="595"/>
    </row>
    <row r="204" spans="2:24" s="565" customFormat="1" ht="38.25" customHeight="1">
      <c r="B204" s="1172"/>
      <c r="C204" s="1172"/>
      <c r="D204" s="1172"/>
      <c r="E204" s="1172"/>
      <c r="F204" s="1172"/>
      <c r="G204" s="1172"/>
      <c r="H204" s="1172"/>
      <c r="I204" s="1172"/>
      <c r="J204" s="1172"/>
      <c r="K204" s="1172"/>
      <c r="L204" s="1172"/>
      <c r="M204" s="1172"/>
      <c r="N204" s="1172"/>
      <c r="O204" s="1172"/>
      <c r="P204" s="1172"/>
      <c r="Q204" s="1172"/>
      <c r="R204" s="1172"/>
      <c r="S204" s="1172"/>
      <c r="T204" s="1172"/>
      <c r="U204" s="1172"/>
      <c r="V204" s="1172"/>
    </row>
    <row r="205" spans="2:24" s="565" customFormat="1">
      <c r="B205" s="596"/>
      <c r="C205" s="1170" t="str">
        <f>CHOOSE(jezyk,n!A1486,n!B1486,n!C1486,n!D1484)</f>
        <v>Czynniki ryzyka związane z instrumentami finansowymi</v>
      </c>
      <c r="D205" s="1170"/>
      <c r="E205" s="1170"/>
      <c r="F205" s="1170"/>
      <c r="G205" s="1170"/>
      <c r="H205" s="1170"/>
      <c r="I205" s="1170"/>
      <c r="J205" s="1170"/>
      <c r="K205" s="1170"/>
      <c r="L205" s="1170"/>
      <c r="M205" s="1170"/>
      <c r="N205" s="1170"/>
      <c r="O205" s="1170"/>
      <c r="P205" s="1170"/>
      <c r="Q205" s="1170"/>
      <c r="R205" s="1170"/>
      <c r="S205" s="1170"/>
      <c r="T205" s="1170"/>
      <c r="U205" s="1170"/>
      <c r="V205" s="1170"/>
    </row>
    <row r="206" spans="2:24" s="565" customFormat="1" ht="38.25" customHeight="1">
      <c r="B206" s="599"/>
      <c r="C206" s="599"/>
      <c r="D206" s="599"/>
      <c r="E206" s="599"/>
      <c r="F206" s="599"/>
      <c r="G206" s="599"/>
      <c r="H206" s="599"/>
      <c r="I206" s="599"/>
      <c r="J206" s="599"/>
      <c r="K206" s="599"/>
      <c r="L206" s="599"/>
      <c r="M206" s="599"/>
      <c r="N206" s="599"/>
      <c r="O206" s="599"/>
      <c r="P206" s="599"/>
      <c r="Q206" s="599"/>
      <c r="R206" s="599"/>
      <c r="S206" s="599"/>
      <c r="T206" s="599"/>
      <c r="U206" s="599"/>
      <c r="V206" s="599"/>
    </row>
    <row r="207" spans="2:24" s="565" customFormat="1" ht="12.75" customHeight="1">
      <c r="B207" s="596"/>
      <c r="C207" s="596"/>
      <c r="D207" s="596"/>
      <c r="E207" s="596"/>
      <c r="F207" s="596"/>
      <c r="G207" s="596"/>
      <c r="H207" s="596"/>
      <c r="I207" s="596"/>
      <c r="J207" s="596"/>
      <c r="K207" s="596"/>
      <c r="L207" s="596"/>
      <c r="M207" s="596"/>
      <c r="N207" s="596"/>
      <c r="O207" s="596"/>
      <c r="P207" s="596"/>
      <c r="Q207" s="596"/>
      <c r="R207" s="596"/>
      <c r="S207" s="596"/>
      <c r="T207" s="596"/>
      <c r="U207" s="596"/>
      <c r="V207" s="596"/>
    </row>
    <row r="208" spans="2:24" s="565" customFormat="1" ht="12.75" customHeight="1">
      <c r="B208" s="562"/>
      <c r="C208" s="563"/>
      <c r="D208" s="563"/>
      <c r="E208" s="563"/>
      <c r="F208" s="563"/>
      <c r="G208" s="563"/>
      <c r="H208" s="563"/>
      <c r="I208" s="564"/>
      <c r="J208" s="564"/>
      <c r="K208" s="563"/>
      <c r="L208" s="563"/>
      <c r="M208" s="564"/>
      <c r="N208" s="564"/>
      <c r="O208" s="595"/>
      <c r="P208" s="595"/>
      <c r="Q208" s="566"/>
      <c r="R208" s="566"/>
      <c r="S208" s="566"/>
      <c r="U208" s="595"/>
    </row>
    <row r="209" spans="2:24" s="565" customFormat="1" ht="12.75" customHeight="1">
      <c r="B209" s="584" t="s">
        <v>6763</v>
      </c>
      <c r="C209" s="573" t="str">
        <f>CHOOSE(jezyk,n!A1487,n!B1487,n!C1487,n!D1482)</f>
        <v>WAŻNIEJSZE OSIĄGNIĘCIA W DZIEDZINIE BADAŃ I ROZWOJU</v>
      </c>
      <c r="D209" s="563"/>
      <c r="E209" s="563"/>
      <c r="F209" s="563"/>
      <c r="G209" s="563"/>
      <c r="H209" s="563"/>
      <c r="I209" s="564"/>
      <c r="J209" s="564"/>
      <c r="K209" s="563"/>
      <c r="L209" s="563"/>
      <c r="M209" s="564"/>
      <c r="N209" s="564"/>
      <c r="O209" s="595"/>
      <c r="P209" s="595"/>
      <c r="Q209" s="566"/>
      <c r="R209" s="566"/>
      <c r="S209" s="566"/>
      <c r="U209" s="595"/>
      <c r="W209" s="585">
        <v>6</v>
      </c>
      <c r="X209" s="586" t="s">
        <v>6912</v>
      </c>
    </row>
    <row r="210" spans="2:24" s="565" customFormat="1" ht="12.75" customHeight="1">
      <c r="B210" s="562"/>
      <c r="C210" s="563"/>
      <c r="D210" s="563"/>
      <c r="E210" s="563"/>
      <c r="F210" s="563"/>
      <c r="G210" s="563"/>
      <c r="H210" s="563"/>
      <c r="I210" s="564"/>
      <c r="J210" s="564"/>
      <c r="K210" s="563"/>
      <c r="L210" s="563"/>
      <c r="M210" s="564"/>
      <c r="N210" s="564"/>
      <c r="O210" s="595"/>
      <c r="P210" s="595"/>
      <c r="Q210" s="566"/>
      <c r="R210" s="566"/>
      <c r="S210" s="566"/>
      <c r="U210" s="595"/>
    </row>
    <row r="211" spans="2:24" s="565" customFormat="1" ht="12.75" customHeight="1">
      <c r="B211" s="562"/>
      <c r="C211" s="563"/>
      <c r="D211" s="563"/>
      <c r="E211" s="563"/>
      <c r="F211" s="563"/>
      <c r="G211" s="563"/>
      <c r="H211" s="563"/>
      <c r="I211" s="564"/>
      <c r="J211" s="564"/>
      <c r="K211" s="563"/>
      <c r="L211" s="563"/>
      <c r="M211" s="564"/>
      <c r="N211" s="564"/>
      <c r="O211" s="595"/>
      <c r="P211" s="595"/>
      <c r="Q211" s="566"/>
      <c r="R211" s="566"/>
      <c r="S211" s="566"/>
      <c r="U211" s="595"/>
    </row>
    <row r="212" spans="2:24" s="565" customFormat="1" ht="38.25" customHeight="1">
      <c r="B212" s="1172" t="s">
        <v>6917</v>
      </c>
      <c r="C212" s="1172"/>
      <c r="D212" s="1172"/>
      <c r="E212" s="1172"/>
      <c r="F212" s="1172"/>
      <c r="G212" s="1172"/>
      <c r="H212" s="1172"/>
      <c r="I212" s="1172"/>
      <c r="J212" s="1172"/>
      <c r="K212" s="1172"/>
      <c r="L212" s="1172"/>
      <c r="M212" s="1172"/>
      <c r="N212" s="1172"/>
      <c r="O212" s="1172"/>
      <c r="P212" s="1172"/>
      <c r="Q212" s="1172"/>
      <c r="R212" s="1172"/>
      <c r="S212" s="1172"/>
      <c r="T212" s="1172"/>
      <c r="U212" s="1172"/>
      <c r="V212" s="1172"/>
    </row>
    <row r="213" spans="2:24" s="565" customFormat="1" ht="12.75" customHeight="1">
      <c r="B213" s="562"/>
      <c r="C213" s="563"/>
      <c r="D213" s="563"/>
      <c r="E213" s="563"/>
      <c r="F213" s="563"/>
      <c r="G213" s="563"/>
      <c r="H213" s="563"/>
      <c r="I213" s="564"/>
      <c r="J213" s="564"/>
      <c r="K213" s="563"/>
      <c r="L213" s="563"/>
      <c r="M213" s="564"/>
      <c r="N213" s="564"/>
      <c r="O213" s="595"/>
      <c r="P213" s="595"/>
      <c r="Q213" s="566"/>
      <c r="R213" s="566"/>
      <c r="S213" s="566"/>
      <c r="U213" s="595"/>
    </row>
    <row r="214" spans="2:24" s="565" customFormat="1" ht="38.25" customHeight="1">
      <c r="B214" s="1172"/>
      <c r="C214" s="1172"/>
      <c r="D214" s="1172"/>
      <c r="E214" s="1172"/>
      <c r="F214" s="1172"/>
      <c r="G214" s="1172"/>
      <c r="H214" s="1172"/>
      <c r="I214" s="1172"/>
      <c r="J214" s="1172"/>
      <c r="K214" s="1172"/>
      <c r="L214" s="1172"/>
      <c r="M214" s="1172"/>
      <c r="N214" s="1172"/>
      <c r="O214" s="1172"/>
      <c r="P214" s="1172"/>
      <c r="Q214" s="1172"/>
      <c r="R214" s="1172"/>
      <c r="S214" s="1172"/>
      <c r="T214" s="1172"/>
      <c r="U214" s="1172"/>
      <c r="V214" s="1172"/>
    </row>
    <row r="215" spans="2:24" s="565" customFormat="1" ht="12.75" customHeight="1">
      <c r="B215" s="562"/>
      <c r="C215" s="563"/>
      <c r="D215" s="563"/>
      <c r="E215" s="563"/>
      <c r="F215" s="563"/>
      <c r="G215" s="563"/>
      <c r="H215" s="563"/>
      <c r="I215" s="564"/>
      <c r="J215" s="564"/>
      <c r="K215" s="563"/>
      <c r="L215" s="563"/>
      <c r="M215" s="564"/>
      <c r="N215" s="564"/>
      <c r="O215" s="595"/>
      <c r="P215" s="595"/>
      <c r="Q215" s="566"/>
      <c r="R215" s="566"/>
      <c r="S215" s="566"/>
      <c r="U215" s="595"/>
    </row>
    <row r="216" spans="2:24" s="565" customFormat="1" ht="38.25" customHeight="1">
      <c r="B216" s="1172"/>
      <c r="C216" s="1172"/>
      <c r="D216" s="1172"/>
      <c r="E216" s="1172"/>
      <c r="F216" s="1172"/>
      <c r="G216" s="1172"/>
      <c r="H216" s="1172"/>
      <c r="I216" s="1172"/>
      <c r="J216" s="1172"/>
      <c r="K216" s="1172"/>
      <c r="L216" s="1172"/>
      <c r="M216" s="1172"/>
      <c r="N216" s="1172"/>
      <c r="O216" s="1172"/>
      <c r="P216" s="1172"/>
      <c r="Q216" s="1172"/>
      <c r="R216" s="1172"/>
      <c r="S216" s="1172"/>
      <c r="T216" s="1172"/>
      <c r="U216" s="1172"/>
      <c r="V216" s="1172"/>
    </row>
    <row r="217" spans="2:24" s="565" customFormat="1" ht="12.75" customHeight="1">
      <c r="B217" s="562"/>
      <c r="C217" s="563"/>
      <c r="D217" s="563"/>
      <c r="E217" s="563"/>
      <c r="F217" s="563"/>
      <c r="G217" s="563"/>
      <c r="H217" s="563"/>
      <c r="I217" s="564"/>
      <c r="J217" s="564"/>
      <c r="K217" s="563"/>
      <c r="L217" s="563"/>
      <c r="M217" s="564"/>
      <c r="N217" s="564"/>
      <c r="O217" s="595"/>
      <c r="P217" s="595"/>
      <c r="Q217" s="566"/>
      <c r="R217" s="566"/>
      <c r="S217" s="566"/>
      <c r="U217" s="595"/>
    </row>
    <row r="218" spans="2:24" s="565" customFormat="1" ht="12.75" customHeight="1">
      <c r="B218" s="562"/>
      <c r="C218" s="563"/>
      <c r="D218" s="563"/>
      <c r="E218" s="563"/>
      <c r="F218" s="563"/>
      <c r="G218" s="563"/>
      <c r="H218" s="563"/>
      <c r="I218" s="564"/>
      <c r="J218" s="564"/>
      <c r="K218" s="563"/>
      <c r="L218" s="563"/>
      <c r="M218" s="564"/>
      <c r="N218" s="564"/>
      <c r="O218" s="595"/>
      <c r="P218" s="595"/>
      <c r="Q218" s="566"/>
      <c r="R218" s="566"/>
      <c r="S218" s="566"/>
      <c r="U218" s="595"/>
    </row>
    <row r="219" spans="2:24" s="565" customFormat="1" ht="12.75" customHeight="1">
      <c r="B219" s="584" t="s">
        <v>6772</v>
      </c>
      <c r="C219" s="573" t="str">
        <f>CHOOSE(jezyk,n!A1488,n!B1488,n!C1488,n!D1483)</f>
        <v>INFORMACJE O NABYCIU UDZIAŁÓW (AKCJI) WŁASNYCH</v>
      </c>
      <c r="D219" s="563"/>
      <c r="E219" s="563"/>
      <c r="F219" s="563"/>
      <c r="G219" s="563"/>
      <c r="H219" s="563"/>
      <c r="I219" s="564"/>
      <c r="J219" s="564"/>
      <c r="K219" s="563"/>
      <c r="L219" s="563"/>
      <c r="M219" s="564"/>
      <c r="N219" s="564"/>
      <c r="O219" s="595"/>
      <c r="P219" s="595"/>
      <c r="Q219" s="566"/>
      <c r="R219" s="566"/>
      <c r="S219" s="566"/>
      <c r="U219" s="595"/>
      <c r="W219" s="585">
        <v>6</v>
      </c>
      <c r="X219" s="586" t="s">
        <v>6912</v>
      </c>
    </row>
    <row r="220" spans="2:24" s="565" customFormat="1" ht="12.75" customHeight="1">
      <c r="B220" s="562"/>
      <c r="C220" s="563"/>
      <c r="D220" s="563"/>
      <c r="E220" s="563"/>
      <c r="F220" s="563"/>
      <c r="G220" s="563"/>
      <c r="H220" s="563"/>
      <c r="I220" s="564"/>
      <c r="J220" s="564"/>
      <c r="K220" s="563"/>
      <c r="L220" s="563"/>
      <c r="M220" s="564"/>
      <c r="N220" s="564"/>
      <c r="O220" s="595"/>
      <c r="P220" s="595"/>
      <c r="Q220" s="566"/>
      <c r="R220" s="566"/>
      <c r="S220" s="566"/>
      <c r="U220" s="595"/>
    </row>
    <row r="221" spans="2:24" s="565" customFormat="1" ht="12.75" customHeight="1">
      <c r="B221" s="562"/>
      <c r="C221" s="563"/>
      <c r="D221" s="563"/>
      <c r="E221" s="563"/>
      <c r="F221" s="563"/>
      <c r="G221" s="563"/>
      <c r="H221" s="563"/>
      <c r="I221" s="564"/>
      <c r="J221" s="564"/>
      <c r="K221" s="563"/>
      <c r="L221" s="563"/>
      <c r="M221" s="564"/>
      <c r="N221" s="564"/>
      <c r="O221" s="595"/>
      <c r="P221" s="595"/>
      <c r="Q221" s="566"/>
      <c r="R221" s="566"/>
      <c r="S221" s="566"/>
      <c r="U221" s="595"/>
    </row>
    <row r="222" spans="2:24" s="565" customFormat="1" ht="38.25" customHeight="1">
      <c r="B222" s="1170" t="s">
        <v>4109</v>
      </c>
      <c r="C222" s="1170"/>
      <c r="D222" s="1170"/>
      <c r="E222" s="1170"/>
      <c r="F222" s="1170"/>
      <c r="G222" s="1170"/>
      <c r="H222" s="1170"/>
      <c r="I222" s="1170"/>
      <c r="J222" s="1170"/>
      <c r="K222" s="1170"/>
      <c r="L222" s="1170"/>
      <c r="M222" s="1170"/>
      <c r="N222" s="1170"/>
      <c r="O222" s="1170"/>
      <c r="P222" s="1170"/>
      <c r="Q222" s="1170"/>
      <c r="R222" s="1170"/>
      <c r="S222" s="1170"/>
      <c r="T222" s="1170"/>
      <c r="U222" s="1170"/>
      <c r="V222" s="1170"/>
      <c r="W222" s="130" t="s">
        <v>6916</v>
      </c>
    </row>
    <row r="223" spans="2:24" s="565" customFormat="1" ht="38.25" customHeight="1">
      <c r="B223" s="1172"/>
      <c r="C223" s="1172"/>
      <c r="D223" s="1172"/>
      <c r="E223" s="1172"/>
      <c r="F223" s="1172"/>
      <c r="G223" s="1172"/>
      <c r="H223" s="1172"/>
      <c r="I223" s="1172"/>
      <c r="J223" s="1172"/>
      <c r="K223" s="1172"/>
      <c r="L223" s="1172"/>
      <c r="M223" s="1172"/>
      <c r="N223" s="1172"/>
      <c r="O223" s="1172"/>
      <c r="P223" s="1172"/>
      <c r="Q223" s="1172"/>
      <c r="R223" s="1172"/>
      <c r="S223" s="1172"/>
      <c r="T223" s="1172"/>
      <c r="U223" s="1172"/>
      <c r="V223" s="1172"/>
    </row>
    <row r="224" spans="2:24" s="565" customFormat="1" ht="12.75" customHeight="1">
      <c r="B224" s="562"/>
      <c r="C224" s="563"/>
      <c r="D224" s="563"/>
      <c r="E224" s="563"/>
      <c r="F224" s="563"/>
      <c r="G224" s="563"/>
      <c r="H224" s="563"/>
      <c r="I224" s="564"/>
      <c r="J224" s="564"/>
      <c r="K224" s="563"/>
      <c r="L224" s="563"/>
      <c r="M224" s="564"/>
      <c r="N224" s="564"/>
      <c r="O224" s="595"/>
      <c r="P224" s="595"/>
      <c r="Q224" s="566"/>
      <c r="R224" s="566"/>
      <c r="S224" s="566"/>
      <c r="U224" s="595"/>
    </row>
    <row r="225" spans="2:24" s="565" customFormat="1" ht="38.25" customHeight="1">
      <c r="B225" s="1172"/>
      <c r="C225" s="1172"/>
      <c r="D225" s="1172"/>
      <c r="E225" s="1172"/>
      <c r="F225" s="1172"/>
      <c r="G225" s="1172"/>
      <c r="H225" s="1172"/>
      <c r="I225" s="1172"/>
      <c r="J225" s="1172"/>
      <c r="K225" s="1172"/>
      <c r="L225" s="1172"/>
      <c r="M225" s="1172"/>
      <c r="N225" s="1172"/>
      <c r="O225" s="1172"/>
      <c r="P225" s="1172"/>
      <c r="Q225" s="1172"/>
      <c r="R225" s="1172"/>
      <c r="S225" s="1172"/>
      <c r="T225" s="1172"/>
      <c r="U225" s="1172"/>
      <c r="V225" s="1172"/>
    </row>
    <row r="226" spans="2:24" s="565" customFormat="1" ht="12.75" customHeight="1">
      <c r="B226" s="562"/>
      <c r="C226" s="563"/>
      <c r="D226" s="563"/>
      <c r="E226" s="563"/>
      <c r="F226" s="563"/>
      <c r="G226" s="563"/>
      <c r="H226" s="563"/>
      <c r="I226" s="564"/>
      <c r="J226" s="564"/>
      <c r="K226" s="563"/>
      <c r="L226" s="563"/>
      <c r="M226" s="564"/>
      <c r="N226" s="564"/>
      <c r="O226" s="595"/>
      <c r="P226" s="595"/>
      <c r="Q226" s="566"/>
      <c r="R226" s="566"/>
      <c r="S226" s="566"/>
      <c r="U226" s="595"/>
    </row>
    <row r="227" spans="2:24" s="565" customFormat="1" ht="12" customHeight="1">
      <c r="B227" s="584" t="s">
        <v>6773</v>
      </c>
      <c r="C227" s="573" t="str">
        <f>CHOOSE(jezyk,n!A1490,n!B1490,n!C1490,n!D1486)</f>
        <v>PODSUMOWANIE</v>
      </c>
      <c r="D227" s="563"/>
      <c r="E227" s="563"/>
      <c r="F227" s="563"/>
      <c r="G227" s="563"/>
      <c r="H227" s="563"/>
      <c r="I227" s="564"/>
      <c r="J227" s="564"/>
      <c r="K227" s="563"/>
      <c r="L227" s="563"/>
      <c r="M227" s="564"/>
      <c r="N227" s="564"/>
      <c r="O227" s="595"/>
      <c r="P227" s="595"/>
      <c r="Q227" s="566"/>
      <c r="R227" s="566"/>
      <c r="S227" s="566"/>
      <c r="U227" s="595"/>
      <c r="W227" s="585">
        <v>7</v>
      </c>
      <c r="X227" s="586" t="s">
        <v>6912</v>
      </c>
    </row>
    <row r="228" spans="2:24" s="565" customFormat="1" ht="14.25" customHeight="1">
      <c r="B228" s="562"/>
      <c r="C228" s="563"/>
      <c r="D228" s="563"/>
      <c r="E228" s="563"/>
      <c r="F228" s="563"/>
      <c r="G228" s="563"/>
      <c r="H228" s="563"/>
      <c r="I228" s="564"/>
      <c r="J228" s="564"/>
      <c r="K228" s="563"/>
      <c r="L228" s="563"/>
      <c r="M228" s="564"/>
      <c r="N228" s="564"/>
      <c r="O228" s="595"/>
      <c r="P228" s="595"/>
      <c r="Q228" s="566"/>
      <c r="R228" s="566"/>
      <c r="S228" s="566"/>
      <c r="U228" s="595"/>
    </row>
    <row r="229" spans="2:24" s="565" customFormat="1">
      <c r="B229" s="562"/>
      <c r="C229" s="563"/>
      <c r="D229" s="563"/>
      <c r="E229" s="563"/>
      <c r="F229" s="563"/>
      <c r="G229" s="563"/>
      <c r="H229" s="563"/>
      <c r="I229" s="564"/>
      <c r="J229" s="564"/>
      <c r="K229" s="563"/>
      <c r="L229" s="563"/>
      <c r="M229" s="564"/>
      <c r="N229" s="564"/>
      <c r="O229" s="595"/>
      <c r="P229" s="595"/>
      <c r="Q229" s="566"/>
      <c r="R229" s="566"/>
      <c r="S229" s="566"/>
    </row>
    <row r="230" spans="2:24" s="565" customFormat="1" ht="38.25" customHeight="1">
      <c r="B230" s="1181" t="str">
        <f>CHOOSE(jezyk,n!A1668,n!B1668,n!C1668,n!D1664)</f>
        <v xml:space="preserve">Znane naszej spółce fakty, z których najistotniejsze zostały przedstawione w niniejszym sprawozdaniu, wskazują, że sytuacja spółki nie budzi obaw, co do funkcjonowania w dającej się przewidzieć przyszłości. </v>
      </c>
      <c r="C230" s="1181"/>
      <c r="D230" s="1181"/>
      <c r="E230" s="1181"/>
      <c r="F230" s="1181"/>
      <c r="G230" s="1181"/>
      <c r="H230" s="1181"/>
      <c r="I230" s="1181"/>
      <c r="J230" s="1181"/>
      <c r="K230" s="1181"/>
      <c r="L230" s="1181"/>
      <c r="M230" s="1181"/>
      <c r="N230" s="1181"/>
      <c r="O230" s="1181"/>
      <c r="P230" s="1181"/>
      <c r="Q230" s="1181"/>
      <c r="R230" s="1181"/>
      <c r="S230" s="1181"/>
      <c r="T230" s="1181"/>
      <c r="U230" s="1181"/>
      <c r="V230" s="1181"/>
    </row>
    <row r="231" spans="2:24" s="565" customFormat="1">
      <c r="B231" s="562"/>
      <c r="C231" s="563"/>
      <c r="D231" s="563"/>
      <c r="E231" s="563"/>
      <c r="F231" s="563"/>
      <c r="G231" s="563"/>
      <c r="H231" s="563"/>
      <c r="I231" s="564"/>
      <c r="J231" s="564"/>
      <c r="K231" s="563"/>
      <c r="L231" s="563"/>
      <c r="M231" s="564"/>
      <c r="N231" s="564"/>
      <c r="O231" s="595"/>
      <c r="P231" s="595"/>
      <c r="Q231" s="566"/>
      <c r="R231" s="566"/>
      <c r="S231" s="566"/>
    </row>
    <row r="232" spans="2:24" s="565" customFormat="1" ht="38.25" customHeight="1">
      <c r="B232" s="1181" t="str">
        <f>CHOOSE(jezyk,n!A1669,n!B1669,n!C1669,n!D1665)</f>
        <v>Pomimo trwającej na rynku dekoniunktury nie występują zjawiska, które mogłyby świadczyć o zagrożeniu kontynuacji działalności spółki ani o ograniczeniu jej skali, a zachodzące zmiany wskazują na kontynuowanie rozwoju.</v>
      </c>
      <c r="C232" s="1181"/>
      <c r="D232" s="1181"/>
      <c r="E232" s="1181"/>
      <c r="F232" s="1181"/>
      <c r="G232" s="1181"/>
      <c r="H232" s="1181"/>
      <c r="I232" s="1181"/>
      <c r="J232" s="1181"/>
      <c r="K232" s="1181"/>
      <c r="L232" s="1181"/>
      <c r="M232" s="1181"/>
      <c r="N232" s="1181"/>
      <c r="O232" s="1181"/>
      <c r="P232" s="1181"/>
      <c r="Q232" s="1181"/>
      <c r="R232" s="1181"/>
      <c r="S232" s="1181"/>
      <c r="T232" s="1181"/>
      <c r="U232" s="1181"/>
      <c r="V232" s="1181"/>
    </row>
    <row r="233" spans="2:24" s="565" customFormat="1" ht="14.25" customHeight="1">
      <c r="B233" s="600"/>
      <c r="C233" s="600"/>
      <c r="D233" s="600"/>
      <c r="E233" s="600"/>
      <c r="F233" s="600"/>
      <c r="G233" s="600"/>
      <c r="H233" s="600"/>
      <c r="I233" s="600"/>
      <c r="J233" s="600"/>
      <c r="K233" s="600"/>
      <c r="L233" s="600"/>
      <c r="M233" s="600"/>
      <c r="N233" s="600"/>
      <c r="O233" s="600"/>
      <c r="P233" s="600"/>
      <c r="Q233" s="600"/>
      <c r="R233" s="600"/>
      <c r="S233" s="600"/>
      <c r="T233" s="600"/>
      <c r="U233" s="600"/>
      <c r="V233" s="600"/>
    </row>
    <row r="234" spans="2:24" s="565" customFormat="1" ht="14.25" customHeight="1">
      <c r="B234" s="600"/>
      <c r="C234" s="600"/>
      <c r="D234" s="600"/>
      <c r="E234" s="600"/>
      <c r="F234" s="600"/>
      <c r="G234" s="600"/>
      <c r="H234" s="600"/>
      <c r="I234" s="600"/>
      <c r="J234" s="600"/>
      <c r="K234" s="600"/>
      <c r="L234" s="600"/>
      <c r="M234" s="600"/>
      <c r="N234" s="600"/>
      <c r="O234" s="600"/>
      <c r="P234" s="600"/>
      <c r="Q234" s="600"/>
      <c r="R234" s="600"/>
      <c r="S234" s="600"/>
      <c r="T234" s="600"/>
      <c r="U234" s="600"/>
      <c r="V234" s="600"/>
    </row>
    <row r="235" spans="2:24" s="565" customFormat="1" ht="14.25" customHeight="1">
      <c r="B235" s="600"/>
      <c r="C235" s="600"/>
      <c r="D235" s="600"/>
      <c r="E235" s="600"/>
      <c r="F235" s="600"/>
      <c r="G235" s="600"/>
      <c r="H235" s="600"/>
      <c r="I235" s="600"/>
      <c r="J235" s="600"/>
      <c r="K235" s="600"/>
      <c r="L235" s="600"/>
      <c r="M235" s="600"/>
      <c r="N235" s="600"/>
      <c r="O235" s="600"/>
      <c r="P235" s="600"/>
      <c r="Q235" s="600"/>
      <c r="R235" s="600"/>
      <c r="S235" s="600"/>
      <c r="T235" s="600"/>
      <c r="U235" s="600"/>
      <c r="V235" s="600"/>
    </row>
    <row r="236" spans="2:24" s="565" customFormat="1">
      <c r="B236" s="1180" t="str">
        <f>GA!D19 &amp;", " &amp;GA!D53</f>
        <v>Warszawa, 30.01.2025</v>
      </c>
      <c r="C236" s="1180"/>
      <c r="D236" s="1180"/>
      <c r="E236" s="1180"/>
      <c r="F236" s="1180"/>
      <c r="G236" s="1180"/>
      <c r="H236" s="1180"/>
      <c r="I236" s="1180"/>
      <c r="J236" s="564"/>
      <c r="K236" s="563"/>
      <c r="L236" s="563"/>
      <c r="M236" s="564"/>
      <c r="N236" s="564"/>
      <c r="O236" s="595"/>
      <c r="P236" s="595"/>
      <c r="Q236" s="595"/>
      <c r="R236" s="595"/>
      <c r="S236" s="595"/>
      <c r="T236" s="595"/>
      <c r="U236" s="595"/>
      <c r="V236" s="595"/>
    </row>
    <row r="237" spans="2:24" s="565" customFormat="1">
      <c r="B237" s="562"/>
      <c r="C237" s="563"/>
      <c r="D237" s="563"/>
      <c r="E237" s="563"/>
      <c r="F237" s="563"/>
      <c r="G237" s="563"/>
      <c r="H237" s="563"/>
      <c r="I237" s="564"/>
      <c r="J237" s="564"/>
      <c r="K237" s="563"/>
      <c r="L237" s="563"/>
      <c r="M237" s="564"/>
      <c r="N237" s="564"/>
      <c r="O237" s="595"/>
      <c r="P237" s="595"/>
      <c r="Q237" s="595"/>
      <c r="R237" s="595"/>
      <c r="S237" s="595"/>
      <c r="T237" s="595"/>
      <c r="U237" s="595"/>
      <c r="V237" s="595"/>
    </row>
    <row r="238" spans="2:24" s="565" customFormat="1">
      <c r="B238" s="563" t="str">
        <f>nazwa_spolki</f>
        <v>Rhenus Digital Workforce Sp. z o.o.</v>
      </c>
      <c r="C238" s="563"/>
      <c r="D238" s="563"/>
      <c r="E238" s="563"/>
      <c r="F238" s="563"/>
      <c r="G238" s="563"/>
      <c r="H238" s="563"/>
      <c r="I238" s="564"/>
      <c r="J238" s="564"/>
      <c r="K238" s="563"/>
      <c r="L238" s="592"/>
      <c r="M238" s="592"/>
      <c r="N238" s="592"/>
      <c r="O238" s="595"/>
      <c r="P238" s="563"/>
      <c r="Q238" s="592"/>
      <c r="R238" s="595"/>
      <c r="S238" s="595"/>
      <c r="T238" s="595"/>
      <c r="U238" s="595"/>
      <c r="V238" s="595"/>
    </row>
    <row r="239" spans="2:24" s="565" customFormat="1">
      <c r="B239" s="562"/>
      <c r="C239" s="563"/>
      <c r="D239" s="563"/>
      <c r="E239" s="563"/>
      <c r="F239" s="563"/>
      <c r="G239" s="563"/>
      <c r="H239" s="563"/>
      <c r="I239" s="564"/>
      <c r="J239" s="564"/>
      <c r="K239" s="563"/>
      <c r="L239" s="563"/>
      <c r="M239" s="564"/>
      <c r="N239" s="564"/>
      <c r="O239" s="595"/>
      <c r="P239" s="595"/>
      <c r="Q239" s="595"/>
      <c r="R239" s="595"/>
      <c r="S239" s="595"/>
      <c r="T239" s="595"/>
      <c r="U239" s="595"/>
      <c r="V239" s="595"/>
    </row>
    <row r="240" spans="2:24" s="565" customFormat="1">
      <c r="B240" s="562"/>
      <c r="C240" s="563"/>
      <c r="D240" s="563"/>
      <c r="E240" s="563"/>
      <c r="F240" s="563"/>
      <c r="G240" s="563"/>
      <c r="H240" s="563"/>
      <c r="I240" s="564"/>
      <c r="J240" s="564"/>
      <c r="K240" s="563"/>
      <c r="L240" s="563"/>
      <c r="M240" s="564"/>
      <c r="N240" s="564"/>
      <c r="O240" s="595"/>
      <c r="P240" s="595"/>
      <c r="Q240" s="595"/>
      <c r="R240" s="595"/>
      <c r="S240" s="595"/>
      <c r="T240" s="595"/>
      <c r="U240" s="595"/>
      <c r="V240" s="595"/>
    </row>
    <row r="241" spans="2:22" s="565" customFormat="1">
      <c r="B241" s="562"/>
      <c r="C241" s="563"/>
      <c r="D241" s="563"/>
      <c r="E241" s="563"/>
      <c r="F241" s="563"/>
      <c r="G241" s="563"/>
      <c r="H241" s="563"/>
      <c r="I241" s="564"/>
      <c r="J241" s="564"/>
      <c r="K241" s="563"/>
      <c r="L241" s="563"/>
      <c r="M241" s="564"/>
      <c r="N241" s="564"/>
      <c r="O241" s="595"/>
      <c r="P241" s="595"/>
      <c r="Q241" s="595"/>
      <c r="R241" s="595"/>
      <c r="S241" s="595"/>
      <c r="T241" s="595"/>
      <c r="U241" s="595"/>
      <c r="V241" s="595"/>
    </row>
    <row r="242" spans="2:22" s="565" customFormat="1">
      <c r="B242" s="1178" t="s">
        <v>6918</v>
      </c>
      <c r="C242" s="1178"/>
      <c r="D242" s="1178"/>
      <c r="E242" s="1178"/>
      <c r="F242" s="1178"/>
      <c r="G242" s="563"/>
      <c r="H242" s="563"/>
      <c r="I242" s="564"/>
      <c r="J242" s="564"/>
      <c r="K242" s="563"/>
      <c r="L242" s="563"/>
      <c r="M242" s="564"/>
      <c r="N242" s="564"/>
      <c r="O242" s="1179"/>
      <c r="P242" s="1179"/>
      <c r="Q242" s="1179"/>
      <c r="R242" s="1179"/>
      <c r="S242" s="1179"/>
      <c r="T242" s="595"/>
      <c r="U242" s="595"/>
      <c r="V242" s="595"/>
    </row>
    <row r="243" spans="2:22" s="565" customFormat="1">
      <c r="B243" s="601" t="str">
        <f>CHOOSE(jezyk,n!A1670,n!B1670,n!C1670,n!D1666)</f>
        <v>Imię i nazwisko</v>
      </c>
      <c r="C243" s="602"/>
      <c r="D243" s="602"/>
      <c r="E243" s="602"/>
      <c r="F243" s="602"/>
      <c r="G243" s="563"/>
      <c r="H243" s="563"/>
      <c r="I243" s="564"/>
      <c r="J243" s="564"/>
      <c r="K243" s="563"/>
      <c r="L243" s="563"/>
      <c r="M243" s="564"/>
      <c r="N243" s="564"/>
      <c r="O243" s="564"/>
      <c r="P243" s="564"/>
      <c r="Q243" s="595"/>
      <c r="R243" s="595"/>
      <c r="S243" s="595"/>
      <c r="T243" s="595"/>
      <c r="U243" s="595"/>
      <c r="V243" s="595"/>
    </row>
    <row r="244" spans="2:22" s="565" customFormat="1">
      <c r="B244" s="601" t="str">
        <f>CHOOSE(jezyk,n!A1671,n!B1671,n!C1671,n!D1667)</f>
        <v>członek zarządu</v>
      </c>
      <c r="C244" s="602"/>
      <c r="D244" s="602"/>
      <c r="E244" s="602"/>
      <c r="F244" s="602"/>
      <c r="G244" s="563"/>
      <c r="H244" s="563"/>
      <c r="I244" s="564"/>
      <c r="J244" s="564"/>
      <c r="K244" s="563"/>
      <c r="L244" s="563"/>
      <c r="M244" s="564"/>
      <c r="N244" s="564"/>
      <c r="O244" s="564"/>
      <c r="P244" s="564"/>
      <c r="Q244" s="595"/>
      <c r="R244" s="595"/>
      <c r="S244" s="595"/>
      <c r="T244" s="595"/>
      <c r="U244" s="595"/>
      <c r="V244" s="595"/>
    </row>
  </sheetData>
  <mergeCells count="70">
    <mergeCell ref="D125:S125"/>
    <mergeCell ref="D131:S131"/>
    <mergeCell ref="D121:S121"/>
    <mergeCell ref="D58:N58"/>
    <mergeCell ref="C84:V84"/>
    <mergeCell ref="D60:N60"/>
    <mergeCell ref="C80:V80"/>
    <mergeCell ref="D119:S119"/>
    <mergeCell ref="D117:S117"/>
    <mergeCell ref="E108:M108"/>
    <mergeCell ref="C88:V88"/>
    <mergeCell ref="C90:V90"/>
    <mergeCell ref="E104:M104"/>
    <mergeCell ref="D115:S115"/>
    <mergeCell ref="E106:M106"/>
    <mergeCell ref="D70:N70"/>
    <mergeCell ref="E98:M98"/>
    <mergeCell ref="E96:M96"/>
    <mergeCell ref="B1:V1"/>
    <mergeCell ref="B47:E47"/>
    <mergeCell ref="D54:M54"/>
    <mergeCell ref="D56:H56"/>
    <mergeCell ref="H21:S21"/>
    <mergeCell ref="H22:S22"/>
    <mergeCell ref="H23:S23"/>
    <mergeCell ref="D64:R64"/>
    <mergeCell ref="D66:R66"/>
    <mergeCell ref="D68:R68"/>
    <mergeCell ref="D62:R62"/>
    <mergeCell ref="D123:S123"/>
    <mergeCell ref="D127:S127"/>
    <mergeCell ref="B195:V195"/>
    <mergeCell ref="B191:V191"/>
    <mergeCell ref="B242:F242"/>
    <mergeCell ref="O242:S242"/>
    <mergeCell ref="B236:I236"/>
    <mergeCell ref="B230:V230"/>
    <mergeCell ref="B232:V232"/>
    <mergeCell ref="B225:V225"/>
    <mergeCell ref="B216:V216"/>
    <mergeCell ref="B223:V223"/>
    <mergeCell ref="Q183:S183"/>
    <mergeCell ref="T183:V183"/>
    <mergeCell ref="B157:V157"/>
    <mergeCell ref="B164:V164"/>
    <mergeCell ref="B128:V128"/>
    <mergeCell ref="B155:V155"/>
    <mergeCell ref="L183:M183"/>
    <mergeCell ref="D141:S141"/>
    <mergeCell ref="N183:P183"/>
    <mergeCell ref="B183:E183"/>
    <mergeCell ref="F183:K183"/>
    <mergeCell ref="C178:V178"/>
    <mergeCell ref="B153:V153"/>
    <mergeCell ref="D134:S134"/>
    <mergeCell ref="D137:S137"/>
    <mergeCell ref="D140:S140"/>
    <mergeCell ref="B201:V201"/>
    <mergeCell ref="B202:V202"/>
    <mergeCell ref="B222:V222"/>
    <mergeCell ref="D132:S132"/>
    <mergeCell ref="D135:S135"/>
    <mergeCell ref="D138:S138"/>
    <mergeCell ref="B212:V212"/>
    <mergeCell ref="B214:V214"/>
    <mergeCell ref="B184:V184"/>
    <mergeCell ref="B204:V204"/>
    <mergeCell ref="B193:V193"/>
    <mergeCell ref="C205:V205"/>
    <mergeCell ref="C198:V199"/>
  </mergeCells>
  <phoneticPr fontId="29" type="noConversion"/>
  <dataValidations xWindow="755" yWindow="595" count="1">
    <dataValidation type="list" allowBlank="1" showInputMessage="1" showErrorMessage="1" sqref="W186" xr:uid="{00000000-0002-0000-3100-000000000000}">
      <formula1>"tak,nie"</formula1>
    </dataValidation>
  </dataValidations>
  <hyperlinks>
    <hyperlink ref="B1:V1" location="'spis treści'!A1" display="SPIS TREŚCI" xr:uid="{00000000-0004-0000-3100-000000000000}"/>
    <hyperlink ref="D54:M54" location="SPRAWOZDANIE!A67" display="SPRAWOZDANIE!A67" xr:uid="{00000000-0004-0000-3100-000001000000}"/>
    <hyperlink ref="D56:H56" location="SPRAWOZDANIE!A144" display="SPRAWOZDANIE!A144" xr:uid="{00000000-0004-0000-3100-000002000000}"/>
    <hyperlink ref="D58:N58" location="SPRAWOZDANIE!A155" display="SPRAWOZDANIE!A155" xr:uid="{00000000-0004-0000-3100-000003000000}"/>
    <hyperlink ref="D60:N60" location="SPRAWOZDANIE!A174" display="SPRAWOZDANIE!A174" xr:uid="{00000000-0004-0000-3100-000004000000}"/>
    <hyperlink ref="D70:N70" location="SPRAWOZDANIE!A495" display="SPRAWOZDANIE!A495" xr:uid="{00000000-0004-0000-3100-000005000000}"/>
    <hyperlink ref="D62" location="SPRAWOZDANIE!A481" display="SPRAWOZDANIE!A481" xr:uid="{00000000-0004-0000-3100-000006000000}"/>
    <hyperlink ref="D70" location="SPRAWOZDANIE!A520" display="SPRAWOZDANIE!A520" xr:uid="{00000000-0004-0000-3100-000007000000}"/>
    <hyperlink ref="D64" location="SPRAWOZDANIE!A491" display="CZYNNIKI RYZYKA ZWIĄZANE Z PROWADZONĄ DZIAŁALNOŚCIĄ" xr:uid="{00000000-0004-0000-3100-000008000000}"/>
    <hyperlink ref="D66" location="SPRAWOZDANIE!A501" display="WAŻNIEJSZE OSIĄGNIĘCIA W DZIEDZINIE BADAŃ I ROZWOJU" xr:uid="{00000000-0004-0000-3100-000009000000}"/>
    <hyperlink ref="D68" location="SPRAWOZDANIE!A511" display="INFORMACJE O NABYCIU UDZIAŁÓW (AKCJI) WŁASNYCH" xr:uid="{00000000-0004-0000-3100-00000A000000}"/>
  </hyperlinks>
  <pageMargins left="0.59055118110236227" right="0.39370078740157483" top="0.98425196850393704" bottom="0.98425196850393704" header="0.51181102362204722" footer="0.51181102362204722"/>
  <pageSetup paperSize="9" orientation="portrait" r:id="rId1"/>
  <headerFooter alignWithMargins="0"/>
  <rowBreaks count="6" manualBreakCount="6">
    <brk id="46" max="16383" man="1"/>
    <brk id="72" max="16383" man="1"/>
    <brk id="110" max="16383" man="1"/>
    <brk id="149" max="16383" man="1"/>
    <brk id="197" max="16383" man="1"/>
    <brk id="226"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32"/>
  <dimension ref="B1:AM252"/>
  <sheetViews>
    <sheetView showGridLines="0" view="pageBreakPreview" topLeftCell="A225" zoomScaleNormal="100" zoomScaleSheetLayoutView="100" workbookViewId="0"/>
  </sheetViews>
  <sheetFormatPr defaultColWidth="9.140625" defaultRowHeight="12.75"/>
  <cols>
    <col min="1" max="1" width="9.140625" style="66"/>
    <col min="2" max="2" width="3.42578125" style="66" customWidth="1"/>
    <col min="3" max="3" width="4.85546875" style="66" customWidth="1"/>
    <col min="4" max="4" width="2" style="66" customWidth="1"/>
    <col min="5" max="6" width="3.7109375" style="66" customWidth="1"/>
    <col min="7" max="7" width="2.85546875" style="66" customWidth="1"/>
    <col min="8" max="10" width="3.7109375" style="66" customWidth="1"/>
    <col min="11" max="11" width="2.85546875" style="66" customWidth="1"/>
    <col min="12" max="12" width="5.7109375" style="66" customWidth="1"/>
    <col min="13" max="15" width="3.7109375" style="66" customWidth="1"/>
    <col min="16" max="17" width="3.5703125" style="66" customWidth="1"/>
    <col min="18" max="19" width="3.7109375" style="66" customWidth="1"/>
    <col min="20" max="21" width="3.5703125" style="66" customWidth="1"/>
    <col min="22" max="22" width="3.85546875" style="66" customWidth="1"/>
    <col min="23" max="23" width="17.85546875" style="66" customWidth="1"/>
    <col min="24" max="24" width="11.7109375" style="66" customWidth="1"/>
    <col min="25" max="16384" width="9.140625" style="66"/>
  </cols>
  <sheetData>
    <row r="1" spans="2:28">
      <c r="B1" s="749" t="s">
        <v>3202</v>
      </c>
      <c r="C1" s="749"/>
      <c r="D1" s="749"/>
      <c r="E1" s="749"/>
      <c r="F1" s="749"/>
      <c r="G1" s="749"/>
      <c r="H1" s="749"/>
      <c r="I1" s="749"/>
      <c r="J1" s="749"/>
      <c r="K1" s="749"/>
      <c r="L1" s="749"/>
      <c r="M1" s="749"/>
      <c r="N1" s="749"/>
      <c r="O1" s="749"/>
      <c r="P1" s="749"/>
      <c r="Q1" s="749"/>
      <c r="R1" s="749"/>
      <c r="S1" s="749"/>
      <c r="T1" s="749"/>
      <c r="U1" s="749"/>
      <c r="V1" s="749"/>
    </row>
    <row r="2" spans="2:28" s="561" customFormat="1" ht="75.75" customHeight="1">
      <c r="B2" s="559"/>
      <c r="C2" s="560"/>
      <c r="F2" s="560"/>
      <c r="I2" s="560"/>
    </row>
    <row r="3" spans="2:28" s="565" customFormat="1">
      <c r="B3" s="562"/>
      <c r="C3" s="563"/>
      <c r="D3" s="563"/>
      <c r="E3" s="563"/>
      <c r="F3" s="563"/>
      <c r="G3" s="563"/>
      <c r="H3" s="563"/>
      <c r="I3" s="563"/>
      <c r="J3" s="563"/>
      <c r="K3" s="563"/>
      <c r="L3" s="563"/>
      <c r="M3" s="563"/>
      <c r="N3" s="563"/>
      <c r="O3" s="563"/>
      <c r="P3" s="563"/>
      <c r="Q3" s="563"/>
      <c r="R3" s="563"/>
      <c r="S3" s="563"/>
      <c r="T3" s="563"/>
      <c r="U3" s="563"/>
      <c r="V3" s="564"/>
      <c r="Y3" s="566"/>
      <c r="Z3" s="566"/>
      <c r="AA3" s="566"/>
      <c r="AB3" s="566"/>
    </row>
    <row r="4" spans="2:28" s="565" customFormat="1">
      <c r="B4" s="562"/>
      <c r="C4" s="563"/>
      <c r="D4" s="563"/>
      <c r="E4" s="563"/>
      <c r="F4" s="563"/>
      <c r="G4" s="563"/>
      <c r="H4" s="563"/>
      <c r="I4" s="563"/>
      <c r="J4" s="563"/>
      <c r="K4" s="563"/>
      <c r="L4" s="563"/>
      <c r="M4" s="563"/>
      <c r="N4" s="563"/>
      <c r="O4" s="563"/>
      <c r="P4" s="563"/>
      <c r="Q4" s="563"/>
      <c r="R4" s="563"/>
      <c r="S4" s="563"/>
      <c r="T4" s="563"/>
      <c r="U4" s="563"/>
      <c r="V4" s="564"/>
      <c r="W4" s="567"/>
      <c r="Y4" s="566"/>
      <c r="Z4" s="566"/>
      <c r="AA4" s="566"/>
      <c r="AB4" s="566"/>
    </row>
    <row r="5" spans="2:28" s="565" customFormat="1">
      <c r="B5" s="562"/>
      <c r="C5" s="563"/>
      <c r="D5" s="563"/>
      <c r="E5" s="563"/>
      <c r="F5" s="563"/>
      <c r="G5" s="563"/>
      <c r="H5" s="563"/>
      <c r="I5" s="563"/>
      <c r="J5" s="563"/>
      <c r="K5" s="563"/>
      <c r="L5" s="563"/>
      <c r="M5" s="563"/>
      <c r="N5" s="563"/>
      <c r="O5" s="563"/>
      <c r="P5" s="563"/>
      <c r="Q5" s="563"/>
      <c r="R5" s="563"/>
      <c r="S5" s="563"/>
      <c r="T5" s="563"/>
      <c r="U5" s="563"/>
      <c r="V5" s="564"/>
      <c r="Y5" s="566"/>
      <c r="Z5" s="566"/>
      <c r="AA5" s="566"/>
      <c r="AB5" s="566"/>
    </row>
    <row r="6" spans="2:28" s="565" customFormat="1">
      <c r="B6" s="562"/>
      <c r="C6" s="563"/>
      <c r="D6" s="563"/>
      <c r="E6" s="563"/>
      <c r="F6" s="563"/>
      <c r="G6" s="563"/>
      <c r="H6" s="563"/>
      <c r="I6" s="563"/>
      <c r="J6" s="563"/>
      <c r="K6" s="563"/>
      <c r="L6" s="563"/>
      <c r="M6" s="563"/>
      <c r="N6" s="563"/>
      <c r="O6" s="563"/>
      <c r="P6" s="563"/>
      <c r="Q6" s="563"/>
      <c r="R6" s="563"/>
      <c r="S6" s="563"/>
      <c r="T6" s="563"/>
      <c r="U6" s="563"/>
      <c r="V6" s="564"/>
      <c r="Y6" s="566"/>
      <c r="Z6" s="566"/>
      <c r="AA6" s="566"/>
      <c r="AB6" s="566"/>
    </row>
    <row r="7" spans="2:28" s="565" customFormat="1">
      <c r="B7" s="562"/>
      <c r="C7" s="563"/>
      <c r="D7" s="563"/>
      <c r="E7" s="563"/>
      <c r="F7" s="563"/>
      <c r="G7" s="563"/>
      <c r="H7" s="563"/>
      <c r="I7" s="563"/>
      <c r="J7" s="563"/>
      <c r="K7" s="563"/>
      <c r="L7" s="563"/>
      <c r="M7" s="563"/>
      <c r="N7" s="563"/>
      <c r="O7" s="563"/>
      <c r="P7" s="563"/>
      <c r="Q7" s="563"/>
      <c r="R7" s="563"/>
      <c r="S7" s="563"/>
      <c r="T7" s="563"/>
      <c r="U7" s="563"/>
      <c r="V7" s="564"/>
      <c r="Y7" s="566"/>
      <c r="Z7" s="566"/>
      <c r="AA7" s="566"/>
      <c r="AB7" s="566"/>
    </row>
    <row r="8" spans="2:28" s="565" customFormat="1">
      <c r="B8" s="562"/>
      <c r="C8" s="563"/>
      <c r="D8" s="563"/>
      <c r="E8" s="563"/>
      <c r="F8" s="563"/>
      <c r="G8" s="563"/>
      <c r="H8" s="563"/>
      <c r="I8" s="563"/>
      <c r="J8" s="563"/>
      <c r="K8" s="563"/>
      <c r="L8" s="563"/>
      <c r="M8" s="563"/>
      <c r="N8" s="563"/>
      <c r="O8" s="563"/>
      <c r="P8" s="563"/>
      <c r="Q8" s="563"/>
      <c r="R8" s="563"/>
      <c r="S8" s="563"/>
      <c r="T8" s="563"/>
      <c r="U8" s="563"/>
      <c r="V8" s="564"/>
      <c r="Y8" s="566"/>
      <c r="Z8" s="566"/>
      <c r="AA8" s="566"/>
      <c r="AB8" s="566"/>
    </row>
    <row r="9" spans="2:28" s="565" customFormat="1">
      <c r="B9" s="562"/>
      <c r="C9" s="563"/>
      <c r="D9" s="563"/>
      <c r="E9" s="563"/>
      <c r="F9" s="563"/>
      <c r="G9" s="563"/>
      <c r="H9" s="563"/>
      <c r="I9" s="563"/>
      <c r="J9" s="563"/>
      <c r="K9" s="563"/>
      <c r="L9" s="563"/>
      <c r="M9" s="563"/>
      <c r="N9" s="563"/>
      <c r="O9" s="563"/>
      <c r="P9" s="563"/>
      <c r="Q9" s="563"/>
      <c r="R9" s="563"/>
      <c r="S9" s="563"/>
      <c r="T9" s="563"/>
      <c r="U9" s="563"/>
      <c r="V9" s="564"/>
      <c r="Y9" s="566"/>
      <c r="Z9" s="566"/>
      <c r="AA9" s="566"/>
      <c r="AB9" s="566"/>
    </row>
    <row r="10" spans="2:28" s="565" customFormat="1">
      <c r="B10" s="562"/>
      <c r="C10" s="563"/>
      <c r="D10" s="563"/>
      <c r="E10" s="563"/>
      <c r="F10" s="563"/>
      <c r="G10" s="563"/>
      <c r="H10" s="563"/>
      <c r="I10" s="563"/>
      <c r="J10" s="563"/>
      <c r="K10" s="563"/>
      <c r="L10" s="563"/>
      <c r="M10" s="563"/>
      <c r="N10" s="563"/>
      <c r="O10" s="563"/>
      <c r="P10" s="563"/>
      <c r="Q10" s="563"/>
      <c r="R10" s="563"/>
      <c r="S10" s="563"/>
      <c r="T10" s="563"/>
      <c r="U10" s="563"/>
      <c r="V10" s="564"/>
      <c r="Y10" s="566"/>
      <c r="Z10" s="566"/>
      <c r="AA10" s="566"/>
      <c r="AB10" s="566"/>
    </row>
    <row r="11" spans="2:28" s="565" customFormat="1">
      <c r="B11" s="562"/>
      <c r="C11" s="563"/>
      <c r="D11" s="563"/>
      <c r="E11" s="563"/>
      <c r="F11" s="563"/>
      <c r="G11" s="563"/>
      <c r="H11" s="563"/>
      <c r="I11" s="563"/>
      <c r="J11" s="563"/>
      <c r="K11" s="563"/>
      <c r="L11" s="563"/>
      <c r="M11" s="563"/>
      <c r="N11" s="563"/>
      <c r="O11" s="563"/>
      <c r="P11" s="563"/>
      <c r="Q11" s="563"/>
      <c r="R11" s="563"/>
      <c r="S11" s="563"/>
      <c r="T11" s="563"/>
      <c r="U11" s="563"/>
      <c r="V11" s="564"/>
      <c r="Y11" s="566"/>
      <c r="Z11" s="566"/>
      <c r="AA11" s="566"/>
      <c r="AB11" s="566"/>
    </row>
    <row r="12" spans="2:28" s="565" customFormat="1">
      <c r="B12" s="562"/>
      <c r="C12" s="563"/>
      <c r="D12" s="563"/>
      <c r="E12" s="563"/>
      <c r="F12" s="563"/>
      <c r="G12" s="563"/>
      <c r="H12" s="563"/>
      <c r="I12" s="563"/>
      <c r="J12" s="563"/>
      <c r="K12" s="563"/>
      <c r="L12" s="563"/>
      <c r="M12" s="563"/>
      <c r="N12" s="563"/>
      <c r="O12" s="563"/>
      <c r="P12" s="563"/>
      <c r="Q12" s="563"/>
      <c r="R12" s="563"/>
      <c r="S12" s="563"/>
      <c r="T12" s="563"/>
      <c r="U12" s="563"/>
      <c r="V12" s="564"/>
      <c r="Y12" s="566"/>
      <c r="Z12" s="566"/>
      <c r="AA12" s="566"/>
      <c r="AB12" s="566"/>
    </row>
    <row r="13" spans="2:28" s="565" customFormat="1">
      <c r="B13" s="562"/>
      <c r="C13" s="563"/>
      <c r="D13" s="563"/>
      <c r="E13" s="563"/>
      <c r="F13" s="563"/>
      <c r="G13" s="563"/>
      <c r="H13" s="563"/>
      <c r="I13" s="563"/>
      <c r="J13" s="563"/>
      <c r="K13" s="563"/>
      <c r="L13" s="563"/>
      <c r="M13" s="563"/>
      <c r="N13" s="563"/>
      <c r="O13" s="563"/>
      <c r="P13" s="563"/>
      <c r="Q13" s="563"/>
      <c r="R13" s="563"/>
      <c r="S13" s="563"/>
      <c r="T13" s="563"/>
      <c r="U13" s="563"/>
      <c r="V13" s="564"/>
      <c r="Y13" s="566"/>
      <c r="Z13" s="566"/>
      <c r="AA13" s="566"/>
      <c r="AB13" s="566"/>
    </row>
    <row r="14" spans="2:28" s="565" customFormat="1">
      <c r="B14" s="562"/>
      <c r="C14" s="563"/>
      <c r="D14" s="563"/>
      <c r="E14" s="563"/>
      <c r="F14" s="563"/>
      <c r="G14" s="563"/>
      <c r="H14" s="563"/>
      <c r="I14" s="563"/>
      <c r="J14" s="563"/>
      <c r="K14" s="563"/>
      <c r="L14" s="563"/>
      <c r="M14" s="563"/>
      <c r="N14" s="563"/>
      <c r="O14" s="563"/>
      <c r="P14" s="563"/>
      <c r="Q14" s="563"/>
      <c r="R14" s="563"/>
      <c r="S14" s="563"/>
      <c r="T14" s="563"/>
      <c r="U14" s="563"/>
      <c r="V14" s="564"/>
      <c r="Y14" s="566"/>
      <c r="Z14" s="566"/>
      <c r="AA14" s="566"/>
      <c r="AB14" s="566"/>
    </row>
    <row r="15" spans="2:28" s="565" customFormat="1">
      <c r="B15" s="562"/>
      <c r="C15" s="563"/>
      <c r="D15" s="563"/>
      <c r="E15" s="563"/>
      <c r="F15" s="563"/>
      <c r="G15" s="563"/>
      <c r="H15" s="563"/>
      <c r="I15" s="563"/>
      <c r="J15" s="563"/>
      <c r="K15" s="563"/>
      <c r="L15" s="563"/>
      <c r="M15" s="563"/>
      <c r="N15" s="563"/>
      <c r="O15" s="563"/>
      <c r="P15" s="563"/>
      <c r="Q15" s="563"/>
      <c r="R15" s="563"/>
      <c r="S15" s="563"/>
      <c r="T15" s="563"/>
      <c r="U15" s="563"/>
      <c r="V15" s="564"/>
      <c r="Y15" s="566"/>
      <c r="Z15" s="566"/>
      <c r="AA15" s="566"/>
      <c r="AB15" s="566"/>
    </row>
    <row r="16" spans="2:28" s="565" customFormat="1">
      <c r="B16" s="562"/>
      <c r="C16" s="563"/>
      <c r="D16" s="563"/>
      <c r="E16" s="563"/>
      <c r="F16" s="563"/>
      <c r="G16" s="563"/>
      <c r="H16" s="563"/>
      <c r="I16" s="563"/>
      <c r="J16" s="563"/>
      <c r="K16" s="563"/>
      <c r="L16" s="563"/>
      <c r="M16" s="563"/>
      <c r="N16" s="563"/>
      <c r="O16" s="563"/>
      <c r="P16" s="563"/>
      <c r="Q16" s="563"/>
      <c r="R16" s="563"/>
      <c r="S16" s="563"/>
      <c r="T16" s="563"/>
      <c r="U16" s="563"/>
      <c r="V16" s="564"/>
      <c r="Y16" s="566"/>
      <c r="Z16" s="566"/>
      <c r="AA16" s="566"/>
      <c r="AB16" s="566"/>
    </row>
    <row r="17" spans="2:28" s="565" customFormat="1">
      <c r="B17" s="562"/>
      <c r="C17" s="563"/>
      <c r="D17" s="563"/>
      <c r="E17" s="563"/>
      <c r="F17" s="563"/>
      <c r="G17" s="563"/>
      <c r="H17" s="563"/>
      <c r="I17" s="563"/>
      <c r="J17" s="563"/>
      <c r="K17" s="563"/>
      <c r="L17" s="563"/>
      <c r="M17" s="563"/>
      <c r="N17" s="563"/>
      <c r="O17" s="563"/>
      <c r="P17" s="563"/>
      <c r="Q17" s="563"/>
      <c r="R17" s="563"/>
      <c r="S17" s="563"/>
      <c r="T17" s="563"/>
      <c r="U17" s="563"/>
      <c r="V17" s="564"/>
      <c r="Y17" s="566"/>
      <c r="Z17" s="566"/>
      <c r="AA17" s="566"/>
      <c r="AB17" s="566"/>
    </row>
    <row r="18" spans="2:28" s="565" customFormat="1">
      <c r="B18" s="562"/>
      <c r="C18" s="563"/>
      <c r="D18" s="563"/>
      <c r="E18" s="563"/>
      <c r="F18" s="563"/>
      <c r="G18" s="563"/>
      <c r="H18" s="563"/>
      <c r="I18" s="563"/>
      <c r="J18" s="563"/>
      <c r="K18" s="563"/>
      <c r="L18" s="563"/>
      <c r="M18" s="563"/>
      <c r="N18" s="563"/>
      <c r="O18" s="563"/>
      <c r="P18" s="563"/>
      <c r="Q18" s="563"/>
      <c r="R18" s="563"/>
      <c r="S18" s="563"/>
      <c r="T18" s="563"/>
      <c r="U18" s="563"/>
      <c r="V18" s="564"/>
      <c r="Y18" s="566"/>
      <c r="Z18" s="566"/>
      <c r="AA18" s="566"/>
      <c r="AB18" s="566"/>
    </row>
    <row r="19" spans="2:28" s="565" customFormat="1">
      <c r="B19" s="562"/>
      <c r="C19" s="563"/>
      <c r="D19" s="563"/>
      <c r="E19" s="563"/>
      <c r="F19" s="563"/>
      <c r="G19" s="563"/>
      <c r="H19" s="563"/>
      <c r="I19" s="563"/>
      <c r="J19" s="563"/>
      <c r="K19" s="563"/>
      <c r="L19" s="563"/>
      <c r="M19" s="563"/>
      <c r="N19" s="563"/>
      <c r="O19" s="563"/>
      <c r="P19" s="563"/>
      <c r="Q19" s="563"/>
      <c r="R19" s="563"/>
      <c r="S19" s="563"/>
      <c r="T19" s="563"/>
      <c r="U19" s="563"/>
      <c r="V19" s="564"/>
      <c r="Y19" s="566"/>
      <c r="Z19" s="566"/>
      <c r="AA19" s="566"/>
      <c r="AB19" s="566"/>
    </row>
    <row r="20" spans="2:28" s="565" customFormat="1">
      <c r="B20" s="562"/>
      <c r="C20" s="563"/>
      <c r="D20" s="563"/>
      <c r="E20" s="563"/>
      <c r="F20" s="563"/>
      <c r="G20" s="563"/>
      <c r="H20" s="563"/>
      <c r="I20" s="563"/>
      <c r="J20" s="563"/>
      <c r="K20" s="563"/>
      <c r="L20" s="563"/>
      <c r="M20" s="563"/>
      <c r="N20" s="563"/>
      <c r="O20" s="563"/>
      <c r="P20" s="563"/>
      <c r="Q20" s="563"/>
      <c r="R20" s="563"/>
      <c r="S20" s="563"/>
      <c r="T20" s="563"/>
      <c r="U20" s="563"/>
      <c r="V20" s="564"/>
      <c r="Y20" s="566"/>
      <c r="Z20" s="566"/>
      <c r="AA20" s="566"/>
      <c r="AB20" s="566"/>
    </row>
    <row r="21" spans="2:28" s="565" customFormat="1">
      <c r="B21" s="562"/>
      <c r="C21" s="563"/>
      <c r="D21" s="563"/>
      <c r="E21" s="563"/>
      <c r="F21" s="563"/>
      <c r="G21" s="563"/>
      <c r="H21" s="1185" t="str">
        <f>CHOOSE(jezyk,n!A1475,n!B1475,n!C1475,n!D1471)</f>
        <v>SPRAWOZDANIE ZARZĄDU Z DZIAŁALNOŚCI JEDNOSTKI</v>
      </c>
      <c r="I21" s="1185"/>
      <c r="J21" s="1185"/>
      <c r="K21" s="1185"/>
      <c r="L21" s="1185"/>
      <c r="M21" s="1185"/>
      <c r="N21" s="1185"/>
      <c r="O21" s="1185"/>
      <c r="P21" s="1185"/>
      <c r="Q21" s="1185"/>
      <c r="R21" s="1185"/>
      <c r="S21" s="1185"/>
      <c r="T21" s="563"/>
      <c r="U21" s="563"/>
      <c r="V21" s="564"/>
      <c r="Y21" s="566"/>
      <c r="Z21" s="566"/>
      <c r="AA21" s="566"/>
      <c r="AB21" s="566"/>
    </row>
    <row r="22" spans="2:28" s="565" customFormat="1">
      <c r="B22" s="562"/>
      <c r="C22" s="563"/>
      <c r="D22" s="563"/>
      <c r="E22" s="563"/>
      <c r="F22" s="563"/>
      <c r="G22" s="563"/>
      <c r="H22" s="1186" t="str">
        <f>GA!D16</f>
        <v>Rhenus Digital Workforce Sp. z o.o.</v>
      </c>
      <c r="I22" s="1185"/>
      <c r="J22" s="1185"/>
      <c r="K22" s="1185"/>
      <c r="L22" s="1185"/>
      <c r="M22" s="1185"/>
      <c r="N22" s="1185"/>
      <c r="O22" s="1185"/>
      <c r="P22" s="1185"/>
      <c r="Q22" s="1185"/>
      <c r="R22" s="1185"/>
      <c r="S22" s="1185"/>
      <c r="T22" s="563"/>
      <c r="U22" s="563"/>
      <c r="V22" s="564"/>
      <c r="W22" s="567"/>
      <c r="Y22" s="566"/>
      <c r="Z22" s="566"/>
      <c r="AA22" s="566"/>
      <c r="AB22" s="566"/>
    </row>
    <row r="23" spans="2:28" s="565" customFormat="1">
      <c r="B23" s="562"/>
      <c r="C23" s="563"/>
      <c r="D23" s="563"/>
      <c r="E23" s="563"/>
      <c r="F23" s="563"/>
      <c r="G23" s="563"/>
      <c r="H23" s="1185" t="str">
        <f>CHOOSE(jezyk,n!A1476,n!B1476,n!C1476,n!D1472)</f>
        <v>ZA OKRES OD 01.01.2024 DO 31.12.2024</v>
      </c>
      <c r="I23" s="1185"/>
      <c r="J23" s="1185"/>
      <c r="K23" s="1185"/>
      <c r="L23" s="1185"/>
      <c r="M23" s="1185"/>
      <c r="N23" s="1185"/>
      <c r="O23" s="1185"/>
      <c r="P23" s="1185"/>
      <c r="Q23" s="1185"/>
      <c r="R23" s="1185"/>
      <c r="S23" s="1185"/>
      <c r="T23" s="563"/>
      <c r="U23" s="563"/>
      <c r="V23" s="564"/>
      <c r="Y23" s="566"/>
      <c r="Z23" s="566"/>
      <c r="AA23" s="566"/>
      <c r="AB23" s="566"/>
    </row>
    <row r="24" spans="2:28" s="565" customFormat="1">
      <c r="B24" s="562"/>
      <c r="C24" s="563"/>
      <c r="D24" s="563"/>
      <c r="E24" s="563"/>
      <c r="F24" s="563"/>
      <c r="G24" s="563"/>
      <c r="H24" s="563"/>
      <c r="I24" s="563"/>
      <c r="J24" s="563"/>
      <c r="K24" s="563"/>
      <c r="L24" s="563"/>
      <c r="M24" s="563"/>
      <c r="N24" s="563"/>
      <c r="O24" s="563"/>
      <c r="P24" s="563"/>
      <c r="Q24" s="563"/>
      <c r="R24" s="563"/>
      <c r="S24" s="563"/>
      <c r="T24" s="563"/>
      <c r="U24" s="563"/>
      <c r="V24" s="564"/>
      <c r="Y24" s="566"/>
      <c r="Z24" s="566"/>
      <c r="AA24" s="566"/>
      <c r="AB24" s="566"/>
    </row>
    <row r="25" spans="2:28" s="565" customFormat="1">
      <c r="B25" s="562"/>
      <c r="C25" s="563"/>
      <c r="D25" s="563"/>
      <c r="E25" s="563"/>
      <c r="F25" s="563"/>
      <c r="G25" s="563"/>
      <c r="H25" s="563"/>
      <c r="I25" s="563"/>
      <c r="J25" s="563"/>
      <c r="K25" s="563"/>
      <c r="L25" s="563"/>
      <c r="M25" s="563"/>
      <c r="N25" s="563"/>
      <c r="O25" s="563"/>
      <c r="P25" s="563"/>
      <c r="Q25" s="563"/>
      <c r="R25" s="563"/>
      <c r="S25" s="563"/>
      <c r="T25" s="563"/>
      <c r="U25" s="563"/>
      <c r="V25" s="564"/>
      <c r="Y25" s="566"/>
      <c r="Z25" s="566"/>
      <c r="AA25" s="566"/>
      <c r="AB25" s="566"/>
    </row>
    <row r="26" spans="2:28" s="565" customFormat="1">
      <c r="B26" s="562"/>
      <c r="C26" s="563"/>
      <c r="D26" s="563"/>
      <c r="E26" s="563"/>
      <c r="F26" s="563"/>
      <c r="G26" s="563"/>
      <c r="H26" s="563"/>
      <c r="I26" s="563"/>
      <c r="J26" s="563"/>
      <c r="K26" s="563"/>
      <c r="L26" s="563"/>
      <c r="M26" s="563"/>
      <c r="N26" s="563"/>
      <c r="O26" s="563"/>
      <c r="P26" s="563"/>
      <c r="Q26" s="563"/>
      <c r="R26" s="563"/>
      <c r="S26" s="563"/>
      <c r="T26" s="563"/>
      <c r="U26" s="563"/>
      <c r="V26" s="564"/>
      <c r="Y26" s="566"/>
      <c r="Z26" s="566"/>
      <c r="AA26" s="566"/>
      <c r="AB26" s="566"/>
    </row>
    <row r="27" spans="2:28" s="565" customFormat="1">
      <c r="B27" s="562"/>
      <c r="C27" s="563"/>
      <c r="D27" s="563"/>
      <c r="E27" s="563"/>
      <c r="F27" s="563"/>
      <c r="G27" s="563"/>
      <c r="H27" s="563"/>
      <c r="I27" s="563"/>
      <c r="J27" s="563"/>
      <c r="K27" s="563"/>
      <c r="L27" s="563"/>
      <c r="M27" s="563"/>
      <c r="N27" s="563"/>
      <c r="O27" s="563"/>
      <c r="P27" s="563"/>
      <c r="Q27" s="563"/>
      <c r="R27" s="563"/>
      <c r="S27" s="563"/>
      <c r="T27" s="563"/>
      <c r="U27" s="563"/>
      <c r="V27" s="564"/>
      <c r="Y27" s="566"/>
      <c r="Z27" s="566"/>
      <c r="AA27" s="566"/>
      <c r="AB27" s="566"/>
    </row>
    <row r="28" spans="2:28" s="565" customFormat="1">
      <c r="B28" s="562"/>
      <c r="C28" s="563"/>
      <c r="D28" s="563"/>
      <c r="E28" s="563"/>
      <c r="F28" s="563"/>
      <c r="G28" s="563"/>
      <c r="H28" s="563"/>
      <c r="I28" s="563"/>
      <c r="J28" s="563"/>
      <c r="K28" s="563"/>
      <c r="L28" s="563"/>
      <c r="M28" s="563"/>
      <c r="N28" s="563"/>
      <c r="O28" s="563"/>
      <c r="P28" s="563"/>
      <c r="Q28" s="563"/>
      <c r="R28" s="563"/>
      <c r="S28" s="563"/>
      <c r="T28" s="563"/>
      <c r="U28" s="563"/>
      <c r="V28" s="564"/>
      <c r="Y28" s="566"/>
      <c r="Z28" s="566"/>
      <c r="AA28" s="566"/>
      <c r="AB28" s="566"/>
    </row>
    <row r="29" spans="2:28" s="565" customFormat="1" ht="27" customHeight="1">
      <c r="B29" s="562"/>
      <c r="C29" s="563"/>
      <c r="D29" s="563"/>
      <c r="E29" s="563"/>
      <c r="F29" s="563"/>
      <c r="G29" s="568"/>
      <c r="T29" s="563"/>
      <c r="U29" s="563"/>
      <c r="V29" s="564"/>
      <c r="Y29" s="566"/>
      <c r="Z29" s="566"/>
      <c r="AA29" s="566"/>
      <c r="AB29" s="566"/>
    </row>
    <row r="30" spans="2:28" s="565" customFormat="1" ht="12.75" customHeight="1">
      <c r="B30" s="562"/>
      <c r="C30" s="563"/>
      <c r="D30" s="563"/>
      <c r="E30" s="563"/>
      <c r="F30" s="568"/>
      <c r="G30" s="568"/>
      <c r="T30" s="563"/>
      <c r="U30" s="563"/>
      <c r="V30" s="564"/>
      <c r="Y30" s="566"/>
      <c r="Z30" s="566"/>
      <c r="AA30" s="566"/>
      <c r="AB30" s="566"/>
    </row>
    <row r="31" spans="2:28" s="565" customFormat="1">
      <c r="B31" s="562"/>
      <c r="C31" s="563"/>
      <c r="D31" s="563"/>
      <c r="E31" s="563"/>
      <c r="F31" s="568"/>
      <c r="G31" s="568"/>
      <c r="T31" s="563"/>
      <c r="U31" s="563"/>
      <c r="V31" s="564"/>
      <c r="Y31" s="566"/>
      <c r="Z31" s="566"/>
      <c r="AA31" s="566"/>
      <c r="AB31" s="566"/>
    </row>
    <row r="32" spans="2:28" s="565" customFormat="1">
      <c r="B32" s="562"/>
      <c r="C32" s="563"/>
      <c r="D32" s="563"/>
      <c r="E32" s="563"/>
      <c r="F32" s="568"/>
      <c r="G32" s="568"/>
      <c r="H32" s="568"/>
      <c r="I32" s="568"/>
      <c r="J32" s="568"/>
      <c r="K32" s="568"/>
      <c r="L32" s="568"/>
      <c r="M32" s="568"/>
      <c r="N32" s="568"/>
      <c r="O32" s="568"/>
      <c r="P32" s="568"/>
      <c r="Q32" s="568"/>
      <c r="R32" s="568"/>
      <c r="S32" s="568"/>
      <c r="T32" s="563"/>
      <c r="U32" s="563"/>
      <c r="V32" s="564"/>
      <c r="Y32" s="566"/>
      <c r="Z32" s="566"/>
      <c r="AA32" s="566"/>
      <c r="AB32" s="566"/>
    </row>
    <row r="33" spans="2:28" s="565" customFormat="1" ht="12.75" customHeight="1">
      <c r="B33" s="562"/>
      <c r="C33" s="563"/>
      <c r="D33" s="563"/>
      <c r="E33" s="563"/>
      <c r="F33" s="563"/>
      <c r="G33" s="563"/>
      <c r="H33" s="563"/>
      <c r="I33" s="563"/>
      <c r="J33" s="563"/>
      <c r="K33" s="563"/>
      <c r="L33" s="563"/>
      <c r="M33" s="563"/>
      <c r="N33" s="563"/>
      <c r="O33" s="563"/>
      <c r="P33" s="563"/>
      <c r="Q33" s="563"/>
      <c r="R33" s="563"/>
      <c r="S33" s="563"/>
      <c r="T33" s="563"/>
      <c r="U33" s="563"/>
      <c r="V33" s="564"/>
      <c r="Y33" s="566"/>
      <c r="Z33" s="566"/>
      <c r="AA33" s="566"/>
      <c r="AB33" s="566"/>
    </row>
    <row r="34" spans="2:28" s="565" customFormat="1">
      <c r="B34" s="562"/>
      <c r="C34" s="563"/>
      <c r="D34" s="563"/>
      <c r="E34" s="563"/>
      <c r="F34" s="563"/>
      <c r="G34" s="563"/>
      <c r="H34" s="563"/>
      <c r="I34" s="563"/>
      <c r="J34" s="563"/>
      <c r="K34" s="563"/>
      <c r="L34" s="563"/>
      <c r="M34" s="563"/>
      <c r="N34" s="563"/>
      <c r="O34" s="563"/>
      <c r="P34" s="563"/>
      <c r="Q34" s="563"/>
      <c r="R34" s="563"/>
      <c r="S34" s="563"/>
      <c r="T34" s="563"/>
      <c r="U34" s="563"/>
      <c r="V34" s="564"/>
      <c r="Y34" s="566"/>
      <c r="Z34" s="566"/>
      <c r="AA34" s="566"/>
      <c r="AB34" s="566"/>
    </row>
    <row r="35" spans="2:28" s="565" customFormat="1">
      <c r="B35" s="562"/>
      <c r="C35" s="563"/>
      <c r="D35" s="563"/>
      <c r="E35" s="563"/>
      <c r="F35" s="563"/>
      <c r="G35" s="563"/>
      <c r="H35" s="563"/>
      <c r="I35" s="563"/>
      <c r="J35" s="563"/>
      <c r="K35" s="563"/>
      <c r="L35" s="563"/>
      <c r="M35" s="563"/>
      <c r="N35" s="563"/>
      <c r="O35" s="563"/>
      <c r="P35" s="563"/>
      <c r="Q35" s="563"/>
      <c r="R35" s="563"/>
      <c r="S35" s="563"/>
      <c r="T35" s="563"/>
      <c r="U35" s="563"/>
      <c r="V35" s="564"/>
      <c r="Y35" s="566"/>
      <c r="Z35" s="566"/>
      <c r="AA35" s="566"/>
      <c r="AB35" s="566"/>
    </row>
    <row r="36" spans="2:28" s="565" customFormat="1">
      <c r="B36" s="562"/>
      <c r="C36" s="563"/>
      <c r="D36" s="563"/>
      <c r="E36" s="563"/>
      <c r="F36" s="563"/>
      <c r="G36" s="563"/>
      <c r="H36" s="563"/>
      <c r="I36" s="563"/>
      <c r="J36" s="563"/>
      <c r="K36" s="563"/>
      <c r="L36" s="563"/>
      <c r="M36" s="563"/>
      <c r="N36" s="563"/>
      <c r="O36" s="563"/>
      <c r="P36" s="563"/>
      <c r="Q36" s="563"/>
      <c r="R36" s="563"/>
      <c r="S36" s="563"/>
      <c r="T36" s="563"/>
      <c r="U36" s="563"/>
      <c r="V36" s="564"/>
      <c r="Y36" s="566"/>
      <c r="Z36" s="566"/>
      <c r="AA36" s="566"/>
      <c r="AB36" s="566"/>
    </row>
    <row r="37" spans="2:28" s="565" customFormat="1">
      <c r="B37" s="562"/>
      <c r="C37" s="563"/>
      <c r="D37" s="563"/>
      <c r="E37" s="563"/>
      <c r="F37" s="563"/>
      <c r="G37" s="563"/>
      <c r="H37" s="563"/>
      <c r="I37" s="563"/>
      <c r="J37" s="563"/>
      <c r="K37" s="563"/>
      <c r="L37" s="563"/>
      <c r="M37" s="563"/>
      <c r="N37" s="563"/>
      <c r="O37" s="563"/>
      <c r="P37" s="563"/>
      <c r="Q37" s="563"/>
      <c r="R37" s="563"/>
      <c r="S37" s="563"/>
      <c r="T37" s="563"/>
      <c r="U37" s="563"/>
      <c r="V37" s="564"/>
      <c r="Y37" s="566"/>
      <c r="Z37" s="566"/>
      <c r="AA37" s="566"/>
      <c r="AB37" s="566"/>
    </row>
    <row r="38" spans="2:28" s="565" customFormat="1">
      <c r="B38" s="562"/>
      <c r="C38" s="563"/>
      <c r="D38" s="563"/>
      <c r="E38" s="563"/>
      <c r="F38" s="563"/>
      <c r="G38" s="563"/>
      <c r="H38" s="563"/>
      <c r="I38" s="563"/>
      <c r="J38" s="563"/>
      <c r="K38" s="563"/>
      <c r="L38" s="563"/>
      <c r="M38" s="563"/>
      <c r="N38" s="563"/>
      <c r="O38" s="563"/>
      <c r="P38" s="563"/>
      <c r="Q38" s="563"/>
      <c r="R38" s="563"/>
      <c r="S38" s="563"/>
      <c r="T38" s="563"/>
      <c r="U38" s="563"/>
      <c r="V38" s="564"/>
      <c r="Y38" s="566"/>
      <c r="Z38" s="566"/>
      <c r="AA38" s="566"/>
      <c r="AB38" s="566"/>
    </row>
    <row r="39" spans="2:28" s="565" customFormat="1">
      <c r="B39" s="562"/>
      <c r="C39" s="563"/>
      <c r="D39" s="563"/>
      <c r="E39" s="563"/>
      <c r="F39" s="563"/>
      <c r="G39" s="563"/>
      <c r="H39" s="563"/>
      <c r="I39" s="563"/>
      <c r="J39" s="563"/>
      <c r="K39" s="563"/>
      <c r="L39" s="563"/>
      <c r="M39" s="563"/>
      <c r="N39" s="563"/>
      <c r="O39" s="563"/>
      <c r="P39" s="563"/>
      <c r="Q39" s="563"/>
      <c r="R39" s="563"/>
      <c r="S39" s="563"/>
      <c r="T39" s="563"/>
      <c r="U39" s="563"/>
      <c r="V39" s="564"/>
      <c r="Y39" s="566"/>
      <c r="Z39" s="566"/>
      <c r="AA39" s="566"/>
      <c r="AB39" s="566"/>
    </row>
    <row r="40" spans="2:28" s="565" customFormat="1">
      <c r="B40" s="562"/>
      <c r="C40" s="563"/>
      <c r="D40" s="563"/>
      <c r="E40" s="563"/>
      <c r="F40" s="563"/>
      <c r="G40" s="563"/>
      <c r="H40" s="563"/>
      <c r="I40" s="563"/>
      <c r="J40" s="563"/>
      <c r="K40" s="563"/>
      <c r="L40" s="563"/>
      <c r="M40" s="563"/>
      <c r="N40" s="563"/>
      <c r="O40" s="563"/>
      <c r="P40" s="563"/>
      <c r="Q40" s="563"/>
      <c r="R40" s="563"/>
      <c r="S40" s="563"/>
      <c r="T40" s="563"/>
      <c r="U40" s="563"/>
      <c r="V40" s="564"/>
      <c r="Y40" s="566"/>
      <c r="Z40" s="566"/>
      <c r="AA40" s="566"/>
      <c r="AB40" s="566"/>
    </row>
    <row r="41" spans="2:28" s="565" customFormat="1">
      <c r="B41" s="562"/>
      <c r="C41" s="563"/>
      <c r="D41" s="563"/>
      <c r="E41" s="563"/>
      <c r="F41" s="563"/>
      <c r="G41" s="563"/>
      <c r="H41" s="563"/>
      <c r="I41" s="563"/>
      <c r="J41" s="563"/>
      <c r="K41" s="563"/>
      <c r="L41" s="563"/>
      <c r="M41" s="563"/>
      <c r="N41" s="563"/>
      <c r="O41" s="563"/>
      <c r="P41" s="563"/>
      <c r="Q41" s="563"/>
      <c r="R41" s="563"/>
      <c r="S41" s="563"/>
      <c r="T41" s="563"/>
      <c r="U41" s="563"/>
      <c r="V41" s="564"/>
      <c r="Y41" s="566"/>
      <c r="Z41" s="566"/>
      <c r="AA41" s="566"/>
      <c r="AB41" s="566"/>
    </row>
    <row r="42" spans="2:28" s="565" customFormat="1">
      <c r="B42" s="562"/>
      <c r="C42" s="563"/>
      <c r="D42" s="563"/>
      <c r="E42" s="563"/>
      <c r="F42" s="563"/>
      <c r="G42" s="563"/>
      <c r="H42" s="563"/>
      <c r="I42" s="563"/>
      <c r="J42" s="563"/>
      <c r="K42" s="563"/>
      <c r="L42" s="563"/>
      <c r="M42" s="563"/>
      <c r="N42" s="563"/>
      <c r="O42" s="563"/>
      <c r="P42" s="563"/>
      <c r="Q42" s="563"/>
      <c r="R42" s="563"/>
      <c r="S42" s="563"/>
      <c r="T42" s="563"/>
      <c r="U42" s="563"/>
      <c r="V42" s="564"/>
      <c r="Y42" s="566"/>
      <c r="Z42" s="566"/>
      <c r="AA42" s="566"/>
      <c r="AB42" s="566"/>
    </row>
    <row r="43" spans="2:28" s="565" customFormat="1">
      <c r="B43" s="562"/>
      <c r="C43" s="563"/>
      <c r="D43" s="563"/>
      <c r="E43" s="563"/>
      <c r="F43" s="563"/>
      <c r="G43" s="563"/>
      <c r="H43" s="563"/>
      <c r="I43" s="563"/>
      <c r="J43" s="563"/>
      <c r="K43" s="563"/>
      <c r="L43" s="563"/>
      <c r="M43" s="563"/>
      <c r="N43" s="563"/>
      <c r="O43" s="563"/>
      <c r="P43" s="563"/>
      <c r="Q43" s="563"/>
      <c r="R43" s="563"/>
      <c r="S43" s="563"/>
      <c r="T43" s="563"/>
      <c r="U43" s="563"/>
      <c r="V43" s="564"/>
      <c r="Y43" s="566"/>
      <c r="Z43" s="566"/>
      <c r="AA43" s="566"/>
      <c r="AB43" s="566"/>
    </row>
    <row r="44" spans="2:28" s="565" customFormat="1">
      <c r="B44" s="562"/>
      <c r="C44" s="563"/>
      <c r="D44" s="563"/>
      <c r="E44" s="563"/>
      <c r="F44" s="563"/>
      <c r="G44" s="563"/>
      <c r="H44" s="563"/>
      <c r="I44" s="563"/>
      <c r="J44" s="563"/>
      <c r="K44" s="563"/>
      <c r="L44" s="563"/>
      <c r="M44" s="563"/>
      <c r="N44" s="563"/>
      <c r="O44" s="563"/>
      <c r="P44" s="563"/>
      <c r="Q44" s="563"/>
      <c r="R44" s="563"/>
      <c r="S44" s="563"/>
      <c r="T44" s="563"/>
      <c r="U44" s="563"/>
      <c r="V44" s="564"/>
      <c r="Y44" s="566"/>
      <c r="Z44" s="566"/>
      <c r="AA44" s="566"/>
      <c r="AB44" s="566"/>
    </row>
    <row r="45" spans="2:28" s="565" customFormat="1">
      <c r="B45" s="562"/>
      <c r="C45" s="563"/>
      <c r="D45" s="563"/>
      <c r="E45" s="563"/>
      <c r="F45" s="563"/>
      <c r="G45" s="563"/>
      <c r="H45" s="563"/>
      <c r="I45" s="563"/>
      <c r="J45" s="563"/>
      <c r="K45" s="563"/>
      <c r="L45" s="563"/>
      <c r="M45" s="563"/>
      <c r="N45" s="563"/>
      <c r="O45" s="563"/>
      <c r="P45" s="563"/>
      <c r="Q45" s="563"/>
      <c r="R45" s="563"/>
      <c r="S45" s="563"/>
      <c r="T45" s="563"/>
      <c r="U45" s="563"/>
      <c r="V45" s="564"/>
      <c r="Y45" s="566"/>
      <c r="Z45" s="566"/>
      <c r="AA45" s="566"/>
      <c r="AB45" s="566"/>
    </row>
    <row r="46" spans="2:28" s="569" customFormat="1">
      <c r="B46" s="562"/>
      <c r="C46" s="563"/>
      <c r="D46" s="563"/>
      <c r="E46" s="563"/>
      <c r="F46" s="563"/>
      <c r="G46" s="563"/>
      <c r="H46" s="563"/>
      <c r="I46" s="563"/>
      <c r="J46" s="563"/>
      <c r="K46" s="563"/>
      <c r="L46" s="563"/>
      <c r="M46" s="563"/>
      <c r="N46" s="563"/>
      <c r="O46" s="563"/>
      <c r="P46" s="563"/>
      <c r="Q46" s="563"/>
      <c r="R46" s="563"/>
      <c r="S46" s="563"/>
      <c r="T46" s="563"/>
      <c r="U46" s="563"/>
      <c r="V46" s="563"/>
    </row>
    <row r="47" spans="2:28" s="569" customFormat="1">
      <c r="B47" s="1180" t="str">
        <f>CHOOSE(jezyk,n!A1477,n!B1477,n!C1477,n!D1473)</f>
        <v>Spis treści</v>
      </c>
      <c r="C47" s="1180"/>
      <c r="D47" s="1180"/>
      <c r="E47" s="1180"/>
      <c r="F47" s="1180"/>
      <c r="G47" s="563"/>
      <c r="H47" s="563"/>
      <c r="I47" s="563"/>
      <c r="J47" s="563"/>
      <c r="K47" s="563"/>
      <c r="L47" s="563"/>
      <c r="M47" s="563"/>
      <c r="N47" s="563"/>
      <c r="O47" s="563"/>
      <c r="P47" s="563"/>
      <c r="Q47" s="563"/>
      <c r="R47" s="563"/>
      <c r="S47" s="563"/>
      <c r="T47" s="563"/>
      <c r="U47" s="563"/>
      <c r="V47" s="563"/>
    </row>
    <row r="48" spans="2:28" s="569" customFormat="1">
      <c r="B48" s="562"/>
      <c r="C48" s="563"/>
      <c r="D48" s="563"/>
      <c r="E48" s="563"/>
      <c r="F48" s="563"/>
      <c r="G48" s="563"/>
      <c r="H48" s="563"/>
      <c r="I48" s="563"/>
      <c r="J48" s="563"/>
      <c r="K48" s="563"/>
      <c r="L48" s="563"/>
      <c r="M48" s="563"/>
      <c r="N48" s="563"/>
      <c r="O48" s="563"/>
      <c r="P48" s="563"/>
      <c r="Q48" s="563"/>
      <c r="R48" s="563"/>
      <c r="S48" s="563"/>
      <c r="T48" s="563" t="str">
        <f>CHOOSE(jezyk,n!A1478,n!B1478,n!C1478,n!D1474)</f>
        <v>Strona</v>
      </c>
      <c r="U48" s="563"/>
      <c r="V48" s="563"/>
    </row>
    <row r="49" spans="2:39" s="569" customFormat="1">
      <c r="B49" s="562"/>
      <c r="C49" s="563"/>
      <c r="D49" s="563"/>
      <c r="E49" s="563"/>
      <c r="F49" s="563"/>
      <c r="G49" s="563"/>
      <c r="H49" s="563"/>
      <c r="I49" s="563"/>
      <c r="J49" s="563"/>
      <c r="K49" s="563"/>
      <c r="L49" s="563"/>
      <c r="M49" s="563"/>
      <c r="N49" s="563"/>
      <c r="O49" s="563"/>
      <c r="P49" s="563"/>
      <c r="Q49" s="563"/>
      <c r="R49" s="563"/>
      <c r="S49" s="563"/>
      <c r="T49" s="563"/>
      <c r="U49" s="563"/>
      <c r="V49" s="563"/>
    </row>
    <row r="50" spans="2:39" s="569" customFormat="1">
      <c r="B50" s="562"/>
      <c r="C50" s="563"/>
      <c r="D50" s="563"/>
      <c r="E50" s="563"/>
      <c r="F50" s="563"/>
      <c r="G50" s="563"/>
      <c r="H50" s="563"/>
      <c r="I50" s="563"/>
      <c r="J50" s="563"/>
      <c r="K50" s="563"/>
      <c r="L50" s="563"/>
      <c r="M50" s="563"/>
      <c r="N50" s="563"/>
      <c r="O50" s="563"/>
      <c r="P50" s="563"/>
      <c r="Q50" s="563"/>
      <c r="R50" s="563"/>
      <c r="S50" s="563"/>
      <c r="T50" s="563"/>
      <c r="U50" s="563"/>
      <c r="V50" s="563"/>
    </row>
    <row r="51" spans="2:39" s="569" customFormat="1">
      <c r="B51" s="570" t="str">
        <f>CHOOSE(jezyk,n!A1479,n!B1479,n!C1479,n!D1475)</f>
        <v>CZĘŚĆ OGÓLNA</v>
      </c>
      <c r="C51" s="570"/>
      <c r="D51" s="570"/>
      <c r="E51" s="570"/>
      <c r="F51" s="563"/>
      <c r="G51" s="563"/>
      <c r="H51" s="563"/>
      <c r="I51" s="563"/>
      <c r="J51" s="563"/>
      <c r="K51" s="563"/>
      <c r="L51" s="563"/>
      <c r="M51" s="563"/>
      <c r="N51" s="563"/>
      <c r="O51" s="563"/>
      <c r="P51" s="563"/>
      <c r="Q51" s="563"/>
      <c r="R51" s="563"/>
      <c r="S51" s="563"/>
      <c r="T51" s="563"/>
      <c r="U51" s="563"/>
      <c r="V51" s="563"/>
    </row>
    <row r="52" spans="2:39" s="569" customFormat="1" ht="15" customHeight="1">
      <c r="B52" s="562"/>
      <c r="C52" s="563"/>
      <c r="D52" s="563"/>
      <c r="E52" s="563"/>
      <c r="F52" s="563"/>
      <c r="G52" s="563"/>
      <c r="H52" s="563"/>
      <c r="I52" s="563"/>
      <c r="J52" s="563"/>
      <c r="K52" s="563"/>
      <c r="L52" s="563"/>
      <c r="M52" s="563"/>
      <c r="N52" s="563"/>
      <c r="O52" s="563"/>
      <c r="P52" s="563"/>
      <c r="Q52" s="563"/>
      <c r="R52" s="563"/>
      <c r="S52" s="563"/>
      <c r="T52" s="563"/>
      <c r="U52" s="563"/>
      <c r="V52" s="563"/>
    </row>
    <row r="53" spans="2:39" s="569" customFormat="1" ht="15" customHeight="1">
      <c r="B53" s="562"/>
      <c r="C53" s="563"/>
      <c r="D53" s="563"/>
      <c r="E53" s="563"/>
      <c r="F53" s="563"/>
      <c r="G53" s="563"/>
      <c r="H53" s="563"/>
      <c r="I53" s="563"/>
      <c r="J53" s="563"/>
      <c r="K53" s="563"/>
      <c r="L53" s="563"/>
      <c r="M53" s="563"/>
      <c r="N53" s="563"/>
      <c r="O53" s="563"/>
      <c r="P53" s="563"/>
      <c r="Q53" s="563"/>
      <c r="R53" s="563"/>
      <c r="S53" s="563"/>
      <c r="T53" s="563"/>
      <c r="U53" s="563"/>
      <c r="V53" s="563"/>
      <c r="W53" s="567"/>
    </row>
    <row r="54" spans="2:39" s="569" customFormat="1">
      <c r="B54" s="562"/>
      <c r="C54" s="571" t="s">
        <v>6530</v>
      </c>
      <c r="D54" s="577" t="str">
        <f>CHOOSE(jezyk,n!A1480,n!B1480,n!C1480,n!D1476)</f>
        <v>WIZYTÓWKA SPÓŁKI</v>
      </c>
      <c r="E54" s="577"/>
      <c r="F54" s="577"/>
      <c r="G54" s="577"/>
      <c r="H54" s="577"/>
      <c r="I54" s="577"/>
      <c r="J54" s="577"/>
      <c r="K54" s="577"/>
      <c r="L54" s="577"/>
      <c r="M54" s="577"/>
      <c r="N54" s="563"/>
      <c r="O54" s="563"/>
      <c r="P54" s="563"/>
      <c r="Q54" s="563"/>
      <c r="R54" s="563"/>
      <c r="S54" s="563"/>
      <c r="T54" s="563"/>
      <c r="U54" s="571">
        <f>W75</f>
        <v>3</v>
      </c>
      <c r="V54" s="563"/>
      <c r="W54" s="603"/>
    </row>
    <row r="55" spans="2:39" s="569" customFormat="1" ht="18.75" customHeight="1">
      <c r="B55" s="562"/>
      <c r="C55" s="563"/>
      <c r="D55" s="577"/>
      <c r="E55" s="577"/>
      <c r="F55" s="577"/>
      <c r="G55" s="577"/>
      <c r="H55" s="577"/>
      <c r="I55" s="577"/>
      <c r="J55" s="577"/>
      <c r="K55" s="577"/>
      <c r="L55" s="577"/>
      <c r="M55" s="577"/>
      <c r="N55" s="577"/>
      <c r="O55" s="577"/>
      <c r="P55" s="577"/>
      <c r="Q55" s="577"/>
      <c r="R55" s="577"/>
      <c r="S55" s="577"/>
      <c r="T55" s="563"/>
      <c r="U55" s="571"/>
      <c r="V55" s="563"/>
      <c r="W55" s="571"/>
    </row>
    <row r="56" spans="2:39" s="569" customFormat="1">
      <c r="B56" s="562"/>
      <c r="C56" s="571" t="s">
        <v>6540</v>
      </c>
      <c r="D56" s="577" t="str">
        <f>CHOOSE(jezyk,n!A1481,n!B1481,n!C1481,n!D1477)</f>
        <v>SPRZEDAŻ</v>
      </c>
      <c r="E56" s="577"/>
      <c r="F56" s="577"/>
      <c r="G56" s="577"/>
      <c r="H56" s="577"/>
      <c r="I56" s="577"/>
      <c r="J56" s="577"/>
      <c r="K56" s="577"/>
      <c r="L56" s="577"/>
      <c r="M56" s="577"/>
      <c r="N56" s="577"/>
      <c r="O56" s="577"/>
      <c r="P56" s="577"/>
      <c r="Q56" s="577"/>
      <c r="R56" s="577"/>
      <c r="S56" s="577"/>
      <c r="T56" s="563"/>
      <c r="U56" s="571">
        <f>W152</f>
        <v>5</v>
      </c>
      <c r="V56" s="563"/>
      <c r="W56" s="603"/>
    </row>
    <row r="57" spans="2:39" s="565" customFormat="1" ht="18.75" customHeight="1">
      <c r="B57" s="562"/>
      <c r="C57" s="563"/>
      <c r="D57" s="577"/>
      <c r="E57" s="577"/>
      <c r="F57" s="577"/>
      <c r="G57" s="577"/>
      <c r="H57" s="577"/>
      <c r="I57" s="577"/>
      <c r="J57" s="577"/>
      <c r="K57" s="577"/>
      <c r="L57" s="577"/>
      <c r="M57" s="577"/>
      <c r="N57" s="577"/>
      <c r="O57" s="577"/>
      <c r="P57" s="577"/>
      <c r="Q57" s="577"/>
      <c r="R57" s="577"/>
      <c r="S57" s="577"/>
      <c r="T57" s="563"/>
      <c r="U57" s="571"/>
      <c r="V57" s="563"/>
      <c r="W57" s="571"/>
      <c r="Y57" s="566"/>
      <c r="Z57" s="566"/>
      <c r="AA57" s="566"/>
      <c r="AB57" s="566"/>
    </row>
    <row r="58" spans="2:39" s="565" customFormat="1">
      <c r="B58" s="562"/>
      <c r="C58" s="571" t="s">
        <v>6544</v>
      </c>
      <c r="D58" s="577" t="str">
        <f>CHOOSE(jezyk,n!A1482,n!B1482,n!C1482,n!D1478)</f>
        <v>PERSONEL</v>
      </c>
      <c r="E58" s="577"/>
      <c r="F58" s="577"/>
      <c r="G58" s="577"/>
      <c r="H58" s="577"/>
      <c r="I58" s="577"/>
      <c r="J58" s="577"/>
      <c r="K58" s="577"/>
      <c r="L58" s="577"/>
      <c r="M58" s="577"/>
      <c r="N58" s="577"/>
      <c r="O58" s="577"/>
      <c r="P58" s="577"/>
      <c r="Q58" s="577"/>
      <c r="R58" s="577"/>
      <c r="S58" s="577"/>
      <c r="T58" s="563"/>
      <c r="U58" s="571">
        <f>W163</f>
        <v>5</v>
      </c>
      <c r="V58" s="563"/>
      <c r="W58" s="603"/>
      <c r="Y58" s="566"/>
      <c r="Z58" s="566"/>
      <c r="AA58" s="566"/>
      <c r="AB58" s="566"/>
    </row>
    <row r="59" spans="2:39" s="565" customFormat="1" ht="18.75" customHeight="1">
      <c r="B59" s="562"/>
      <c r="C59" s="563"/>
      <c r="D59" s="577"/>
      <c r="E59" s="577"/>
      <c r="F59" s="577"/>
      <c r="G59" s="577"/>
      <c r="H59" s="577"/>
      <c r="I59" s="577"/>
      <c r="J59" s="577"/>
      <c r="K59" s="577"/>
      <c r="L59" s="577"/>
      <c r="M59" s="577"/>
      <c r="N59" s="577"/>
      <c r="O59" s="577"/>
      <c r="P59" s="577"/>
      <c r="Q59" s="577"/>
      <c r="R59" s="577"/>
      <c r="S59" s="577"/>
      <c r="T59" s="563"/>
      <c r="U59" s="571"/>
      <c r="V59" s="563"/>
      <c r="W59" s="571"/>
      <c r="Y59" s="566"/>
      <c r="Z59" s="566"/>
      <c r="AA59" s="566"/>
      <c r="AB59" s="566"/>
    </row>
    <row r="60" spans="2:39" s="565" customFormat="1">
      <c r="B60" s="562"/>
      <c r="C60" s="571" t="s">
        <v>6545</v>
      </c>
      <c r="D60" s="577" t="str">
        <f>CHOOSE(jezyk,n!A1483,n!B1483,n!C1483,n!D1479)</f>
        <v>ANALIZA FINANSOWA</v>
      </c>
      <c r="E60" s="577"/>
      <c r="F60" s="577"/>
      <c r="G60" s="577"/>
      <c r="H60" s="577"/>
      <c r="I60" s="577"/>
      <c r="J60" s="577"/>
      <c r="K60" s="577"/>
      <c r="L60" s="577"/>
      <c r="M60" s="577"/>
      <c r="N60" s="577"/>
      <c r="O60" s="577"/>
      <c r="P60" s="577"/>
      <c r="Q60" s="577"/>
      <c r="R60" s="577"/>
      <c r="S60" s="577"/>
      <c r="T60" s="563"/>
      <c r="U60" s="571">
        <f>W182</f>
        <v>5</v>
      </c>
      <c r="V60" s="563"/>
      <c r="W60" s="603"/>
      <c r="Y60" s="566"/>
      <c r="Z60" s="566"/>
      <c r="AA60" s="566"/>
      <c r="AB60" s="566"/>
    </row>
    <row r="61" spans="2:39" s="565" customFormat="1" ht="18.75" customHeight="1">
      <c r="B61" s="562"/>
      <c r="C61" s="563"/>
      <c r="D61" s="577"/>
      <c r="E61" s="577"/>
      <c r="F61" s="577"/>
      <c r="G61" s="577"/>
      <c r="H61" s="577"/>
      <c r="I61" s="577"/>
      <c r="J61" s="577"/>
      <c r="K61" s="577"/>
      <c r="L61" s="577"/>
      <c r="M61" s="577"/>
      <c r="N61" s="577"/>
      <c r="O61" s="577"/>
      <c r="P61" s="577"/>
      <c r="Q61" s="577"/>
      <c r="R61" s="577"/>
      <c r="S61" s="577"/>
      <c r="T61" s="563"/>
      <c r="U61" s="571"/>
      <c r="V61" s="563"/>
      <c r="W61" s="571"/>
      <c r="Y61" s="566"/>
      <c r="Z61" s="566"/>
      <c r="AA61" s="566"/>
      <c r="AB61" s="566"/>
    </row>
    <row r="62" spans="2:39" s="565" customFormat="1" ht="15" customHeight="1">
      <c r="B62" s="562"/>
      <c r="C62" s="571" t="s">
        <v>6550</v>
      </c>
      <c r="D62" s="577" t="str">
        <f>CHOOSE(jezyk,n!A1484,n!B1484,n!C1484,n!D1480)</f>
        <v>PRZEWIDYWANY ROZWÓJ SPÓŁKI</v>
      </c>
      <c r="E62" s="577"/>
      <c r="F62" s="577"/>
      <c r="G62" s="577"/>
      <c r="H62" s="577"/>
      <c r="I62" s="577"/>
      <c r="J62" s="577"/>
      <c r="K62" s="577"/>
      <c r="L62" s="577"/>
      <c r="M62" s="577"/>
      <c r="N62" s="577"/>
      <c r="O62" s="577"/>
      <c r="P62" s="577"/>
      <c r="Q62" s="577"/>
      <c r="R62" s="577"/>
      <c r="S62" s="577"/>
      <c r="T62" s="574"/>
      <c r="U62" s="604">
        <f>W189</f>
        <v>5</v>
      </c>
      <c r="V62" s="576"/>
      <c r="W62" s="605"/>
      <c r="Y62" s="566"/>
      <c r="Z62" s="566"/>
      <c r="AA62" s="566"/>
      <c r="AB62" s="566"/>
    </row>
    <row r="63" spans="2:39" s="565" customFormat="1" ht="15" customHeight="1">
      <c r="B63" s="562"/>
      <c r="C63" s="571"/>
      <c r="D63" s="577"/>
      <c r="E63" s="577"/>
      <c r="F63" s="577"/>
      <c r="G63" s="577"/>
      <c r="H63" s="577"/>
      <c r="I63" s="577"/>
      <c r="J63" s="577"/>
      <c r="K63" s="577"/>
      <c r="L63" s="577"/>
      <c r="M63" s="577"/>
      <c r="N63" s="577"/>
      <c r="O63" s="577"/>
      <c r="P63" s="577"/>
      <c r="Q63" s="577"/>
      <c r="R63" s="577"/>
      <c r="S63" s="577"/>
      <c r="T63" s="574"/>
      <c r="U63" s="604"/>
      <c r="V63" s="576"/>
      <c r="W63" s="604"/>
      <c r="Y63" s="566"/>
      <c r="Z63" s="566"/>
      <c r="AA63" s="566"/>
      <c r="AB63" s="566"/>
    </row>
    <row r="64" spans="2:39" s="565" customFormat="1" ht="15" customHeight="1">
      <c r="B64" s="562"/>
      <c r="C64" s="571" t="s">
        <v>6549</v>
      </c>
      <c r="D64" s="577" t="str">
        <f>CHOOSE(jezyk,n!A1485,n!B1485,n!C1485,n!D1481)</f>
        <v>CZYNNIKI RYZYKA ZWIĄZANE Z PROWADZONĄ DZIAŁALNOŚCIĄ,  W TYM W ZAKRESIE INSTRUMENTÓW FINANSOWYCH</v>
      </c>
      <c r="E64" s="577"/>
      <c r="F64" s="577"/>
      <c r="G64" s="577"/>
      <c r="H64" s="577"/>
      <c r="I64" s="577"/>
      <c r="J64" s="577"/>
      <c r="K64" s="577"/>
      <c r="L64" s="577"/>
      <c r="M64" s="577"/>
      <c r="N64" s="577"/>
      <c r="O64" s="577"/>
      <c r="P64" s="577"/>
      <c r="Q64" s="577"/>
      <c r="R64" s="577"/>
      <c r="S64" s="577"/>
      <c r="T64" s="574"/>
      <c r="U64" s="575">
        <f>W199</f>
        <v>6</v>
      </c>
      <c r="V64" s="576"/>
      <c r="W64" s="606"/>
      <c r="X64" s="1190"/>
      <c r="Y64" s="1190"/>
      <c r="Z64" s="1190"/>
      <c r="AA64" s="1190"/>
      <c r="AB64" s="1190"/>
      <c r="AC64" s="1190"/>
      <c r="AD64" s="1190"/>
      <c r="AE64" s="1190"/>
      <c r="AF64" s="1190"/>
      <c r="AG64" s="1190"/>
      <c r="AH64" s="1190"/>
      <c r="AI64" s="1190"/>
      <c r="AJ64" s="1190"/>
      <c r="AK64" s="1190"/>
      <c r="AL64" s="1190"/>
      <c r="AM64" s="1190"/>
    </row>
    <row r="65" spans="2:39" s="565" customFormat="1" ht="15" customHeight="1">
      <c r="B65" s="562"/>
      <c r="C65" s="571"/>
      <c r="D65" s="577"/>
      <c r="E65" s="577"/>
      <c r="F65" s="577"/>
      <c r="G65" s="577"/>
      <c r="H65" s="577"/>
      <c r="I65" s="577"/>
      <c r="J65" s="577"/>
      <c r="K65" s="577"/>
      <c r="L65" s="577"/>
      <c r="M65" s="577"/>
      <c r="N65" s="577"/>
      <c r="O65" s="577"/>
      <c r="P65" s="577"/>
      <c r="Q65" s="577"/>
      <c r="R65" s="577"/>
      <c r="S65" s="577"/>
      <c r="T65" s="574"/>
      <c r="U65" s="575"/>
      <c r="V65" s="576"/>
      <c r="W65" s="575"/>
      <c r="X65" s="577"/>
      <c r="Y65" s="574"/>
      <c r="Z65" s="574"/>
      <c r="AA65" s="574"/>
      <c r="AB65" s="574"/>
      <c r="AC65" s="574"/>
      <c r="AD65" s="574"/>
      <c r="AE65" s="574"/>
      <c r="AF65" s="574"/>
      <c r="AG65" s="574"/>
      <c r="AH65" s="574"/>
      <c r="AI65" s="574"/>
      <c r="AJ65" s="574"/>
      <c r="AK65" s="574"/>
      <c r="AL65" s="574"/>
      <c r="AM65" s="574"/>
    </row>
    <row r="66" spans="2:39" s="565" customFormat="1" ht="15" customHeight="1">
      <c r="B66" s="562"/>
      <c r="C66" s="571" t="s">
        <v>6763</v>
      </c>
      <c r="D66" s="577" t="str">
        <f>CHOOSE(jezyk,n!A1487,n!B1487,n!C1487,n!D1482)</f>
        <v>WAŻNIEJSZE OSIĄGNIĘCIA W DZIEDZINIE BADAŃ I ROZWOJU</v>
      </c>
      <c r="E66" s="577"/>
      <c r="F66" s="577"/>
      <c r="G66" s="577"/>
      <c r="H66" s="577"/>
      <c r="I66" s="577"/>
      <c r="J66" s="577"/>
      <c r="K66" s="577"/>
      <c r="L66" s="577"/>
      <c r="M66" s="577"/>
      <c r="N66" s="577"/>
      <c r="O66" s="577"/>
      <c r="P66" s="577"/>
      <c r="Q66" s="577"/>
      <c r="R66" s="577"/>
      <c r="S66" s="577"/>
      <c r="T66" s="574"/>
      <c r="U66" s="575">
        <f>W210</f>
        <v>6</v>
      </c>
      <c r="V66" s="576"/>
      <c r="W66" s="606"/>
      <c r="X66" s="607"/>
      <c r="Y66" s="607"/>
      <c r="Z66" s="607"/>
      <c r="AA66" s="607"/>
      <c r="AB66" s="607"/>
      <c r="AC66" s="607"/>
      <c r="AD66" s="607"/>
      <c r="AE66" s="607"/>
      <c r="AF66" s="607"/>
      <c r="AG66" s="607"/>
      <c r="AH66" s="607"/>
      <c r="AI66" s="607"/>
      <c r="AJ66" s="607"/>
      <c r="AK66" s="607"/>
      <c r="AL66" s="607"/>
      <c r="AM66" s="608"/>
    </row>
    <row r="67" spans="2:39" s="565" customFormat="1" ht="15" customHeight="1">
      <c r="B67" s="562"/>
      <c r="C67" s="571"/>
      <c r="D67" s="577"/>
      <c r="E67" s="577"/>
      <c r="F67" s="577"/>
      <c r="G67" s="577"/>
      <c r="H67" s="577"/>
      <c r="I67" s="577"/>
      <c r="J67" s="577"/>
      <c r="K67" s="577"/>
      <c r="L67" s="577"/>
      <c r="M67" s="577"/>
      <c r="N67" s="577"/>
      <c r="O67" s="577"/>
      <c r="P67" s="577"/>
      <c r="Q67" s="577"/>
      <c r="R67" s="577"/>
      <c r="S67" s="577"/>
      <c r="T67" s="579"/>
      <c r="U67" s="575"/>
      <c r="V67" s="576"/>
      <c r="W67" s="575"/>
      <c r="X67" s="578"/>
      <c r="Y67" s="578"/>
      <c r="Z67" s="578"/>
      <c r="AA67" s="578"/>
      <c r="AB67" s="578"/>
      <c r="AC67" s="578"/>
      <c r="AD67" s="578"/>
      <c r="AE67" s="578"/>
      <c r="AF67" s="578"/>
      <c r="AG67" s="578"/>
      <c r="AH67" s="578"/>
      <c r="AI67" s="578"/>
      <c r="AJ67" s="578"/>
      <c r="AK67" s="578"/>
      <c r="AL67" s="578"/>
      <c r="AM67" s="579"/>
    </row>
    <row r="68" spans="2:39" s="565" customFormat="1" ht="15" customHeight="1">
      <c r="B68" s="562"/>
      <c r="C68" s="571" t="s">
        <v>6772</v>
      </c>
      <c r="D68" s="577" t="str">
        <f>CHOOSE(jezyk,n!A1488,n!B1488,n!C1488,n!D1483)</f>
        <v>INFORMACJE O NABYCIU UDZIAŁÓW (AKCJI) WŁASNYCH</v>
      </c>
      <c r="E68" s="577"/>
      <c r="F68" s="577"/>
      <c r="G68" s="577"/>
      <c r="H68" s="577"/>
      <c r="I68" s="577"/>
      <c r="J68" s="577"/>
      <c r="K68" s="577"/>
      <c r="L68" s="577"/>
      <c r="M68" s="577"/>
      <c r="N68" s="577"/>
      <c r="O68" s="577"/>
      <c r="P68" s="577"/>
      <c r="Q68" s="577"/>
      <c r="R68" s="577"/>
      <c r="S68" s="577"/>
      <c r="T68" s="579"/>
      <c r="U68" s="575">
        <f>W220</f>
        <v>6</v>
      </c>
      <c r="V68" s="576"/>
      <c r="W68" s="606"/>
      <c r="X68" s="607"/>
      <c r="Y68" s="607"/>
      <c r="Z68" s="607"/>
      <c r="AA68" s="607"/>
      <c r="AB68" s="607"/>
      <c r="AC68" s="607"/>
      <c r="AD68" s="607"/>
      <c r="AE68" s="607"/>
      <c r="AF68" s="607"/>
      <c r="AG68" s="607"/>
      <c r="AH68" s="607"/>
      <c r="AI68" s="607"/>
      <c r="AJ68" s="607"/>
      <c r="AK68" s="607"/>
      <c r="AL68" s="607"/>
      <c r="AM68" s="608"/>
    </row>
    <row r="69" spans="2:39" s="565" customFormat="1" ht="15" customHeight="1">
      <c r="B69" s="562"/>
      <c r="C69" s="571"/>
      <c r="D69" s="577"/>
      <c r="E69" s="577"/>
      <c r="F69" s="577"/>
      <c r="G69" s="577"/>
      <c r="H69" s="577"/>
      <c r="I69" s="577"/>
      <c r="J69" s="577"/>
      <c r="K69" s="577"/>
      <c r="L69" s="577"/>
      <c r="M69" s="577"/>
      <c r="N69" s="577"/>
      <c r="O69" s="577"/>
      <c r="P69" s="577"/>
      <c r="Q69" s="577"/>
      <c r="R69" s="577"/>
      <c r="S69" s="577"/>
      <c r="T69" s="574"/>
      <c r="U69" s="575"/>
      <c r="V69" s="576"/>
      <c r="W69" s="575"/>
      <c r="X69" s="609"/>
      <c r="Y69" s="609"/>
      <c r="Z69" s="609"/>
      <c r="AA69" s="609"/>
      <c r="AB69" s="609"/>
      <c r="AC69" s="609"/>
      <c r="AD69" s="609"/>
      <c r="AE69" s="609"/>
      <c r="AF69" s="609"/>
      <c r="AG69" s="609"/>
      <c r="AH69" s="609"/>
      <c r="AI69" s="609"/>
      <c r="AJ69" s="609"/>
      <c r="AK69" s="609"/>
      <c r="AL69" s="609"/>
      <c r="AM69" s="609"/>
    </row>
    <row r="70" spans="2:39" s="565" customFormat="1" ht="15" customHeight="1">
      <c r="B70" s="562"/>
      <c r="C70" s="571" t="s">
        <v>6773</v>
      </c>
      <c r="D70" s="577" t="str">
        <f>CHOOSE(jezyk,n!A1489,n!B1489,n!C1489,n!D1485)</f>
        <v>ŁAD KORPORACYJNY</v>
      </c>
      <c r="E70" s="577"/>
      <c r="F70" s="577"/>
      <c r="G70" s="577"/>
      <c r="H70" s="577"/>
      <c r="I70" s="577"/>
      <c r="J70" s="577"/>
      <c r="K70" s="577"/>
      <c r="L70" s="577"/>
      <c r="M70" s="577"/>
      <c r="N70" s="577"/>
      <c r="O70" s="577"/>
      <c r="P70" s="577"/>
      <c r="Q70" s="577"/>
      <c r="R70" s="577"/>
      <c r="S70" s="577"/>
      <c r="T70" s="581"/>
      <c r="U70" s="571">
        <f>W229</f>
        <v>7</v>
      </c>
      <c r="V70" s="610"/>
      <c r="W70" s="603"/>
      <c r="Y70" s="566"/>
      <c r="Z70" s="566"/>
      <c r="AA70" s="566"/>
      <c r="AB70" s="566"/>
    </row>
    <row r="71" spans="2:39" s="565" customFormat="1" ht="15" customHeight="1">
      <c r="B71" s="562"/>
      <c r="C71" s="571"/>
      <c r="D71" s="577"/>
      <c r="E71" s="577"/>
      <c r="F71" s="577"/>
      <c r="G71" s="577"/>
      <c r="H71" s="577"/>
      <c r="I71" s="577"/>
      <c r="J71" s="577"/>
      <c r="K71" s="577"/>
      <c r="L71" s="577"/>
      <c r="M71" s="577"/>
      <c r="N71" s="577"/>
      <c r="O71" s="577"/>
      <c r="P71" s="577"/>
      <c r="Q71" s="577"/>
      <c r="R71" s="577"/>
      <c r="S71" s="577"/>
      <c r="T71" s="581"/>
      <c r="U71" s="604"/>
      <c r="V71" s="610"/>
      <c r="W71" s="604"/>
      <c r="Y71" s="566"/>
      <c r="Z71" s="566"/>
      <c r="AA71" s="566"/>
      <c r="AB71" s="566"/>
    </row>
    <row r="72" spans="2:39" s="565" customFormat="1" ht="15" customHeight="1">
      <c r="B72" s="562"/>
      <c r="C72" s="571" t="s">
        <v>6774</v>
      </c>
      <c r="D72" s="577" t="str">
        <f>CHOOSE(jezyk,n!A1490,n!B1490,n!C1490,n!D1486)</f>
        <v>PODSUMOWANIE</v>
      </c>
      <c r="E72" s="577"/>
      <c r="F72" s="577"/>
      <c r="G72" s="577"/>
      <c r="H72" s="577"/>
      <c r="I72" s="577"/>
      <c r="J72" s="577"/>
      <c r="K72" s="577"/>
      <c r="L72" s="577"/>
      <c r="M72" s="577"/>
      <c r="N72" s="577"/>
      <c r="O72" s="577"/>
      <c r="P72" s="577"/>
      <c r="Q72" s="577"/>
      <c r="R72" s="577"/>
      <c r="S72" s="577"/>
      <c r="T72" s="563"/>
      <c r="U72" s="571">
        <f>W235</f>
        <v>7</v>
      </c>
      <c r="V72" s="563"/>
      <c r="W72" s="603"/>
      <c r="Y72" s="566"/>
      <c r="Z72" s="566"/>
      <c r="AA72" s="566"/>
      <c r="AB72" s="566"/>
    </row>
    <row r="73" spans="2:39" s="565" customFormat="1">
      <c r="B73" s="562"/>
      <c r="C73" s="563"/>
      <c r="D73" s="563"/>
      <c r="E73" s="563"/>
      <c r="F73" s="563"/>
      <c r="G73" s="563"/>
      <c r="H73" s="563"/>
      <c r="I73" s="563"/>
      <c r="J73" s="563"/>
      <c r="K73" s="563"/>
      <c r="L73" s="563"/>
      <c r="M73" s="563"/>
      <c r="N73" s="563"/>
      <c r="O73" s="563"/>
      <c r="P73" s="563"/>
      <c r="Q73" s="563"/>
      <c r="R73" s="563"/>
      <c r="S73" s="563"/>
      <c r="T73" s="563"/>
      <c r="U73" s="563"/>
      <c r="V73" s="563"/>
      <c r="Y73" s="566"/>
      <c r="Z73" s="566"/>
      <c r="AA73" s="566"/>
      <c r="AB73" s="566"/>
    </row>
    <row r="74" spans="2:39" s="565" customFormat="1">
      <c r="B74" s="562"/>
      <c r="C74" s="563"/>
      <c r="D74" s="563"/>
      <c r="E74" s="563"/>
      <c r="F74" s="563"/>
      <c r="G74" s="563"/>
      <c r="H74" s="563"/>
      <c r="I74" s="563"/>
      <c r="J74" s="563"/>
      <c r="K74" s="563"/>
      <c r="L74" s="563"/>
      <c r="M74" s="563"/>
      <c r="N74" s="563"/>
      <c r="O74" s="563"/>
      <c r="P74" s="563"/>
      <c r="Q74" s="563"/>
      <c r="R74" s="563"/>
      <c r="S74" s="563"/>
      <c r="T74" s="563"/>
      <c r="U74" s="563"/>
      <c r="V74" s="563"/>
      <c r="Y74" s="566"/>
      <c r="Z74" s="566"/>
      <c r="AA74" s="566"/>
      <c r="AB74" s="566"/>
    </row>
    <row r="75" spans="2:39" s="565" customFormat="1">
      <c r="B75" s="584" t="s">
        <v>6530</v>
      </c>
      <c r="C75" s="573" t="str">
        <f>CHOOSE(jezyk,n!A1480,n!B1480,n!C1480,n!D1476)</f>
        <v>WIZYTÓWKA SPÓŁKI</v>
      </c>
      <c r="D75" s="563"/>
      <c r="E75" s="563"/>
      <c r="F75" s="563"/>
      <c r="G75" s="563"/>
      <c r="H75" s="563"/>
      <c r="I75" s="563"/>
      <c r="J75" s="563"/>
      <c r="K75" s="563"/>
      <c r="L75" s="563"/>
      <c r="M75" s="563"/>
      <c r="N75" s="563"/>
      <c r="O75" s="563"/>
      <c r="P75" s="563"/>
      <c r="Q75" s="563"/>
      <c r="R75" s="563"/>
      <c r="S75" s="563"/>
      <c r="T75" s="563"/>
      <c r="U75" s="563"/>
      <c r="V75" s="563"/>
      <c r="W75" s="585">
        <v>3</v>
      </c>
      <c r="X75" s="586" t="s">
        <v>6912</v>
      </c>
      <c r="Y75" s="566"/>
      <c r="Z75" s="566"/>
      <c r="AA75" s="566"/>
      <c r="AB75" s="566"/>
    </row>
    <row r="76" spans="2:39" s="565" customFormat="1">
      <c r="B76" s="562"/>
      <c r="C76" s="563"/>
      <c r="D76" s="563"/>
      <c r="E76" s="563"/>
      <c r="F76" s="563"/>
      <c r="G76" s="563"/>
      <c r="H76" s="563"/>
      <c r="I76" s="563"/>
      <c r="J76" s="563"/>
      <c r="K76" s="563"/>
      <c r="L76" s="563"/>
      <c r="M76" s="563"/>
      <c r="N76" s="563"/>
      <c r="O76" s="563"/>
      <c r="P76" s="563"/>
      <c r="Q76" s="563"/>
      <c r="R76" s="563"/>
      <c r="S76" s="563"/>
      <c r="T76" s="563"/>
      <c r="U76" s="563"/>
      <c r="V76" s="563"/>
      <c r="Y76" s="566"/>
      <c r="Z76" s="566"/>
      <c r="AA76" s="566"/>
      <c r="AB76" s="566"/>
    </row>
    <row r="77" spans="2:39" s="565" customFormat="1">
      <c r="B77" s="562"/>
      <c r="C77" s="563"/>
      <c r="D77" s="563"/>
      <c r="E77" s="563"/>
      <c r="F77" s="563"/>
      <c r="G77" s="563"/>
      <c r="H77" s="563"/>
      <c r="I77" s="563"/>
      <c r="J77" s="563"/>
      <c r="K77" s="563"/>
      <c r="L77" s="563"/>
      <c r="M77" s="563"/>
      <c r="N77" s="563"/>
      <c r="O77" s="563"/>
      <c r="P77" s="563"/>
      <c r="Q77" s="563"/>
      <c r="R77" s="563"/>
      <c r="S77" s="563"/>
      <c r="T77" s="563"/>
      <c r="U77" s="563"/>
      <c r="V77" s="563"/>
      <c r="Y77" s="566"/>
      <c r="Z77" s="566"/>
      <c r="AA77" s="566"/>
      <c r="AB77" s="566"/>
    </row>
    <row r="78" spans="2:39" s="565" customFormat="1">
      <c r="B78" s="562"/>
      <c r="C78" s="563" t="str">
        <f>CHOOSE(jezyk,n!A1491,n!B1491,n!C1491,n!D1487)</f>
        <v>Spółka jest zarejestrowana pod firmą:</v>
      </c>
      <c r="D78" s="563"/>
      <c r="E78" s="563"/>
      <c r="F78" s="563"/>
      <c r="G78" s="563"/>
      <c r="H78" s="563"/>
      <c r="I78" s="563"/>
      <c r="J78" s="563"/>
      <c r="K78" s="563"/>
      <c r="L78" s="563"/>
      <c r="M78" s="563"/>
      <c r="N78" s="563"/>
      <c r="O78" s="589"/>
      <c r="P78" s="589"/>
      <c r="U78" s="589"/>
    </row>
    <row r="79" spans="2:39" s="565" customFormat="1">
      <c r="B79" s="562"/>
      <c r="C79" s="563"/>
      <c r="D79" s="563"/>
      <c r="E79" s="563"/>
      <c r="F79" s="563"/>
      <c r="G79" s="563"/>
      <c r="H79" s="563"/>
      <c r="I79" s="563"/>
      <c r="J79" s="563"/>
      <c r="K79" s="563"/>
      <c r="L79" s="563"/>
      <c r="M79" s="563"/>
      <c r="N79" s="563"/>
      <c r="O79" s="589"/>
      <c r="P79" s="589"/>
      <c r="U79" s="589"/>
      <c r="W79" s="590"/>
    </row>
    <row r="80" spans="2:39" s="565" customFormat="1">
      <c r="B80" s="562"/>
      <c r="C80" s="573" t="str">
        <f>nazwa_spolki</f>
        <v>Rhenus Digital Workforce Sp. z o.o.</v>
      </c>
      <c r="D80" s="563"/>
      <c r="E80" s="563"/>
      <c r="F80" s="563"/>
      <c r="G80" s="563"/>
      <c r="H80" s="563"/>
      <c r="I80" s="563"/>
      <c r="J80" s="563"/>
      <c r="K80" s="563"/>
      <c r="L80" s="563"/>
      <c r="M80" s="563"/>
      <c r="N80" s="563"/>
      <c r="O80" s="589"/>
      <c r="P80" s="589"/>
      <c r="U80" s="589"/>
    </row>
    <row r="81" spans="2:28" s="565" customFormat="1">
      <c r="B81" s="562"/>
      <c r="C81" s="563"/>
      <c r="D81" s="563"/>
      <c r="E81" s="563"/>
      <c r="F81" s="563"/>
      <c r="G81" s="563"/>
      <c r="H81" s="563"/>
      <c r="I81" s="563"/>
      <c r="J81" s="563"/>
      <c r="K81" s="563"/>
      <c r="L81" s="563"/>
      <c r="M81" s="563"/>
      <c r="N81" s="563"/>
      <c r="O81" s="589"/>
      <c r="P81" s="589"/>
      <c r="U81" s="589"/>
    </row>
    <row r="82" spans="2:28" s="565" customFormat="1" ht="25.5" customHeight="1">
      <c r="B82" s="562"/>
      <c r="C82" s="1189" t="str">
        <f>CHOOSE(jezyk,n!A1657,n!B1657,n!C1657,n!D1653)</f>
        <v xml:space="preserve">w Sądzie Rejonowym dla ……………., ………... Wydział Gospodarczy Krajowego Rejestru Sądowego, numer rejestru ………….. </v>
      </c>
      <c r="D82" s="1189"/>
      <c r="E82" s="1189"/>
      <c r="F82" s="1189"/>
      <c r="G82" s="1189"/>
      <c r="H82" s="1189"/>
      <c r="I82" s="1189"/>
      <c r="J82" s="1189"/>
      <c r="K82" s="1189"/>
      <c r="L82" s="1189"/>
      <c r="M82" s="1189"/>
      <c r="N82" s="1189"/>
      <c r="O82" s="1189"/>
      <c r="P82" s="1189"/>
      <c r="Q82" s="1189"/>
      <c r="R82" s="1189"/>
      <c r="S82" s="1189"/>
      <c r="T82" s="1189"/>
      <c r="U82" s="1189"/>
      <c r="V82" s="1189"/>
    </row>
    <row r="83" spans="2:28" s="565" customFormat="1">
      <c r="B83" s="562"/>
      <c r="C83" s="563"/>
      <c r="D83" s="563"/>
      <c r="E83" s="563"/>
      <c r="F83" s="563"/>
      <c r="G83" s="563"/>
      <c r="H83" s="563"/>
      <c r="I83" s="563"/>
      <c r="J83" s="563"/>
      <c r="K83" s="563"/>
      <c r="L83" s="563"/>
      <c r="M83" s="563"/>
      <c r="N83" s="563"/>
      <c r="O83" s="589"/>
      <c r="P83" s="589"/>
      <c r="U83" s="589"/>
    </row>
    <row r="84" spans="2:28" s="565" customFormat="1">
      <c r="B84" s="562"/>
      <c r="C84" s="106" t="str">
        <f>CHOOSE(jezyk,n!A1492,n!B1492,n!C1492,n!D1488)</f>
        <v>Siedzibą Spółki jest Warszawa 02-595, ul. ul. Puławska 99</v>
      </c>
      <c r="D84" s="563"/>
      <c r="E84" s="563"/>
      <c r="F84" s="563"/>
      <c r="G84" s="563"/>
      <c r="H84" s="563"/>
      <c r="I84" s="563"/>
      <c r="J84" s="563"/>
      <c r="K84" s="563"/>
      <c r="L84" s="563"/>
      <c r="M84" s="563"/>
      <c r="N84" s="563"/>
      <c r="O84" s="589"/>
      <c r="P84" s="589"/>
      <c r="U84" s="589"/>
    </row>
    <row r="85" spans="2:28" s="565" customFormat="1">
      <c r="B85" s="562"/>
      <c r="C85" s="563"/>
      <c r="D85" s="563"/>
      <c r="E85" s="563"/>
      <c r="F85" s="563"/>
      <c r="G85" s="563"/>
      <c r="H85" s="563"/>
      <c r="I85" s="563"/>
      <c r="J85" s="563"/>
      <c r="K85" s="563"/>
      <c r="L85" s="563"/>
      <c r="M85" s="563"/>
      <c r="N85" s="563"/>
      <c r="O85" s="589"/>
      <c r="P85" s="589"/>
      <c r="U85" s="589"/>
    </row>
    <row r="86" spans="2:28" s="565" customFormat="1" ht="42.75" customHeight="1">
      <c r="B86" s="562"/>
      <c r="C86" s="1172" t="str">
        <f>CHOOSE(jezyk,n!A1658,n!B1658,n!C1658,n!D1654)</f>
        <v>Podstawą działalności Spółki jest umowa Spółki z dnia ……………..,  sporządzona w (nawa kancelarii) w (miasto) pod sygnaturą akt Repertorium ……………. wraz z późniejszymi zmianami.</v>
      </c>
      <c r="D86" s="1172"/>
      <c r="E86" s="1172"/>
      <c r="F86" s="1172"/>
      <c r="G86" s="1172"/>
      <c r="H86" s="1172"/>
      <c r="I86" s="1172"/>
      <c r="J86" s="1172"/>
      <c r="K86" s="1172"/>
      <c r="L86" s="1172"/>
      <c r="M86" s="1172"/>
      <c r="N86" s="1172"/>
      <c r="O86" s="1172"/>
      <c r="P86" s="1172"/>
      <c r="Q86" s="1172"/>
      <c r="R86" s="1172"/>
      <c r="S86" s="1172"/>
      <c r="T86" s="1172"/>
      <c r="U86" s="1172"/>
      <c r="V86" s="1172"/>
      <c r="Y86" s="566"/>
      <c r="Z86" s="566"/>
      <c r="AA86" s="566"/>
      <c r="AB86" s="566"/>
    </row>
    <row r="87" spans="2:28" s="565" customFormat="1" ht="12.75" customHeight="1">
      <c r="B87" s="591"/>
      <c r="C87" s="591"/>
      <c r="D87" s="591"/>
      <c r="E87" s="591"/>
      <c r="F87" s="591"/>
      <c r="G87" s="591"/>
      <c r="H87" s="591"/>
      <c r="I87" s="591"/>
      <c r="J87" s="591"/>
      <c r="K87" s="591"/>
      <c r="L87" s="591"/>
      <c r="M87" s="591"/>
      <c r="N87" s="591"/>
      <c r="O87" s="591"/>
      <c r="P87" s="591"/>
      <c r="Q87" s="591"/>
      <c r="R87" s="591"/>
      <c r="S87" s="591"/>
      <c r="T87" s="591"/>
      <c r="U87" s="591"/>
      <c r="V87" s="591"/>
      <c r="Y87" s="566"/>
      <c r="Z87" s="566"/>
      <c r="AA87" s="566"/>
      <c r="AB87" s="566"/>
    </row>
    <row r="88" spans="2:28" s="565" customFormat="1">
      <c r="B88" s="584" t="str">
        <f>CHOOSE(jezyk,n!A1493,n!B1493,n!C1493,n!D1489)</f>
        <v>Kapitał zakładowy</v>
      </c>
      <c r="C88" s="563"/>
      <c r="D88" s="563"/>
      <c r="E88" s="563"/>
      <c r="F88" s="563"/>
      <c r="G88" s="563"/>
      <c r="H88" s="563"/>
      <c r="I88" s="563"/>
      <c r="J88" s="563"/>
      <c r="K88" s="563"/>
      <c r="L88" s="563"/>
      <c r="M88" s="563"/>
      <c r="N88" s="563"/>
      <c r="O88" s="589"/>
      <c r="P88" s="589"/>
      <c r="U88" s="589"/>
    </row>
    <row r="89" spans="2:28" s="565" customFormat="1">
      <c r="B89" s="562"/>
      <c r="C89" s="563"/>
      <c r="D89" s="563"/>
      <c r="E89" s="563"/>
      <c r="F89" s="563"/>
      <c r="G89" s="563"/>
      <c r="H89" s="563"/>
      <c r="I89" s="563"/>
      <c r="J89" s="563"/>
      <c r="K89" s="563"/>
      <c r="L89" s="563"/>
      <c r="M89" s="563"/>
      <c r="N89" s="563"/>
      <c r="O89" s="563"/>
      <c r="P89" s="563"/>
      <c r="Q89" s="563"/>
      <c r="R89" s="563"/>
      <c r="S89" s="563"/>
      <c r="T89" s="563"/>
      <c r="U89" s="563"/>
      <c r="V89" s="563"/>
      <c r="Y89" s="566"/>
      <c r="Z89" s="566"/>
      <c r="AA89" s="566"/>
      <c r="AB89" s="566"/>
    </row>
    <row r="90" spans="2:28" s="565" customFormat="1" ht="25.5" customHeight="1">
      <c r="B90" s="562"/>
      <c r="C90" s="1172" t="str">
        <f>CHOOSE(jezyk,n!A1660,n!B1660,n!C1660,n!D1656)</f>
        <v>Kapitał zakładowy Spółki  wynosi PLN ………….... Składa się z ………. akcji o wartości nominalnej PLN ………. każdy.</v>
      </c>
      <c r="D90" s="1172"/>
      <c r="E90" s="1172"/>
      <c r="F90" s="1172"/>
      <c r="G90" s="1172"/>
      <c r="H90" s="1172"/>
      <c r="I90" s="1172"/>
      <c r="J90" s="1172"/>
      <c r="K90" s="1172"/>
      <c r="L90" s="1172"/>
      <c r="M90" s="1172"/>
      <c r="N90" s="1172"/>
      <c r="O90" s="1172"/>
      <c r="P90" s="1172"/>
      <c r="Q90" s="1172"/>
      <c r="R90" s="1172"/>
      <c r="S90" s="1172"/>
      <c r="T90" s="1172"/>
      <c r="U90" s="1172"/>
      <c r="V90" s="1172"/>
      <c r="Y90" s="566"/>
      <c r="Z90" s="566"/>
      <c r="AA90" s="566"/>
      <c r="AB90" s="566"/>
    </row>
    <row r="91" spans="2:28" s="565" customFormat="1">
      <c r="B91" s="562"/>
      <c r="C91" s="563"/>
      <c r="D91" s="563"/>
      <c r="E91" s="563"/>
      <c r="F91" s="563"/>
      <c r="G91" s="563"/>
      <c r="H91" s="563"/>
      <c r="I91" s="563"/>
      <c r="J91" s="563"/>
      <c r="K91" s="563"/>
      <c r="L91" s="563"/>
      <c r="M91" s="563"/>
      <c r="N91" s="563"/>
      <c r="O91" s="563"/>
      <c r="P91" s="563"/>
      <c r="Q91" s="563"/>
      <c r="R91" s="563"/>
      <c r="S91" s="563"/>
      <c r="T91" s="563"/>
      <c r="U91" s="563"/>
      <c r="V91" s="563"/>
      <c r="Y91" s="566"/>
      <c r="Z91" s="566"/>
      <c r="AA91" s="566"/>
      <c r="AB91" s="566"/>
    </row>
    <row r="92" spans="2:28" s="565" customFormat="1" ht="35.25" customHeight="1">
      <c r="B92" s="562"/>
      <c r="C92" s="1172" t="s">
        <v>6913</v>
      </c>
      <c r="D92" s="1172"/>
      <c r="E92" s="1172"/>
      <c r="F92" s="1172"/>
      <c r="G92" s="1172"/>
      <c r="H92" s="1172"/>
      <c r="I92" s="1172"/>
      <c r="J92" s="1172"/>
      <c r="K92" s="1172"/>
      <c r="L92" s="1172"/>
      <c r="M92" s="1172"/>
      <c r="N92" s="1172"/>
      <c r="O92" s="1172"/>
      <c r="P92" s="1172"/>
      <c r="Q92" s="1172"/>
      <c r="R92" s="1172"/>
      <c r="S92" s="1172"/>
      <c r="T92" s="1172"/>
      <c r="U92" s="1172"/>
      <c r="V92" s="1172"/>
      <c r="Y92" s="566"/>
      <c r="Z92" s="566"/>
      <c r="AA92" s="566"/>
      <c r="AB92" s="566"/>
    </row>
    <row r="93" spans="2:28" s="565" customFormat="1">
      <c r="B93" s="562"/>
      <c r="C93" s="563"/>
      <c r="D93" s="563"/>
      <c r="E93" s="563"/>
      <c r="F93" s="563"/>
      <c r="G93" s="563"/>
      <c r="H93" s="563"/>
      <c r="I93" s="563"/>
      <c r="J93" s="563"/>
      <c r="K93" s="563"/>
      <c r="L93" s="563"/>
      <c r="M93" s="563"/>
      <c r="N93" s="563"/>
      <c r="O93" s="563"/>
      <c r="P93" s="563"/>
      <c r="Q93" s="563"/>
      <c r="R93" s="563"/>
      <c r="S93" s="563"/>
      <c r="T93" s="563"/>
      <c r="U93" s="563"/>
      <c r="V93" s="563"/>
      <c r="Y93" s="566"/>
      <c r="Z93" s="566"/>
      <c r="AA93" s="566"/>
      <c r="AB93" s="566"/>
    </row>
    <row r="94" spans="2:28" s="565" customFormat="1">
      <c r="B94" s="584" t="str">
        <f>CHOOSE(jezyk,n!A1672,n!B1672,n!C1672,n!D1668)</f>
        <v>Zarząd i przedstawicielstwo</v>
      </c>
      <c r="C94" s="563"/>
      <c r="D94" s="563"/>
      <c r="E94" s="563"/>
      <c r="F94" s="563"/>
      <c r="G94" s="563"/>
      <c r="H94" s="563"/>
      <c r="I94" s="563"/>
      <c r="J94" s="563"/>
      <c r="K94" s="563"/>
      <c r="L94" s="563"/>
      <c r="M94" s="563"/>
      <c r="N94" s="563"/>
      <c r="O94" s="589"/>
      <c r="P94" s="589"/>
      <c r="U94" s="589"/>
    </row>
    <row r="95" spans="2:28" s="565" customFormat="1">
      <c r="B95" s="562"/>
      <c r="C95" s="563"/>
      <c r="D95" s="563"/>
      <c r="E95" s="563"/>
      <c r="F95" s="563"/>
      <c r="G95" s="563"/>
      <c r="H95" s="563"/>
      <c r="I95" s="563"/>
      <c r="J95" s="563"/>
      <c r="K95" s="563"/>
      <c r="L95" s="563"/>
      <c r="M95" s="563"/>
      <c r="N95" s="563"/>
      <c r="O95" s="589"/>
      <c r="P95" s="589"/>
      <c r="U95" s="589"/>
    </row>
    <row r="96" spans="2:28" s="565" customFormat="1">
      <c r="B96" s="562"/>
      <c r="C96" s="563" t="str">
        <f>CHOOSE(jezyk,n!A1495,n!B1495,n!C1495,n!D1491)</f>
        <v>W okresie sprawozdawczym Zarząd sprawowali:</v>
      </c>
      <c r="D96" s="563"/>
      <c r="E96" s="563"/>
      <c r="F96" s="563"/>
      <c r="G96" s="563"/>
      <c r="H96" s="563"/>
      <c r="I96" s="563"/>
      <c r="J96" s="563"/>
      <c r="K96" s="563"/>
      <c r="L96" s="563"/>
      <c r="M96" s="563"/>
      <c r="N96" s="563"/>
      <c r="O96" s="589"/>
      <c r="P96" s="589"/>
      <c r="U96" s="589"/>
    </row>
    <row r="97" spans="2:21" s="565" customFormat="1">
      <c r="B97" s="562"/>
      <c r="C97" s="563"/>
      <c r="D97" s="563"/>
      <c r="E97" s="563"/>
      <c r="F97" s="563"/>
      <c r="G97" s="563"/>
      <c r="H97" s="563"/>
      <c r="I97" s="563"/>
      <c r="J97" s="563"/>
      <c r="K97" s="563"/>
      <c r="L97" s="563"/>
      <c r="M97" s="563"/>
      <c r="N97" s="563"/>
      <c r="O97" s="589"/>
      <c r="P97" s="589"/>
      <c r="U97" s="589"/>
    </row>
    <row r="98" spans="2:21" s="565" customFormat="1">
      <c r="B98" s="562"/>
      <c r="C98" s="563"/>
      <c r="D98" s="563"/>
      <c r="E98" s="1171" t="str">
        <f>CHOOSE(jezyk,n!A1662,n!B1662,n!C1662,n!D1658)</f>
        <v>Pan/Pani</v>
      </c>
      <c r="F98" s="1171"/>
      <c r="G98" s="1171"/>
      <c r="H98" s="1171"/>
      <c r="I98" s="1171"/>
      <c r="J98" s="1171"/>
      <c r="K98" s="1171"/>
      <c r="L98" s="1171"/>
      <c r="M98" s="1171"/>
      <c r="N98" s="563"/>
      <c r="O98" s="589"/>
      <c r="P98" s="589"/>
      <c r="U98" s="589"/>
    </row>
    <row r="99" spans="2:21" s="565" customFormat="1">
      <c r="B99" s="562"/>
      <c r="C99" s="563"/>
      <c r="D99" s="563"/>
      <c r="E99" s="563"/>
      <c r="F99" s="563"/>
      <c r="G99" s="563"/>
      <c r="H99" s="563"/>
      <c r="I99" s="563"/>
      <c r="J99" s="563"/>
      <c r="K99" s="563"/>
      <c r="L99" s="563"/>
      <c r="M99" s="563"/>
      <c r="N99" s="563"/>
      <c r="O99" s="589"/>
      <c r="P99" s="589"/>
      <c r="U99" s="589"/>
    </row>
    <row r="100" spans="2:21" s="565" customFormat="1">
      <c r="B100" s="562"/>
      <c r="C100" s="563"/>
      <c r="D100" s="563"/>
      <c r="E100" s="1171" t="str">
        <f>CHOOSE(jezyk,n!A1662,n!B1662,n!C1662,n!D1658)</f>
        <v>Pan/Pani</v>
      </c>
      <c r="F100" s="1171"/>
      <c r="G100" s="1171"/>
      <c r="H100" s="1171"/>
      <c r="I100" s="1171"/>
      <c r="J100" s="1171"/>
      <c r="K100" s="1171"/>
      <c r="L100" s="1171"/>
      <c r="M100" s="1171"/>
      <c r="N100" s="563"/>
      <c r="O100" s="589"/>
      <c r="P100" s="589"/>
      <c r="U100" s="589"/>
    </row>
    <row r="101" spans="2:21" s="565" customFormat="1">
      <c r="B101" s="562"/>
      <c r="C101" s="563"/>
      <c r="D101" s="563"/>
      <c r="E101" s="563"/>
      <c r="F101" s="563"/>
      <c r="G101" s="563"/>
      <c r="H101" s="563"/>
      <c r="I101" s="563"/>
      <c r="J101" s="563"/>
      <c r="K101" s="563"/>
      <c r="L101" s="563"/>
      <c r="M101" s="563"/>
      <c r="N101" s="563"/>
      <c r="O101" s="589"/>
      <c r="P101" s="589"/>
      <c r="U101" s="589"/>
    </row>
    <row r="102" spans="2:21" s="565" customFormat="1">
      <c r="B102" s="584" t="str">
        <f>CHOOSE(jezyk,n!A1496,n!B1496,n!C1496,n!D1492)</f>
        <v>Rada Nadzorcza</v>
      </c>
      <c r="C102" s="563"/>
      <c r="D102" s="563"/>
      <c r="E102" s="563"/>
      <c r="F102" s="563"/>
      <c r="G102" s="563"/>
      <c r="H102" s="563"/>
      <c r="I102" s="563"/>
      <c r="J102" s="563"/>
      <c r="K102" s="563"/>
      <c r="L102" s="563"/>
      <c r="M102" s="563"/>
      <c r="N102" s="563"/>
      <c r="O102" s="589"/>
      <c r="P102" s="589"/>
      <c r="U102" s="589"/>
    </row>
    <row r="103" spans="2:21" s="565" customFormat="1">
      <c r="B103" s="562"/>
      <c r="C103" s="563"/>
      <c r="D103" s="563"/>
      <c r="E103" s="563"/>
      <c r="F103" s="563"/>
      <c r="G103" s="563"/>
      <c r="H103" s="563"/>
      <c r="I103" s="563"/>
      <c r="J103" s="563"/>
      <c r="K103" s="563"/>
      <c r="L103" s="563"/>
      <c r="M103" s="563"/>
      <c r="N103" s="563"/>
      <c r="O103" s="589"/>
      <c r="P103" s="589"/>
      <c r="U103" s="589"/>
    </row>
    <row r="104" spans="2:21" s="565" customFormat="1">
      <c r="B104" s="562"/>
      <c r="C104" s="563" t="str">
        <f>CHOOSE(jezyk,n!A1497,n!B1497,n!C1497,n!D1493)</f>
        <v>W Radzie Nadzorczej zasiadają:</v>
      </c>
      <c r="D104" s="563"/>
      <c r="E104" s="563"/>
      <c r="F104" s="563"/>
      <c r="G104" s="563"/>
      <c r="H104" s="563"/>
      <c r="I104" s="563"/>
      <c r="J104" s="563"/>
      <c r="K104" s="563"/>
      <c r="L104" s="563"/>
      <c r="M104" s="563"/>
      <c r="N104" s="563"/>
      <c r="O104" s="589"/>
      <c r="P104" s="589"/>
      <c r="U104" s="589"/>
    </row>
    <row r="105" spans="2:21" s="565" customFormat="1">
      <c r="B105" s="562"/>
      <c r="C105" s="563"/>
      <c r="D105" s="563"/>
      <c r="E105" s="563"/>
      <c r="F105" s="563"/>
      <c r="G105" s="563"/>
      <c r="H105" s="563"/>
      <c r="I105" s="563"/>
      <c r="J105" s="563"/>
      <c r="K105" s="563"/>
      <c r="L105" s="563"/>
      <c r="M105" s="563"/>
      <c r="N105" s="563"/>
      <c r="O105" s="589"/>
      <c r="P105" s="589"/>
      <c r="U105" s="589"/>
    </row>
    <row r="106" spans="2:21" s="565" customFormat="1">
      <c r="B106" s="562"/>
      <c r="C106" s="563"/>
      <c r="D106" s="563"/>
      <c r="E106" s="1171" t="str">
        <f>CHOOSE(jezyk,n!A1662,n!B1662,n!C1662,n!D1658)</f>
        <v>Pan/Pani</v>
      </c>
      <c r="F106" s="1171"/>
      <c r="G106" s="1171"/>
      <c r="H106" s="1171"/>
      <c r="I106" s="1171"/>
      <c r="J106" s="1171"/>
      <c r="K106" s="1171"/>
      <c r="L106" s="1171"/>
      <c r="M106" s="1171"/>
      <c r="N106" s="563"/>
      <c r="O106" s="589"/>
      <c r="P106" s="589"/>
      <c r="U106" s="589"/>
    </row>
    <row r="107" spans="2:21" s="565" customFormat="1">
      <c r="B107" s="562"/>
      <c r="C107" s="563"/>
      <c r="D107" s="563"/>
      <c r="E107" s="563"/>
      <c r="F107" s="563"/>
      <c r="G107" s="563"/>
      <c r="H107" s="563"/>
      <c r="I107" s="563"/>
      <c r="J107" s="563"/>
      <c r="K107" s="563"/>
      <c r="L107" s="563"/>
      <c r="M107" s="563"/>
      <c r="N107" s="563"/>
      <c r="O107" s="589"/>
      <c r="P107" s="589"/>
      <c r="U107" s="589"/>
    </row>
    <row r="108" spans="2:21" s="565" customFormat="1">
      <c r="B108" s="562"/>
      <c r="C108" s="563"/>
      <c r="D108" s="563"/>
      <c r="E108" s="1171" t="str">
        <f>CHOOSE(jezyk,n!A1662,n!B1662,n!C1662,n!D1658)</f>
        <v>Pan/Pani</v>
      </c>
      <c r="F108" s="1171"/>
      <c r="G108" s="1171"/>
      <c r="H108" s="1171"/>
      <c r="I108" s="1171"/>
      <c r="J108" s="1171"/>
      <c r="K108" s="1171"/>
      <c r="L108" s="1171"/>
      <c r="M108" s="1171"/>
      <c r="N108" s="563"/>
      <c r="O108" s="589"/>
      <c r="P108" s="589"/>
      <c r="U108" s="589"/>
    </row>
    <row r="109" spans="2:21" s="565" customFormat="1">
      <c r="B109" s="562"/>
      <c r="C109" s="563"/>
      <c r="D109" s="563"/>
      <c r="E109" s="563"/>
      <c r="F109" s="563"/>
      <c r="G109" s="563"/>
      <c r="H109" s="563"/>
      <c r="I109" s="563"/>
      <c r="J109" s="563"/>
      <c r="K109" s="563"/>
      <c r="L109" s="563"/>
      <c r="M109" s="563"/>
      <c r="N109" s="563"/>
      <c r="O109" s="589"/>
      <c r="P109" s="589"/>
      <c r="U109" s="589"/>
    </row>
    <row r="110" spans="2:21" s="565" customFormat="1">
      <c r="B110" s="562"/>
      <c r="C110" s="563"/>
      <c r="D110" s="563"/>
      <c r="E110" s="1171" t="str">
        <f>CHOOSE(jezyk,n!A1662,n!B1662,n!C1662,n!D1658)</f>
        <v>Pan/Pani</v>
      </c>
      <c r="F110" s="1171"/>
      <c r="G110" s="1171"/>
      <c r="H110" s="1171"/>
      <c r="I110" s="1171"/>
      <c r="J110" s="1171"/>
      <c r="K110" s="1171"/>
      <c r="L110" s="1171"/>
      <c r="M110" s="1171"/>
      <c r="N110" s="563"/>
      <c r="O110" s="589"/>
      <c r="P110" s="589"/>
      <c r="U110" s="589"/>
    </row>
    <row r="111" spans="2:21" s="565" customFormat="1">
      <c r="B111" s="562"/>
      <c r="C111" s="563"/>
      <c r="D111" s="563"/>
      <c r="N111" s="563"/>
      <c r="O111" s="589"/>
      <c r="P111" s="589"/>
      <c r="U111" s="589"/>
    </row>
    <row r="112" spans="2:21" s="565" customFormat="1">
      <c r="B112" s="562"/>
      <c r="C112" s="563"/>
      <c r="D112" s="563"/>
      <c r="E112" s="563"/>
      <c r="F112" s="563"/>
      <c r="G112" s="563"/>
      <c r="H112" s="563"/>
      <c r="I112" s="563"/>
      <c r="J112" s="563"/>
      <c r="K112" s="563"/>
      <c r="L112" s="563"/>
      <c r="M112" s="563"/>
      <c r="N112" s="563"/>
      <c r="O112" s="589"/>
      <c r="P112" s="589"/>
      <c r="U112" s="589"/>
    </row>
    <row r="113" spans="2:23" s="565" customFormat="1">
      <c r="B113" s="584" t="str">
        <f>CHOOSE(jezyk,n!A1498,n!B1498,n!C1498,n!D1494)</f>
        <v>Przedmiot działalności jednostki</v>
      </c>
      <c r="C113" s="563"/>
      <c r="D113" s="563"/>
      <c r="E113" s="563"/>
      <c r="F113" s="563"/>
      <c r="G113" s="563"/>
      <c r="H113" s="563"/>
      <c r="I113" s="563"/>
      <c r="J113" s="563"/>
      <c r="K113" s="563"/>
      <c r="L113" s="563"/>
      <c r="M113" s="563"/>
      <c r="N113" s="563"/>
      <c r="O113" s="589"/>
      <c r="P113" s="589"/>
      <c r="U113" s="589"/>
    </row>
    <row r="114" spans="2:23" s="565" customFormat="1">
      <c r="B114" s="562"/>
      <c r="C114" s="563"/>
      <c r="D114" s="563"/>
      <c r="E114" s="563"/>
      <c r="F114" s="563"/>
      <c r="G114" s="563"/>
      <c r="H114" s="563"/>
      <c r="I114" s="563"/>
      <c r="J114" s="563"/>
      <c r="K114" s="563"/>
      <c r="L114" s="563"/>
      <c r="M114" s="563"/>
      <c r="N114" s="563"/>
      <c r="O114" s="589"/>
      <c r="P114" s="589"/>
      <c r="U114" s="589"/>
    </row>
    <row r="115" spans="2:23" s="565" customFormat="1">
      <c r="B115" s="562"/>
      <c r="C115" s="563" t="str">
        <f>CHOOSE(jezyk,n!A1499,n!B1499,n!C1499,n!D1495)</f>
        <v>Przedmiotem działalności jednostki jest:</v>
      </c>
      <c r="D115" s="563"/>
      <c r="E115" s="563"/>
      <c r="F115" s="563"/>
      <c r="G115" s="563"/>
      <c r="H115" s="563"/>
      <c r="I115" s="563"/>
      <c r="J115" s="563"/>
      <c r="K115" s="563"/>
      <c r="L115" s="563"/>
      <c r="M115" s="563"/>
      <c r="N115" s="563"/>
      <c r="O115" s="589"/>
      <c r="P115" s="589"/>
      <c r="U115" s="589"/>
      <c r="W115" s="590"/>
    </row>
    <row r="116" spans="2:23" s="565" customFormat="1" ht="14.25" customHeight="1">
      <c r="B116" s="562"/>
      <c r="C116" s="563"/>
      <c r="D116" s="563"/>
      <c r="E116" s="563"/>
      <c r="F116" s="563"/>
      <c r="G116" s="563"/>
      <c r="H116" s="563"/>
      <c r="I116" s="563"/>
      <c r="J116" s="563"/>
      <c r="K116" s="563"/>
      <c r="L116" s="563"/>
      <c r="M116" s="563"/>
      <c r="N116" s="563"/>
      <c r="O116" s="589"/>
      <c r="P116" s="589"/>
      <c r="U116" s="589"/>
    </row>
    <row r="117" spans="2:23" s="565" customFormat="1">
      <c r="B117" s="562"/>
      <c r="C117" s="592" t="s">
        <v>6547</v>
      </c>
      <c r="D117" s="1177"/>
      <c r="E117" s="1177"/>
      <c r="F117" s="1177"/>
      <c r="G117" s="1177"/>
      <c r="H117" s="1177"/>
      <c r="I117" s="1177"/>
      <c r="J117" s="1177"/>
      <c r="K117" s="1177"/>
      <c r="L117" s="1177"/>
      <c r="M117" s="1177"/>
      <c r="N117" s="1177"/>
      <c r="O117" s="1177"/>
      <c r="P117" s="1177"/>
      <c r="Q117" s="1177"/>
      <c r="R117" s="1177"/>
      <c r="S117" s="1177"/>
    </row>
    <row r="118" spans="2:23" s="565" customFormat="1" ht="14.25" customHeight="1">
      <c r="B118" s="562"/>
      <c r="C118" s="563"/>
      <c r="D118" s="563"/>
      <c r="E118" s="563"/>
      <c r="F118" s="563"/>
      <c r="G118" s="563"/>
      <c r="H118" s="563"/>
      <c r="I118" s="563"/>
      <c r="J118" s="563"/>
      <c r="K118" s="563"/>
      <c r="L118" s="563"/>
      <c r="M118" s="563"/>
      <c r="N118" s="563"/>
      <c r="O118" s="589"/>
      <c r="P118" s="589"/>
      <c r="U118" s="589"/>
    </row>
    <row r="119" spans="2:23" s="565" customFormat="1">
      <c r="B119" s="562"/>
      <c r="C119" s="592" t="s">
        <v>6547</v>
      </c>
      <c r="D119" s="1177"/>
      <c r="E119" s="1177"/>
      <c r="F119" s="1177"/>
      <c r="G119" s="1177"/>
      <c r="H119" s="1177"/>
      <c r="I119" s="1177"/>
      <c r="J119" s="1177"/>
      <c r="K119" s="1177"/>
      <c r="L119" s="1177"/>
      <c r="M119" s="1177"/>
      <c r="N119" s="1177"/>
      <c r="O119" s="1177"/>
      <c r="P119" s="1177"/>
      <c r="Q119" s="1177"/>
      <c r="R119" s="1177"/>
      <c r="S119" s="1177"/>
      <c r="U119" s="589"/>
    </row>
    <row r="120" spans="2:23" s="565" customFormat="1" ht="14.25" customHeight="1">
      <c r="B120" s="562"/>
      <c r="C120" s="563"/>
      <c r="D120" s="563"/>
      <c r="E120" s="563"/>
      <c r="F120" s="563"/>
      <c r="G120" s="563"/>
      <c r="H120" s="563"/>
      <c r="I120" s="563"/>
      <c r="J120" s="563"/>
      <c r="K120" s="563"/>
      <c r="L120" s="563"/>
      <c r="M120" s="563"/>
      <c r="N120" s="563"/>
      <c r="O120" s="589"/>
      <c r="P120" s="589"/>
      <c r="U120" s="589"/>
    </row>
    <row r="121" spans="2:23" s="565" customFormat="1">
      <c r="B121" s="562"/>
      <c r="C121" s="592" t="s">
        <v>6547</v>
      </c>
      <c r="D121" s="1177"/>
      <c r="E121" s="1177"/>
      <c r="F121" s="1177"/>
      <c r="G121" s="1177"/>
      <c r="H121" s="1177"/>
      <c r="I121" s="1177"/>
      <c r="J121" s="1177"/>
      <c r="K121" s="1177"/>
      <c r="L121" s="1177"/>
      <c r="M121" s="1177"/>
      <c r="N121" s="1177"/>
      <c r="O121" s="1177"/>
      <c r="P121" s="1177"/>
      <c r="Q121" s="1177"/>
      <c r="R121" s="1177"/>
      <c r="S121" s="1177"/>
      <c r="U121" s="589"/>
    </row>
    <row r="122" spans="2:23" s="565" customFormat="1" ht="14.25" customHeight="1">
      <c r="B122" s="562"/>
      <c r="C122" s="563"/>
      <c r="D122" s="563"/>
      <c r="E122" s="563"/>
      <c r="F122" s="563"/>
      <c r="G122" s="563"/>
      <c r="H122" s="563"/>
      <c r="I122" s="563"/>
      <c r="J122" s="563"/>
      <c r="K122" s="563"/>
      <c r="L122" s="563"/>
      <c r="M122" s="563"/>
      <c r="N122" s="563"/>
      <c r="O122" s="589"/>
      <c r="P122" s="589"/>
      <c r="U122" s="589"/>
    </row>
    <row r="123" spans="2:23" s="565" customFormat="1">
      <c r="B123" s="562"/>
      <c r="C123" s="593" t="s">
        <v>6547</v>
      </c>
      <c r="D123" s="1188"/>
      <c r="E123" s="1188"/>
      <c r="F123" s="1188"/>
      <c r="G123" s="1188"/>
      <c r="H123" s="1188"/>
      <c r="I123" s="1188"/>
      <c r="J123" s="1188"/>
      <c r="K123" s="1188"/>
      <c r="L123" s="1188"/>
      <c r="M123" s="1188"/>
      <c r="N123" s="1188"/>
      <c r="O123" s="1188"/>
      <c r="P123" s="1188"/>
      <c r="Q123" s="1188"/>
      <c r="R123" s="1188"/>
      <c r="S123" s="1188"/>
      <c r="T123" s="594"/>
      <c r="U123" s="594"/>
      <c r="V123" s="594"/>
    </row>
    <row r="124" spans="2:23" s="565" customFormat="1" ht="14.25" customHeight="1">
      <c r="B124" s="562"/>
      <c r="C124" s="563"/>
      <c r="D124" s="563"/>
      <c r="E124" s="563"/>
      <c r="F124" s="563"/>
      <c r="G124" s="563"/>
      <c r="H124" s="563"/>
      <c r="I124" s="563"/>
      <c r="J124" s="563"/>
      <c r="K124" s="563"/>
      <c r="L124" s="563"/>
      <c r="M124" s="563"/>
      <c r="N124" s="563"/>
      <c r="O124" s="589"/>
      <c r="P124" s="589"/>
      <c r="U124" s="589"/>
    </row>
    <row r="125" spans="2:23" s="565" customFormat="1">
      <c r="B125" s="562"/>
      <c r="C125" s="592" t="s">
        <v>6547</v>
      </c>
      <c r="D125" s="1177"/>
      <c r="E125" s="1177"/>
      <c r="F125" s="1177"/>
      <c r="G125" s="1177"/>
      <c r="H125" s="1177"/>
      <c r="I125" s="1177"/>
      <c r="J125" s="1177"/>
      <c r="K125" s="1177"/>
      <c r="L125" s="1177"/>
      <c r="M125" s="1177"/>
      <c r="N125" s="1177"/>
      <c r="O125" s="1177"/>
      <c r="P125" s="1177"/>
      <c r="Q125" s="1177"/>
      <c r="R125" s="1177"/>
      <c r="S125" s="1177"/>
      <c r="U125" s="589"/>
    </row>
    <row r="126" spans="2:23" s="565" customFormat="1" ht="14.25" customHeight="1">
      <c r="B126" s="562"/>
      <c r="C126" s="563"/>
      <c r="D126" s="563"/>
      <c r="E126" s="563"/>
      <c r="F126" s="563"/>
      <c r="G126" s="563"/>
      <c r="H126" s="563"/>
      <c r="I126" s="563"/>
      <c r="J126" s="563"/>
      <c r="K126" s="563"/>
      <c r="L126" s="563"/>
      <c r="M126" s="563"/>
      <c r="N126" s="563"/>
      <c r="O126" s="589"/>
      <c r="P126" s="589"/>
      <c r="U126" s="589"/>
    </row>
    <row r="127" spans="2:23" s="565" customFormat="1">
      <c r="B127" s="562"/>
      <c r="C127" s="592" t="s">
        <v>6547</v>
      </c>
      <c r="D127" s="1171"/>
      <c r="E127" s="1171"/>
      <c r="F127" s="1171"/>
      <c r="G127" s="1171"/>
      <c r="H127" s="1171"/>
      <c r="I127" s="1171"/>
      <c r="J127" s="1171"/>
      <c r="K127" s="1171"/>
      <c r="L127" s="1171"/>
      <c r="M127" s="1171"/>
      <c r="N127" s="1171"/>
      <c r="O127" s="1171"/>
      <c r="P127" s="1171"/>
      <c r="Q127" s="1171"/>
      <c r="R127" s="1171"/>
      <c r="S127" s="1171"/>
      <c r="U127" s="589"/>
    </row>
    <row r="128" spans="2:23" s="565" customFormat="1" ht="14.25" customHeight="1">
      <c r="B128" s="562"/>
      <c r="C128" s="563"/>
      <c r="D128" s="563"/>
      <c r="E128" s="563"/>
      <c r="F128" s="563"/>
      <c r="G128" s="563"/>
      <c r="H128" s="563"/>
      <c r="I128" s="563"/>
      <c r="J128" s="563"/>
      <c r="K128" s="563"/>
      <c r="L128" s="563"/>
      <c r="M128" s="563"/>
      <c r="N128" s="563"/>
      <c r="O128" s="589"/>
      <c r="P128" s="589"/>
      <c r="U128" s="589"/>
    </row>
    <row r="129" spans="2:28" s="565" customFormat="1">
      <c r="B129" s="562"/>
      <c r="C129" s="592" t="s">
        <v>6547</v>
      </c>
      <c r="D129" s="1171"/>
      <c r="E129" s="1171"/>
      <c r="F129" s="1171"/>
      <c r="G129" s="1171"/>
      <c r="H129" s="1171"/>
      <c r="I129" s="1171"/>
      <c r="J129" s="1171"/>
      <c r="K129" s="1171"/>
      <c r="L129" s="1171"/>
      <c r="M129" s="1171"/>
      <c r="N129" s="1171"/>
      <c r="O129" s="1171"/>
      <c r="P129" s="1171"/>
      <c r="Q129" s="1171"/>
      <c r="R129" s="1171"/>
      <c r="S129" s="1171"/>
      <c r="U129" s="589"/>
    </row>
    <row r="130" spans="2:28" s="565" customFormat="1" ht="14.25" customHeight="1">
      <c r="B130" s="1174"/>
      <c r="C130" s="1174"/>
      <c r="D130" s="1174"/>
      <c r="E130" s="1174"/>
      <c r="F130" s="1174"/>
      <c r="G130" s="1174"/>
      <c r="H130" s="1174"/>
      <c r="I130" s="1174"/>
      <c r="J130" s="1174"/>
      <c r="K130" s="1174"/>
      <c r="L130" s="1174"/>
      <c r="M130" s="1174"/>
      <c r="N130" s="1174"/>
      <c r="O130" s="1174"/>
      <c r="P130" s="1174"/>
      <c r="Q130" s="1174"/>
      <c r="R130" s="1174"/>
      <c r="S130" s="1174"/>
      <c r="T130" s="1174"/>
      <c r="U130" s="1174"/>
      <c r="V130" s="1174"/>
      <c r="Y130" s="566"/>
      <c r="Z130" s="566"/>
      <c r="AA130" s="566"/>
      <c r="AB130" s="566"/>
    </row>
    <row r="131" spans="2:28" s="565" customFormat="1">
      <c r="B131" s="584" t="str">
        <f>CHOOSE(jezyk,n!A1500,n!B1500,n!C1500,n!D1496)</f>
        <v>Oddziały Spółki</v>
      </c>
      <c r="C131" s="563"/>
      <c r="D131" s="563"/>
      <c r="E131" s="563"/>
      <c r="F131" s="563"/>
      <c r="G131" s="563"/>
      <c r="H131" s="563"/>
      <c r="I131" s="563"/>
      <c r="J131" s="563"/>
      <c r="K131" s="563"/>
      <c r="L131" s="563"/>
      <c r="M131" s="563"/>
      <c r="N131" s="563"/>
      <c r="O131" s="589"/>
      <c r="P131" s="589"/>
      <c r="U131" s="589"/>
    </row>
    <row r="132" spans="2:28" s="565" customFormat="1">
      <c r="B132" s="562"/>
      <c r="C132" s="563"/>
      <c r="D132" s="563"/>
      <c r="E132" s="563"/>
      <c r="F132" s="563"/>
      <c r="G132" s="563"/>
      <c r="H132" s="563"/>
      <c r="I132" s="563"/>
      <c r="J132" s="563"/>
      <c r="K132" s="563"/>
      <c r="L132" s="563"/>
      <c r="M132" s="563"/>
      <c r="N132" s="563"/>
      <c r="O132" s="589"/>
      <c r="P132" s="589"/>
      <c r="U132" s="589"/>
    </row>
    <row r="133" spans="2:28" s="565" customFormat="1">
      <c r="B133" s="562"/>
      <c r="C133" s="592" t="s">
        <v>6547</v>
      </c>
      <c r="D133" s="1171" t="str">
        <f>CHOOSE(jezyk,n!A1663,n!B1663,n!C1663,n!D1659)</f>
        <v>Nazwa oddziału</v>
      </c>
      <c r="E133" s="1171"/>
      <c r="F133" s="1171"/>
      <c r="G133" s="1171"/>
      <c r="H133" s="1171"/>
      <c r="I133" s="1171"/>
      <c r="J133" s="1171"/>
      <c r="K133" s="1171"/>
      <c r="L133" s="1171"/>
      <c r="M133" s="1171"/>
      <c r="N133" s="1171"/>
      <c r="O133" s="1171"/>
      <c r="P133" s="1171"/>
      <c r="Q133" s="1171"/>
      <c r="R133" s="1171"/>
      <c r="S133" s="1171"/>
      <c r="U133" s="589"/>
    </row>
    <row r="134" spans="2:28" s="565" customFormat="1">
      <c r="B134" s="562"/>
      <c r="C134" s="563"/>
      <c r="D134" s="1171" t="str">
        <f>CHOOSE(jezyk,n!A1664,n!B1664,n!C1664,n!D1660)</f>
        <v>Adres oddziału</v>
      </c>
      <c r="E134" s="1171"/>
      <c r="F134" s="1171"/>
      <c r="G134" s="1171"/>
      <c r="H134" s="1171"/>
      <c r="I134" s="1171"/>
      <c r="J134" s="1171"/>
      <c r="K134" s="1171"/>
      <c r="L134" s="1171"/>
      <c r="M134" s="1171"/>
      <c r="N134" s="1171"/>
      <c r="O134" s="1171"/>
      <c r="P134" s="1171"/>
      <c r="Q134" s="1171"/>
      <c r="R134" s="1171"/>
      <c r="S134" s="1171"/>
      <c r="T134" s="563"/>
      <c r="U134" s="563"/>
      <c r="V134" s="563"/>
      <c r="Y134" s="566"/>
      <c r="Z134" s="566"/>
      <c r="AA134" s="566"/>
      <c r="AB134" s="566"/>
    </row>
    <row r="135" spans="2:28" s="565" customFormat="1">
      <c r="B135" s="562"/>
      <c r="C135" s="563"/>
      <c r="D135" s="563"/>
      <c r="E135" s="563"/>
      <c r="F135" s="563"/>
      <c r="G135" s="563"/>
      <c r="H135" s="563"/>
      <c r="I135" s="563"/>
      <c r="J135" s="563"/>
      <c r="K135" s="563"/>
      <c r="L135" s="563"/>
      <c r="M135" s="563"/>
      <c r="N135" s="563"/>
      <c r="O135" s="563"/>
      <c r="P135" s="563"/>
      <c r="Q135" s="563"/>
      <c r="R135" s="563"/>
      <c r="S135" s="563"/>
      <c r="T135" s="563"/>
      <c r="U135" s="563"/>
      <c r="V135" s="563"/>
      <c r="Y135" s="566"/>
      <c r="Z135" s="566"/>
      <c r="AA135" s="566"/>
      <c r="AB135" s="566"/>
    </row>
    <row r="136" spans="2:28" s="565" customFormat="1">
      <c r="B136" s="562"/>
      <c r="C136" s="592" t="s">
        <v>6547</v>
      </c>
      <c r="D136" s="1171" t="str">
        <f>CHOOSE(jezyk,n!A1663,n!B1663,n!C1663,n!D1659)</f>
        <v>Nazwa oddziału</v>
      </c>
      <c r="E136" s="1171"/>
      <c r="F136" s="1171"/>
      <c r="G136" s="1171"/>
      <c r="H136" s="1171"/>
      <c r="I136" s="1171"/>
      <c r="J136" s="1171"/>
      <c r="K136" s="1171"/>
      <c r="L136" s="1171"/>
      <c r="M136" s="1171"/>
      <c r="N136" s="1171"/>
      <c r="O136" s="1171"/>
      <c r="P136" s="1171"/>
      <c r="Q136" s="1171"/>
      <c r="R136" s="1171"/>
      <c r="S136" s="1171"/>
      <c r="T136" s="563"/>
      <c r="U136" s="563"/>
      <c r="V136" s="563"/>
      <c r="Y136" s="566"/>
      <c r="Z136" s="566"/>
      <c r="AA136" s="566"/>
      <c r="AB136" s="566"/>
    </row>
    <row r="137" spans="2:28" s="565" customFormat="1">
      <c r="B137" s="562"/>
      <c r="C137" s="563"/>
      <c r="D137" s="1171" t="str">
        <f>CHOOSE(jezyk,n!A1664,n!B1664,n!C1664,n!D1660)</f>
        <v>Adres oddziału</v>
      </c>
      <c r="E137" s="1171"/>
      <c r="F137" s="1171"/>
      <c r="G137" s="1171"/>
      <c r="H137" s="1171"/>
      <c r="I137" s="1171"/>
      <c r="J137" s="1171"/>
      <c r="K137" s="1171"/>
      <c r="L137" s="1171"/>
      <c r="M137" s="1171"/>
      <c r="N137" s="1171"/>
      <c r="O137" s="1171"/>
      <c r="P137" s="1171"/>
      <c r="Q137" s="1171"/>
      <c r="R137" s="1171"/>
      <c r="S137" s="1171"/>
      <c r="T137" s="563"/>
      <c r="U137" s="563"/>
      <c r="V137" s="563"/>
      <c r="Y137" s="566"/>
      <c r="Z137" s="566"/>
      <c r="AA137" s="566"/>
      <c r="AB137" s="566"/>
    </row>
    <row r="138" spans="2:28" s="565" customFormat="1">
      <c r="B138" s="562"/>
      <c r="C138" s="563"/>
      <c r="D138" s="563"/>
      <c r="E138" s="563"/>
      <c r="F138" s="563"/>
      <c r="G138" s="563"/>
      <c r="H138" s="563"/>
      <c r="I138" s="563"/>
      <c r="J138" s="563"/>
      <c r="K138" s="563"/>
      <c r="L138" s="563"/>
      <c r="M138" s="563"/>
      <c r="N138" s="563"/>
      <c r="O138" s="563"/>
      <c r="P138" s="563"/>
      <c r="Q138" s="563"/>
      <c r="R138" s="563"/>
      <c r="S138" s="563"/>
      <c r="T138" s="563"/>
      <c r="U138" s="563"/>
      <c r="V138" s="563"/>
      <c r="Y138" s="566"/>
      <c r="Z138" s="566"/>
      <c r="AA138" s="566"/>
      <c r="AB138" s="566"/>
    </row>
    <row r="139" spans="2:28" s="565" customFormat="1">
      <c r="B139" s="562"/>
      <c r="C139" s="592" t="s">
        <v>6547</v>
      </c>
      <c r="D139" s="1171" t="str">
        <f>CHOOSE(jezyk,n!A1663,n!B1663,n!C1663,n!D1659)</f>
        <v>Nazwa oddziału</v>
      </c>
      <c r="E139" s="1171"/>
      <c r="F139" s="1171"/>
      <c r="G139" s="1171"/>
      <c r="H139" s="1171"/>
      <c r="I139" s="1171"/>
      <c r="J139" s="1171"/>
      <c r="K139" s="1171"/>
      <c r="L139" s="1171"/>
      <c r="M139" s="1171"/>
      <c r="N139" s="1171"/>
      <c r="O139" s="1171"/>
      <c r="P139" s="1171"/>
      <c r="Q139" s="1171"/>
      <c r="R139" s="1171"/>
      <c r="S139" s="1171"/>
      <c r="T139" s="563"/>
      <c r="U139" s="563"/>
      <c r="V139" s="563"/>
      <c r="Y139" s="566"/>
      <c r="Z139" s="566"/>
      <c r="AA139" s="566"/>
      <c r="AB139" s="566"/>
    </row>
    <row r="140" spans="2:28" s="565" customFormat="1">
      <c r="B140" s="562"/>
      <c r="C140" s="563"/>
      <c r="D140" s="1171" t="str">
        <f>CHOOSE(jezyk,n!A1664,n!B1664,n!C1664,n!D1660)</f>
        <v>Adres oddziału</v>
      </c>
      <c r="E140" s="1171"/>
      <c r="F140" s="1171"/>
      <c r="G140" s="1171"/>
      <c r="H140" s="1171"/>
      <c r="I140" s="1171"/>
      <c r="J140" s="1171"/>
      <c r="K140" s="1171"/>
      <c r="L140" s="1171"/>
      <c r="M140" s="1171"/>
      <c r="N140" s="1171"/>
      <c r="O140" s="1171"/>
      <c r="P140" s="1171"/>
      <c r="Q140" s="1171"/>
      <c r="R140" s="1171"/>
      <c r="S140" s="1171"/>
      <c r="T140" s="563"/>
      <c r="U140" s="563"/>
      <c r="V140" s="563"/>
      <c r="Y140" s="566"/>
      <c r="Z140" s="566"/>
      <c r="AA140" s="566"/>
      <c r="AB140" s="566"/>
    </row>
    <row r="141" spans="2:28" s="565" customFormat="1">
      <c r="B141" s="562"/>
      <c r="C141" s="563"/>
      <c r="D141" s="563"/>
      <c r="E141" s="563"/>
      <c r="F141" s="563"/>
      <c r="G141" s="563"/>
      <c r="H141" s="563"/>
      <c r="I141" s="563"/>
      <c r="J141" s="563"/>
      <c r="K141" s="563"/>
      <c r="L141" s="563"/>
      <c r="M141" s="563"/>
      <c r="N141" s="563"/>
      <c r="O141" s="563"/>
      <c r="P141" s="563"/>
      <c r="Q141" s="563"/>
      <c r="R141" s="563"/>
      <c r="S141" s="563"/>
      <c r="T141" s="563"/>
      <c r="U141" s="563"/>
      <c r="V141" s="563"/>
      <c r="Y141" s="566"/>
      <c r="Z141" s="566"/>
      <c r="AA141" s="566"/>
      <c r="AB141" s="566"/>
    </row>
    <row r="142" spans="2:28" s="565" customFormat="1">
      <c r="B142" s="562"/>
      <c r="C142" s="592" t="s">
        <v>6547</v>
      </c>
      <c r="D142" s="1171" t="str">
        <f>CHOOSE(jezyk,n!A1663,n!B1663,n!C1663,n!D1659)</f>
        <v>Nazwa oddziału</v>
      </c>
      <c r="E142" s="1171"/>
      <c r="F142" s="1171"/>
      <c r="G142" s="1171"/>
      <c r="H142" s="1171"/>
      <c r="I142" s="1171"/>
      <c r="J142" s="1171"/>
      <c r="K142" s="1171"/>
      <c r="L142" s="1171"/>
      <c r="M142" s="1171"/>
      <c r="N142" s="1171"/>
      <c r="O142" s="1171"/>
      <c r="P142" s="1171"/>
      <c r="Q142" s="1171"/>
      <c r="R142" s="1171"/>
      <c r="S142" s="1171"/>
      <c r="T142" s="563"/>
      <c r="U142" s="563"/>
      <c r="V142" s="563"/>
      <c r="Y142" s="566"/>
      <c r="Z142" s="566"/>
      <c r="AA142" s="566"/>
      <c r="AB142" s="566"/>
    </row>
    <row r="143" spans="2:28" s="565" customFormat="1">
      <c r="B143" s="562"/>
      <c r="C143" s="563"/>
      <c r="D143" s="1171" t="str">
        <f>CHOOSE(jezyk,n!A1664,n!B1664,n!C1664,n!D1660)</f>
        <v>Adres oddziału</v>
      </c>
      <c r="E143" s="1171"/>
      <c r="F143" s="1171"/>
      <c r="G143" s="1171"/>
      <c r="H143" s="1171"/>
      <c r="I143" s="1171"/>
      <c r="J143" s="1171"/>
      <c r="K143" s="1171"/>
      <c r="L143" s="1171"/>
      <c r="M143" s="1171"/>
      <c r="N143" s="1171"/>
      <c r="O143" s="1171"/>
      <c r="P143" s="1171"/>
      <c r="Q143" s="1171"/>
      <c r="R143" s="1171"/>
      <c r="S143" s="1171"/>
      <c r="T143" s="563"/>
      <c r="U143" s="563"/>
      <c r="V143" s="563"/>
      <c r="Y143" s="566"/>
      <c r="Z143" s="566"/>
      <c r="AA143" s="566"/>
      <c r="AB143" s="566"/>
    </row>
    <row r="144" spans="2:28" s="565" customFormat="1">
      <c r="B144" s="562"/>
      <c r="C144" s="563"/>
      <c r="D144" s="563"/>
      <c r="E144" s="563"/>
      <c r="F144" s="563"/>
      <c r="G144" s="563"/>
      <c r="H144" s="563"/>
      <c r="I144" s="563"/>
      <c r="J144" s="563"/>
      <c r="K144" s="563"/>
      <c r="L144" s="563"/>
      <c r="M144" s="563"/>
      <c r="N144" s="563"/>
      <c r="O144" s="563"/>
      <c r="P144" s="563"/>
      <c r="Q144" s="563"/>
      <c r="R144" s="563"/>
      <c r="S144" s="563"/>
      <c r="T144" s="563"/>
      <c r="U144" s="563"/>
      <c r="V144" s="563"/>
      <c r="Y144" s="566"/>
      <c r="Z144" s="566"/>
      <c r="AA144" s="566"/>
      <c r="AB144" s="566"/>
    </row>
    <row r="145" spans="2:28" s="565" customFormat="1">
      <c r="B145" s="562"/>
      <c r="C145" s="563"/>
      <c r="D145" s="563"/>
      <c r="E145" s="563"/>
      <c r="F145" s="563"/>
      <c r="G145" s="563"/>
      <c r="H145" s="563"/>
      <c r="I145" s="563"/>
      <c r="J145" s="563"/>
      <c r="K145" s="563"/>
      <c r="L145" s="563"/>
      <c r="M145" s="563"/>
      <c r="N145" s="563"/>
      <c r="O145" s="563"/>
      <c r="P145" s="563"/>
      <c r="Q145" s="563"/>
      <c r="R145" s="563"/>
      <c r="S145" s="563"/>
      <c r="T145" s="563"/>
      <c r="U145" s="563"/>
      <c r="V145" s="563"/>
      <c r="Y145" s="566"/>
      <c r="Z145" s="566"/>
      <c r="AA145" s="566"/>
      <c r="AB145" s="566"/>
    </row>
    <row r="146" spans="2:28" s="565" customFormat="1">
      <c r="B146" s="562"/>
      <c r="C146" s="563"/>
      <c r="D146" s="563"/>
      <c r="E146" s="563"/>
      <c r="F146" s="563"/>
      <c r="G146" s="563"/>
      <c r="H146" s="563"/>
      <c r="I146" s="563"/>
      <c r="J146" s="563"/>
      <c r="K146" s="563"/>
      <c r="L146" s="563"/>
      <c r="M146" s="563"/>
      <c r="N146" s="563"/>
      <c r="O146" s="563"/>
      <c r="P146" s="563"/>
      <c r="Q146" s="563"/>
      <c r="R146" s="563"/>
      <c r="S146" s="563"/>
      <c r="T146" s="563"/>
      <c r="U146" s="563"/>
      <c r="V146" s="563"/>
      <c r="Y146" s="566"/>
      <c r="Z146" s="566"/>
      <c r="AA146" s="566"/>
      <c r="AB146" s="566"/>
    </row>
    <row r="147" spans="2:28" s="565" customFormat="1">
      <c r="B147" s="562"/>
      <c r="C147" s="563"/>
      <c r="D147" s="563"/>
      <c r="E147" s="563"/>
      <c r="F147" s="563"/>
      <c r="G147" s="563"/>
      <c r="H147" s="563"/>
      <c r="I147" s="563"/>
      <c r="J147" s="563"/>
      <c r="K147" s="563"/>
      <c r="L147" s="563"/>
      <c r="M147" s="563"/>
      <c r="N147" s="563"/>
      <c r="O147" s="563"/>
      <c r="P147" s="563"/>
      <c r="Q147" s="563"/>
      <c r="R147" s="563"/>
      <c r="S147" s="563"/>
      <c r="T147" s="563"/>
      <c r="U147" s="563"/>
      <c r="V147" s="563"/>
      <c r="Y147" s="566"/>
      <c r="Z147" s="566"/>
      <c r="AA147" s="566"/>
      <c r="AB147" s="566"/>
    </row>
    <row r="148" spans="2:28" s="565" customFormat="1">
      <c r="B148" s="562"/>
      <c r="C148" s="563"/>
      <c r="D148" s="563"/>
      <c r="E148" s="563"/>
      <c r="F148" s="563"/>
      <c r="G148" s="563"/>
      <c r="H148" s="563"/>
      <c r="I148" s="563"/>
      <c r="J148" s="563"/>
      <c r="K148" s="563"/>
      <c r="L148" s="563"/>
      <c r="M148" s="563"/>
      <c r="N148" s="563"/>
      <c r="O148" s="563"/>
      <c r="P148" s="563"/>
      <c r="Q148" s="563"/>
      <c r="R148" s="563"/>
      <c r="S148" s="563"/>
      <c r="T148" s="563"/>
      <c r="U148" s="563"/>
      <c r="V148" s="563"/>
      <c r="Y148" s="566"/>
      <c r="Z148" s="566"/>
      <c r="AA148" s="566"/>
      <c r="AB148" s="566"/>
    </row>
    <row r="149" spans="2:28" s="565" customFormat="1">
      <c r="B149" s="562"/>
      <c r="C149" s="563"/>
      <c r="D149" s="563"/>
      <c r="E149" s="563"/>
      <c r="F149" s="563"/>
      <c r="G149" s="563"/>
      <c r="H149" s="563"/>
      <c r="I149" s="563"/>
      <c r="J149" s="563"/>
      <c r="K149" s="563"/>
      <c r="L149" s="563"/>
      <c r="M149" s="563"/>
      <c r="N149" s="563"/>
      <c r="O149" s="563"/>
      <c r="P149" s="563"/>
      <c r="Q149" s="563"/>
      <c r="R149" s="563"/>
      <c r="S149" s="563"/>
      <c r="T149" s="563"/>
      <c r="U149" s="563"/>
      <c r="V149" s="563"/>
      <c r="Y149" s="566"/>
      <c r="Z149" s="566"/>
      <c r="AA149" s="566"/>
      <c r="AB149" s="566"/>
    </row>
    <row r="150" spans="2:28" s="565" customFormat="1">
      <c r="B150" s="562"/>
      <c r="C150" s="563"/>
      <c r="D150" s="563"/>
      <c r="E150" s="563"/>
      <c r="F150" s="563"/>
      <c r="G150" s="563"/>
      <c r="H150" s="563"/>
      <c r="I150" s="563"/>
      <c r="J150" s="563"/>
      <c r="K150" s="563"/>
      <c r="L150" s="563"/>
      <c r="M150" s="563"/>
      <c r="N150" s="563"/>
      <c r="O150" s="563"/>
      <c r="P150" s="563"/>
      <c r="Q150" s="563"/>
      <c r="R150" s="563"/>
      <c r="S150" s="563"/>
      <c r="T150" s="563"/>
      <c r="U150" s="563"/>
      <c r="V150" s="563"/>
      <c r="Y150" s="566"/>
      <c r="Z150" s="566"/>
      <c r="AA150" s="566"/>
      <c r="AB150" s="566"/>
    </row>
    <row r="151" spans="2:28" s="565" customFormat="1">
      <c r="B151" s="562"/>
      <c r="C151" s="563"/>
      <c r="D151" s="563"/>
      <c r="E151" s="563"/>
      <c r="F151" s="563"/>
      <c r="G151" s="563"/>
      <c r="H151" s="563"/>
      <c r="I151" s="563"/>
      <c r="J151" s="563"/>
      <c r="K151" s="563"/>
      <c r="L151" s="563"/>
      <c r="M151" s="563"/>
      <c r="N151" s="563"/>
      <c r="O151" s="563"/>
      <c r="P151" s="563"/>
      <c r="Q151" s="563"/>
      <c r="R151" s="563"/>
      <c r="S151" s="563"/>
      <c r="T151" s="563"/>
      <c r="U151" s="563"/>
      <c r="V151" s="563"/>
      <c r="Y151" s="566"/>
      <c r="Z151" s="566"/>
      <c r="AA151" s="566"/>
      <c r="AB151" s="566"/>
    </row>
    <row r="152" spans="2:28" s="565" customFormat="1">
      <c r="B152" s="584" t="s">
        <v>6540</v>
      </c>
      <c r="C152" s="573" t="str">
        <f>CHOOSE(jezyk,n!A1481,n!B1481,n!C1481,n!D1477)</f>
        <v>SPRZEDAŻ</v>
      </c>
      <c r="D152" s="563"/>
      <c r="E152" s="563"/>
      <c r="F152" s="563"/>
      <c r="G152" s="563"/>
      <c r="H152" s="563"/>
      <c r="I152" s="563"/>
      <c r="J152" s="563"/>
      <c r="K152" s="563"/>
      <c r="L152" s="563"/>
      <c r="M152" s="563"/>
      <c r="N152" s="563"/>
      <c r="O152" s="563"/>
      <c r="P152" s="563"/>
      <c r="Q152" s="563"/>
      <c r="R152" s="563"/>
      <c r="S152" s="563"/>
      <c r="T152" s="563"/>
      <c r="U152" s="563"/>
      <c r="V152" s="563"/>
      <c r="W152" s="585">
        <v>5</v>
      </c>
      <c r="X152" s="586" t="s">
        <v>6912</v>
      </c>
      <c r="Y152" s="566"/>
      <c r="Z152" s="566"/>
      <c r="AA152" s="566"/>
      <c r="AB152" s="566"/>
    </row>
    <row r="153" spans="2:28" s="565" customFormat="1">
      <c r="B153" s="562"/>
      <c r="C153" s="563"/>
      <c r="D153" s="563"/>
      <c r="E153" s="563"/>
      <c r="F153" s="563"/>
      <c r="G153" s="563"/>
      <c r="H153" s="563"/>
      <c r="I153" s="563"/>
      <c r="J153" s="563"/>
      <c r="K153" s="563"/>
      <c r="L153" s="563"/>
      <c r="M153" s="563"/>
      <c r="N153" s="563"/>
      <c r="O153" s="563"/>
      <c r="P153" s="563"/>
      <c r="Q153" s="563"/>
      <c r="R153" s="563"/>
      <c r="S153" s="563"/>
      <c r="T153" s="563"/>
      <c r="U153" s="563"/>
      <c r="V153" s="563"/>
      <c r="Y153" s="566"/>
      <c r="Z153" s="566"/>
      <c r="AA153" s="566"/>
      <c r="AB153" s="566"/>
    </row>
    <row r="154" spans="2:28" s="565" customFormat="1">
      <c r="B154" s="562"/>
      <c r="C154" s="563"/>
      <c r="D154" s="563"/>
      <c r="E154" s="563"/>
      <c r="F154" s="563"/>
      <c r="G154" s="563"/>
      <c r="H154" s="563"/>
      <c r="I154" s="563"/>
      <c r="J154" s="563"/>
      <c r="K154" s="563"/>
      <c r="L154" s="563"/>
      <c r="M154" s="563"/>
      <c r="N154" s="563"/>
      <c r="O154" s="563"/>
      <c r="P154" s="563"/>
      <c r="Q154" s="563"/>
      <c r="R154" s="563"/>
      <c r="S154" s="563"/>
      <c r="T154" s="563"/>
      <c r="U154" s="563"/>
      <c r="V154" s="563"/>
      <c r="Y154" s="566"/>
      <c r="Z154" s="566"/>
      <c r="AA154" s="566"/>
      <c r="AB154" s="566"/>
    </row>
    <row r="155" spans="2:28" s="565" customFormat="1" ht="24" customHeight="1">
      <c r="B155" s="1172" t="str">
        <f>CHOOSE(jezyk,n!A1665,n!B1665,n!C1665,n!D1661)</f>
        <v>Spółka uzyskuje przychody ze sprzedaży usług na terenie kraju i/lub za granicą.</v>
      </c>
      <c r="C155" s="1172"/>
      <c r="D155" s="1172"/>
      <c r="E155" s="1172"/>
      <c r="F155" s="1172"/>
      <c r="G155" s="1172"/>
      <c r="H155" s="1172"/>
      <c r="I155" s="1172"/>
      <c r="J155" s="1172"/>
      <c r="K155" s="1172"/>
      <c r="L155" s="1172"/>
      <c r="M155" s="1172"/>
      <c r="N155" s="1172"/>
      <c r="O155" s="1172"/>
      <c r="P155" s="1172"/>
      <c r="Q155" s="1172"/>
      <c r="R155" s="1172"/>
      <c r="S155" s="1172"/>
      <c r="T155" s="1172"/>
      <c r="U155" s="1172"/>
      <c r="V155" s="1172"/>
      <c r="Y155" s="566"/>
      <c r="Z155" s="566"/>
      <c r="AA155" s="566"/>
      <c r="AB155" s="566"/>
    </row>
    <row r="156" spans="2:28" s="565" customFormat="1">
      <c r="B156" s="562"/>
      <c r="C156" s="563"/>
      <c r="D156" s="563"/>
      <c r="E156" s="563"/>
      <c r="F156" s="563"/>
      <c r="G156" s="563"/>
      <c r="H156" s="563"/>
      <c r="I156" s="563"/>
      <c r="J156" s="563"/>
      <c r="K156" s="563"/>
      <c r="L156" s="563"/>
      <c r="M156" s="563"/>
      <c r="N156" s="563"/>
      <c r="O156" s="563"/>
      <c r="P156" s="563"/>
      <c r="Q156" s="563"/>
      <c r="R156" s="563"/>
      <c r="S156" s="563"/>
      <c r="T156" s="563"/>
      <c r="U156" s="563"/>
      <c r="V156" s="563"/>
      <c r="Y156" s="566"/>
      <c r="Z156" s="566"/>
      <c r="AA156" s="566"/>
      <c r="AB156" s="566"/>
    </row>
    <row r="157" spans="2:28" s="565" customFormat="1" ht="29.25" customHeight="1">
      <c r="B157" s="1172" t="str">
        <f>CHOOSE(jezyk,n!A1666,n!B1666,n!C1666,n!D1662)</f>
        <v>Spółka uzyskała w analizowanym okresie wynik netto w wysokości PLN …………..., na który składa się w szczególności ………………….</v>
      </c>
      <c r="C157" s="1172"/>
      <c r="D157" s="1172"/>
      <c r="E157" s="1172"/>
      <c r="F157" s="1172"/>
      <c r="G157" s="1172"/>
      <c r="H157" s="1172"/>
      <c r="I157" s="1172"/>
      <c r="J157" s="1172"/>
      <c r="K157" s="1172"/>
      <c r="L157" s="1172"/>
      <c r="M157" s="1172"/>
      <c r="N157" s="1172"/>
      <c r="O157" s="1172"/>
      <c r="P157" s="1172"/>
      <c r="Q157" s="1172"/>
      <c r="R157" s="1172"/>
      <c r="S157" s="1172"/>
      <c r="T157" s="1172"/>
      <c r="U157" s="1172"/>
      <c r="V157" s="1172"/>
      <c r="Y157" s="566"/>
      <c r="Z157" s="566"/>
      <c r="AA157" s="566"/>
      <c r="AB157" s="566"/>
    </row>
    <row r="158" spans="2:28" s="565" customFormat="1">
      <c r="B158" s="562"/>
      <c r="C158" s="563"/>
      <c r="D158" s="563"/>
      <c r="E158" s="563"/>
      <c r="F158" s="563"/>
      <c r="G158" s="563"/>
      <c r="H158" s="563"/>
      <c r="I158" s="563"/>
      <c r="J158" s="563"/>
      <c r="K158" s="563"/>
      <c r="L158" s="563"/>
      <c r="M158" s="563"/>
      <c r="N158" s="563"/>
      <c r="O158" s="563"/>
      <c r="P158" s="563"/>
      <c r="Q158" s="563"/>
      <c r="R158" s="563"/>
      <c r="S158" s="563"/>
      <c r="T158" s="563"/>
      <c r="U158" s="563"/>
      <c r="V158" s="563"/>
      <c r="Y158" s="566"/>
      <c r="Z158" s="566"/>
      <c r="AA158" s="566"/>
      <c r="AB158" s="566"/>
    </row>
    <row r="159" spans="2:28" s="565" customFormat="1">
      <c r="B159" s="1172" t="s">
        <v>6919</v>
      </c>
      <c r="C159" s="1172"/>
      <c r="D159" s="1172"/>
      <c r="E159" s="1172"/>
      <c r="F159" s="1172"/>
      <c r="G159" s="1172"/>
      <c r="H159" s="1172"/>
      <c r="I159" s="1172"/>
      <c r="J159" s="1172"/>
      <c r="K159" s="1172"/>
      <c r="L159" s="1172"/>
      <c r="M159" s="1172"/>
      <c r="N159" s="1172"/>
      <c r="O159" s="1172"/>
      <c r="P159" s="1172"/>
      <c r="Q159" s="1172"/>
      <c r="R159" s="1172"/>
      <c r="S159" s="1172"/>
      <c r="T159" s="1172"/>
      <c r="U159" s="1172"/>
      <c r="V159" s="1172"/>
      <c r="Y159" s="566"/>
      <c r="Z159" s="566"/>
      <c r="AA159" s="566"/>
      <c r="AB159" s="566"/>
    </row>
    <row r="160" spans="2:28" s="565" customFormat="1">
      <c r="B160" s="562"/>
      <c r="C160" s="563"/>
      <c r="D160" s="563"/>
      <c r="E160" s="563"/>
      <c r="F160" s="563"/>
      <c r="G160" s="563"/>
      <c r="H160" s="563"/>
      <c r="I160" s="563"/>
      <c r="J160" s="563"/>
      <c r="K160" s="563"/>
      <c r="L160" s="563"/>
      <c r="M160" s="563"/>
      <c r="N160" s="563"/>
      <c r="O160" s="563"/>
      <c r="P160" s="563"/>
      <c r="Q160" s="563"/>
      <c r="R160" s="563"/>
      <c r="S160" s="563"/>
      <c r="T160" s="563"/>
      <c r="U160" s="563"/>
      <c r="V160" s="563"/>
      <c r="Y160" s="566"/>
      <c r="Z160" s="566"/>
      <c r="AA160" s="566"/>
      <c r="AB160" s="566"/>
    </row>
    <row r="161" spans="2:28" s="565" customFormat="1">
      <c r="B161" s="562"/>
      <c r="C161" s="563"/>
      <c r="D161" s="563"/>
      <c r="E161" s="563"/>
      <c r="F161" s="563"/>
      <c r="G161" s="563"/>
      <c r="H161" s="563"/>
      <c r="I161" s="563"/>
      <c r="J161" s="563"/>
      <c r="K161" s="563"/>
      <c r="L161" s="563"/>
      <c r="M161" s="563"/>
      <c r="N161" s="563"/>
      <c r="O161" s="563"/>
      <c r="P161" s="563"/>
      <c r="Q161" s="563"/>
      <c r="R161" s="563"/>
      <c r="S161" s="563"/>
      <c r="T161" s="563"/>
      <c r="U161" s="563"/>
      <c r="V161" s="563"/>
      <c r="Y161" s="566"/>
      <c r="Z161" s="566"/>
      <c r="AA161" s="566"/>
      <c r="AB161" s="566"/>
    </row>
    <row r="162" spans="2:28" s="565" customFormat="1">
      <c r="B162" s="562"/>
      <c r="C162" s="563"/>
      <c r="D162" s="563"/>
      <c r="E162" s="563"/>
      <c r="F162" s="563"/>
      <c r="G162" s="563"/>
      <c r="H162" s="563"/>
      <c r="I162" s="563"/>
      <c r="J162" s="563"/>
      <c r="K162" s="563"/>
      <c r="L162" s="563"/>
      <c r="M162" s="563"/>
      <c r="N162" s="563"/>
      <c r="O162" s="589"/>
      <c r="P162" s="589"/>
      <c r="U162" s="589"/>
    </row>
    <row r="163" spans="2:28" s="565" customFormat="1">
      <c r="B163" s="584" t="s">
        <v>6544</v>
      </c>
      <c r="C163" s="573" t="str">
        <f>CHOOSE(jezyk,n!A1482,n!B1482,n!C1482,n!D1478)</f>
        <v>PERSONEL</v>
      </c>
      <c r="D163" s="563"/>
      <c r="E163" s="563"/>
      <c r="F163" s="563"/>
      <c r="G163" s="563"/>
      <c r="H163" s="563"/>
      <c r="I163" s="563"/>
      <c r="J163" s="563"/>
      <c r="K163" s="563"/>
      <c r="L163" s="563"/>
      <c r="M163" s="563"/>
      <c r="N163" s="563"/>
      <c r="O163" s="589"/>
      <c r="P163" s="589"/>
      <c r="U163" s="589"/>
      <c r="W163" s="585">
        <v>5</v>
      </c>
      <c r="X163" s="586" t="s">
        <v>6912</v>
      </c>
    </row>
    <row r="164" spans="2:28" s="565" customFormat="1">
      <c r="B164" s="584"/>
      <c r="C164" s="573"/>
      <c r="D164" s="563"/>
      <c r="E164" s="563"/>
      <c r="F164" s="563"/>
      <c r="G164" s="563"/>
      <c r="H164" s="563"/>
      <c r="I164" s="563"/>
      <c r="J164" s="563"/>
      <c r="K164" s="563"/>
      <c r="L164" s="563"/>
      <c r="M164" s="563"/>
      <c r="N164" s="563"/>
      <c r="O164" s="589"/>
      <c r="P164" s="589"/>
      <c r="U164" s="589"/>
    </row>
    <row r="165" spans="2:28" s="565" customFormat="1">
      <c r="B165" s="562"/>
      <c r="C165" s="563"/>
      <c r="D165" s="563"/>
      <c r="E165" s="563"/>
      <c r="F165" s="563"/>
      <c r="G165" s="563"/>
      <c r="H165" s="563"/>
      <c r="I165" s="563"/>
      <c r="J165" s="563"/>
      <c r="K165" s="563"/>
      <c r="L165" s="563"/>
      <c r="M165" s="563"/>
      <c r="N165" s="563"/>
      <c r="O165" s="589"/>
      <c r="P165" s="589"/>
      <c r="U165" s="589"/>
      <c r="W165" s="567"/>
    </row>
    <row r="166" spans="2:28" s="565" customFormat="1">
      <c r="B166" s="1182" t="str">
        <f>CHOOSE(jezyk,n!A1667,n!B1667,n!C1667,n!D1663)</f>
        <v>Na dzień 31.12.2024 w Spółce zatrudnione były/była …………… osoby/ osoba</v>
      </c>
      <c r="C166" s="1182"/>
      <c r="D166" s="1182"/>
      <c r="E166" s="1182"/>
      <c r="F166" s="1182"/>
      <c r="G166" s="1182"/>
      <c r="H166" s="1182"/>
      <c r="I166" s="1182"/>
      <c r="J166" s="1182"/>
      <c r="K166" s="1182"/>
      <c r="L166" s="1182"/>
      <c r="M166" s="1182"/>
      <c r="N166" s="1182"/>
      <c r="O166" s="1182"/>
      <c r="P166" s="1182"/>
      <c r="Q166" s="1182"/>
      <c r="R166" s="1182"/>
      <c r="S166" s="1182"/>
      <c r="T166" s="1182"/>
      <c r="U166" s="1182"/>
      <c r="V166" s="1182"/>
      <c r="W166" s="567"/>
    </row>
    <row r="167" spans="2:28" s="565" customFormat="1" hidden="1">
      <c r="B167" s="562"/>
      <c r="C167" s="563"/>
      <c r="D167" s="563"/>
      <c r="E167" s="563"/>
      <c r="F167" s="563"/>
      <c r="G167" s="563"/>
      <c r="H167" s="563"/>
      <c r="I167" s="564"/>
      <c r="J167" s="564"/>
      <c r="K167" s="563"/>
      <c r="L167" s="563"/>
      <c r="M167" s="564"/>
      <c r="N167" s="564"/>
      <c r="O167" s="595"/>
      <c r="P167" s="595"/>
      <c r="Q167" s="566"/>
      <c r="R167" s="566"/>
      <c r="S167" s="566"/>
      <c r="U167" s="595"/>
      <c r="W167" s="567"/>
    </row>
    <row r="168" spans="2:28" s="565" customFormat="1" hidden="1">
      <c r="B168" s="562"/>
      <c r="C168" s="563"/>
      <c r="D168" s="563"/>
      <c r="E168" s="563"/>
      <c r="F168" s="563"/>
      <c r="G168" s="563"/>
      <c r="H168" s="563"/>
      <c r="I168" s="564"/>
      <c r="J168" s="564"/>
      <c r="K168" s="563"/>
      <c r="L168" s="563"/>
      <c r="M168" s="564"/>
      <c r="N168" s="564"/>
      <c r="O168" s="595"/>
      <c r="P168" s="595"/>
      <c r="Q168" s="566"/>
      <c r="R168" s="566"/>
      <c r="S168" s="566"/>
      <c r="U168" s="595"/>
      <c r="W168" s="567"/>
    </row>
    <row r="169" spans="2:28" s="565" customFormat="1" hidden="1">
      <c r="B169" s="562"/>
      <c r="C169" s="563"/>
      <c r="D169" s="563"/>
      <c r="E169" s="563"/>
      <c r="F169" s="563"/>
      <c r="G169" s="563"/>
      <c r="H169" s="563"/>
      <c r="I169" s="564"/>
      <c r="J169" s="564"/>
      <c r="K169" s="563"/>
      <c r="L169" s="563"/>
      <c r="M169" s="564"/>
      <c r="N169" s="564"/>
      <c r="O169" s="595"/>
      <c r="P169" s="595"/>
      <c r="Q169" s="566"/>
      <c r="R169" s="566"/>
      <c r="S169" s="566"/>
      <c r="U169" s="595"/>
      <c r="W169" s="567"/>
    </row>
    <row r="170" spans="2:28" s="565" customFormat="1" hidden="1">
      <c r="B170" s="562"/>
      <c r="C170" s="563"/>
      <c r="D170" s="563"/>
      <c r="E170" s="563"/>
      <c r="F170" s="563"/>
      <c r="G170" s="563"/>
      <c r="H170" s="563"/>
      <c r="I170" s="564"/>
      <c r="J170" s="564"/>
      <c r="K170" s="563"/>
      <c r="L170" s="563"/>
      <c r="M170" s="564"/>
      <c r="N170" s="564"/>
      <c r="O170" s="595"/>
      <c r="P170" s="595"/>
      <c r="Q170" s="566"/>
      <c r="R170" s="566"/>
      <c r="S170" s="566"/>
      <c r="U170" s="595"/>
      <c r="W170" s="567"/>
    </row>
    <row r="171" spans="2:28" s="565" customFormat="1" hidden="1">
      <c r="B171" s="562"/>
      <c r="C171" s="563"/>
      <c r="D171" s="563"/>
      <c r="E171" s="563"/>
      <c r="F171" s="563"/>
      <c r="G171" s="563"/>
      <c r="H171" s="563"/>
      <c r="I171" s="564"/>
      <c r="J171" s="564"/>
      <c r="K171" s="563"/>
      <c r="L171" s="563"/>
      <c r="M171" s="564"/>
      <c r="N171" s="564"/>
      <c r="O171" s="595"/>
      <c r="P171" s="595"/>
      <c r="Q171" s="566"/>
      <c r="R171" s="566"/>
      <c r="S171" s="566"/>
      <c r="U171" s="595"/>
      <c r="W171" s="567"/>
    </row>
    <row r="172" spans="2:28" s="565" customFormat="1" hidden="1">
      <c r="B172" s="562"/>
      <c r="C172" s="563"/>
      <c r="D172" s="563"/>
      <c r="E172" s="563"/>
      <c r="F172" s="563"/>
      <c r="G172" s="563"/>
      <c r="H172" s="563"/>
      <c r="I172" s="564"/>
      <c r="J172" s="564"/>
      <c r="K172" s="563"/>
      <c r="L172" s="563"/>
      <c r="M172" s="564"/>
      <c r="N172" s="564"/>
      <c r="O172" s="595"/>
      <c r="P172" s="595"/>
      <c r="Q172" s="566"/>
      <c r="R172" s="566"/>
      <c r="S172" s="566"/>
      <c r="U172" s="595"/>
      <c r="W172" s="567"/>
    </row>
    <row r="173" spans="2:28" s="565" customFormat="1" hidden="1">
      <c r="B173" s="562"/>
      <c r="C173" s="563"/>
      <c r="D173" s="563"/>
      <c r="E173" s="563"/>
      <c r="F173" s="563"/>
      <c r="G173" s="563"/>
      <c r="H173" s="563"/>
      <c r="I173" s="564"/>
      <c r="J173" s="564"/>
      <c r="K173" s="563"/>
      <c r="L173" s="563"/>
      <c r="M173" s="564"/>
      <c r="N173" s="564"/>
      <c r="O173" s="595"/>
      <c r="P173" s="595"/>
      <c r="Q173" s="566"/>
      <c r="R173" s="566"/>
      <c r="S173" s="566"/>
      <c r="U173" s="595"/>
      <c r="W173" s="567"/>
    </row>
    <row r="174" spans="2:28" s="565" customFormat="1" hidden="1">
      <c r="B174" s="562"/>
      <c r="C174" s="563"/>
      <c r="D174" s="563"/>
      <c r="E174" s="563"/>
      <c r="F174" s="563"/>
      <c r="G174" s="563"/>
      <c r="H174" s="563"/>
      <c r="I174" s="564"/>
      <c r="J174" s="564"/>
      <c r="K174" s="563"/>
      <c r="L174" s="563"/>
      <c r="M174" s="564"/>
      <c r="N174" s="564"/>
      <c r="O174" s="595"/>
      <c r="P174" s="595"/>
      <c r="Q174" s="566"/>
      <c r="R174" s="566"/>
      <c r="S174" s="566"/>
      <c r="U174" s="595"/>
      <c r="W174" s="567"/>
    </row>
    <row r="175" spans="2:28" s="565" customFormat="1" hidden="1">
      <c r="B175" s="562"/>
      <c r="C175" s="563"/>
      <c r="D175" s="563"/>
      <c r="E175" s="563"/>
      <c r="F175" s="563"/>
      <c r="G175" s="563"/>
      <c r="H175" s="563"/>
      <c r="I175" s="564"/>
      <c r="J175" s="564"/>
      <c r="K175" s="563"/>
      <c r="L175" s="563"/>
      <c r="M175" s="564"/>
      <c r="N175" s="564"/>
      <c r="O175" s="595"/>
      <c r="P175" s="595"/>
      <c r="Q175" s="566"/>
      <c r="R175" s="566"/>
      <c r="S175" s="566"/>
      <c r="U175" s="595"/>
      <c r="W175" s="567"/>
    </row>
    <row r="176" spans="2:28" s="565" customFormat="1" hidden="1">
      <c r="B176" s="562"/>
      <c r="C176" s="563"/>
      <c r="D176" s="563"/>
      <c r="E176" s="563"/>
      <c r="F176" s="563"/>
      <c r="G176" s="563"/>
      <c r="H176" s="563"/>
      <c r="I176" s="564"/>
      <c r="J176" s="564"/>
      <c r="K176" s="563"/>
      <c r="L176" s="563"/>
      <c r="M176" s="564"/>
      <c r="N176" s="564"/>
      <c r="O176" s="595"/>
      <c r="P176" s="595"/>
      <c r="Q176" s="566"/>
      <c r="R176" s="566"/>
      <c r="S176" s="566"/>
      <c r="U176" s="595"/>
      <c r="W176" s="567"/>
    </row>
    <row r="177" spans="2:24" s="565" customFormat="1" hidden="1">
      <c r="B177" s="562"/>
      <c r="C177" s="563"/>
      <c r="D177" s="563"/>
      <c r="E177" s="563"/>
      <c r="F177" s="563"/>
      <c r="G177" s="563"/>
      <c r="H177" s="563"/>
      <c r="I177" s="564"/>
      <c r="J177" s="564"/>
      <c r="K177" s="563"/>
      <c r="L177" s="563"/>
      <c r="M177" s="564"/>
      <c r="N177" s="564"/>
      <c r="O177" s="595"/>
      <c r="P177" s="595"/>
      <c r="Q177" s="566"/>
      <c r="R177" s="566"/>
      <c r="S177" s="566"/>
      <c r="U177" s="595"/>
      <c r="W177" s="567"/>
    </row>
    <row r="178" spans="2:24" s="565" customFormat="1" hidden="1">
      <c r="B178" s="562"/>
      <c r="C178" s="563"/>
      <c r="D178" s="563"/>
      <c r="E178" s="563"/>
      <c r="F178" s="563"/>
      <c r="G178" s="563"/>
      <c r="H178" s="563"/>
      <c r="I178" s="564"/>
      <c r="J178" s="564"/>
      <c r="K178" s="563"/>
      <c r="L178" s="563"/>
      <c r="M178" s="564"/>
      <c r="N178" s="564"/>
      <c r="O178" s="595"/>
      <c r="P178" s="595"/>
      <c r="Q178" s="566"/>
      <c r="R178" s="566"/>
      <c r="S178" s="566"/>
      <c r="U178" s="595"/>
      <c r="W178" s="567"/>
    </row>
    <row r="179" spans="2:24" s="565" customFormat="1" hidden="1">
      <c r="B179" s="562"/>
      <c r="C179" s="563"/>
      <c r="D179" s="563"/>
      <c r="E179" s="563"/>
      <c r="F179" s="563"/>
      <c r="G179" s="563"/>
      <c r="H179" s="563"/>
      <c r="I179" s="564"/>
      <c r="J179" s="564"/>
      <c r="K179" s="563"/>
      <c r="L179" s="563"/>
      <c r="M179" s="564"/>
      <c r="N179" s="564"/>
      <c r="O179" s="595"/>
      <c r="P179" s="595"/>
      <c r="Q179" s="566"/>
      <c r="R179" s="566"/>
      <c r="S179" s="566"/>
      <c r="U179" s="595"/>
      <c r="W179" s="567"/>
    </row>
    <row r="180" spans="2:24" s="565" customFormat="1">
      <c r="B180" s="562"/>
      <c r="C180" s="1170"/>
      <c r="D180" s="1170"/>
      <c r="E180" s="1170"/>
      <c r="F180" s="1170"/>
      <c r="G180" s="1170"/>
      <c r="H180" s="1170"/>
      <c r="I180" s="1170"/>
      <c r="J180" s="1170"/>
      <c r="K180" s="1170"/>
      <c r="L180" s="1170"/>
      <c r="M180" s="1170"/>
      <c r="N180" s="1170"/>
      <c r="O180" s="1170"/>
      <c r="P180" s="1170"/>
      <c r="Q180" s="1170"/>
      <c r="R180" s="1170"/>
      <c r="S180" s="1170"/>
      <c r="T180" s="1170"/>
      <c r="U180" s="1170"/>
      <c r="V180" s="1170"/>
    </row>
    <row r="181" spans="2:24" s="565" customFormat="1">
      <c r="B181" s="562"/>
      <c r="C181" s="563"/>
      <c r="D181" s="563"/>
      <c r="E181" s="563"/>
      <c r="F181" s="563"/>
      <c r="G181" s="563"/>
      <c r="H181" s="563"/>
      <c r="I181" s="564"/>
      <c r="J181" s="564"/>
      <c r="K181" s="563"/>
      <c r="L181" s="563"/>
      <c r="M181" s="564"/>
      <c r="N181" s="564"/>
      <c r="O181" s="595"/>
      <c r="P181" s="595"/>
      <c r="Q181" s="566"/>
      <c r="R181" s="566"/>
      <c r="S181" s="566"/>
      <c r="U181" s="595"/>
    </row>
    <row r="182" spans="2:24" s="565" customFormat="1" ht="12" customHeight="1">
      <c r="B182" s="584" t="s">
        <v>6545</v>
      </c>
      <c r="C182" s="573" t="str">
        <f>CHOOSE(jezyk,n!A1483,n!B1483,n!C1483,n!D1479)</f>
        <v>ANALIZA FINANSOWA</v>
      </c>
      <c r="D182" s="563"/>
      <c r="E182" s="563"/>
      <c r="F182" s="563"/>
      <c r="G182" s="563"/>
      <c r="H182" s="563"/>
      <c r="I182" s="564"/>
      <c r="J182" s="564"/>
      <c r="K182" s="563"/>
      <c r="L182" s="563"/>
      <c r="M182" s="564"/>
      <c r="N182" s="564"/>
      <c r="O182" s="595"/>
      <c r="P182" s="595"/>
      <c r="Q182" s="566"/>
      <c r="R182" s="566"/>
      <c r="S182" s="566"/>
      <c r="U182" s="595"/>
      <c r="W182" s="585">
        <v>5</v>
      </c>
      <c r="X182" s="586" t="s">
        <v>6912</v>
      </c>
    </row>
    <row r="183" spans="2:24" s="565" customFormat="1" ht="9" customHeight="1">
      <c r="B183" s="562"/>
      <c r="C183" s="563"/>
      <c r="D183" s="563"/>
      <c r="E183" s="563"/>
      <c r="F183" s="563"/>
      <c r="G183" s="563"/>
      <c r="H183" s="563"/>
      <c r="I183" s="564"/>
      <c r="J183" s="564"/>
      <c r="K183" s="563"/>
      <c r="L183" s="563"/>
      <c r="M183" s="564"/>
      <c r="N183" s="564"/>
      <c r="O183" s="595"/>
      <c r="P183" s="595"/>
      <c r="Q183" s="566"/>
      <c r="R183" s="566"/>
      <c r="S183" s="566"/>
      <c r="U183" s="595"/>
    </row>
    <row r="184" spans="2:24" s="565" customFormat="1" ht="12.75" customHeight="1">
      <c r="B184" s="596"/>
      <c r="C184" s="596"/>
      <c r="D184" s="596"/>
      <c r="E184" s="596"/>
      <c r="F184" s="596"/>
      <c r="G184" s="596"/>
      <c r="H184" s="596"/>
      <c r="I184" s="596"/>
      <c r="J184" s="596"/>
      <c r="K184" s="596"/>
      <c r="L184" s="597"/>
      <c r="M184" s="597"/>
      <c r="N184" s="598"/>
      <c r="O184" s="598"/>
      <c r="P184" s="598"/>
      <c r="Q184" s="598"/>
      <c r="R184" s="598"/>
      <c r="S184" s="598"/>
      <c r="T184" s="598"/>
      <c r="U184" s="598"/>
      <c r="V184" s="598"/>
    </row>
    <row r="185" spans="2:24" s="565" customFormat="1" ht="42.75" customHeight="1">
      <c r="B185" s="1172" t="s">
        <v>6920</v>
      </c>
      <c r="C185" s="1172"/>
      <c r="D185" s="1172"/>
      <c r="E185" s="1172"/>
      <c r="F185" s="1172"/>
      <c r="G185" s="1172"/>
      <c r="H185" s="1172"/>
      <c r="I185" s="1172"/>
      <c r="J185" s="1172"/>
      <c r="K185" s="1172"/>
      <c r="L185" s="1172"/>
      <c r="M185" s="1172"/>
      <c r="N185" s="1172"/>
      <c r="O185" s="1172"/>
      <c r="P185" s="1172"/>
      <c r="Q185" s="1172"/>
      <c r="R185" s="1172"/>
      <c r="S185" s="1172"/>
      <c r="T185" s="1172"/>
      <c r="U185" s="1172"/>
      <c r="V185" s="1172"/>
    </row>
    <row r="186" spans="2:24" s="565" customFormat="1" ht="7.5" customHeight="1">
      <c r="B186" s="596"/>
      <c r="C186" s="596"/>
      <c r="D186" s="596"/>
      <c r="E186" s="596"/>
      <c r="F186" s="597"/>
      <c r="G186" s="597"/>
      <c r="H186" s="597"/>
      <c r="I186" s="597"/>
      <c r="J186" s="597"/>
      <c r="K186" s="597"/>
      <c r="L186" s="597"/>
      <c r="M186" s="597"/>
      <c r="N186" s="598"/>
      <c r="O186" s="598"/>
      <c r="P186" s="598"/>
      <c r="Q186" s="598"/>
      <c r="R186" s="598"/>
      <c r="S186" s="598"/>
      <c r="T186" s="598"/>
      <c r="U186" s="598"/>
      <c r="V186" s="598"/>
    </row>
    <row r="187" spans="2:24" s="565" customFormat="1" ht="14.25" customHeight="1">
      <c r="B187" s="594"/>
      <c r="C187" s="594"/>
      <c r="D187" s="594"/>
      <c r="E187" s="594"/>
      <c r="F187" s="594"/>
      <c r="G187" s="594"/>
      <c r="H187" s="594"/>
      <c r="I187" s="594"/>
      <c r="J187" s="594"/>
      <c r="K187" s="594"/>
      <c r="L187" s="594"/>
      <c r="M187" s="594"/>
      <c r="N187" s="594"/>
      <c r="O187" s="594"/>
      <c r="P187" s="594"/>
      <c r="Q187" s="594"/>
      <c r="R187" s="594"/>
      <c r="S187" s="594"/>
      <c r="T187" s="594"/>
      <c r="U187" s="594"/>
      <c r="V187" s="594"/>
      <c r="W187" s="586"/>
    </row>
    <row r="188" spans="2:24" s="565" customFormat="1">
      <c r="B188" s="562"/>
      <c r="C188" s="563"/>
      <c r="D188" s="563"/>
      <c r="E188" s="563"/>
      <c r="F188" s="563"/>
      <c r="G188" s="563"/>
      <c r="H188" s="563"/>
      <c r="I188" s="564"/>
      <c r="J188" s="564"/>
      <c r="K188" s="563"/>
      <c r="L188" s="563"/>
      <c r="M188" s="564"/>
      <c r="N188" s="564"/>
      <c r="O188" s="595"/>
      <c r="P188" s="595"/>
      <c r="Q188" s="566"/>
      <c r="R188" s="566"/>
      <c r="S188" s="566"/>
    </row>
    <row r="189" spans="2:24" s="565" customFormat="1" ht="12" customHeight="1">
      <c r="B189" s="584" t="s">
        <v>6550</v>
      </c>
      <c r="C189" s="573" t="str">
        <f>CHOOSE(jezyk,n!A1484,n!B1484,n!C1484,n!D1480)</f>
        <v>PRZEWIDYWANY ROZWÓJ SPÓŁKI</v>
      </c>
      <c r="D189" s="563"/>
      <c r="E189" s="563"/>
      <c r="F189" s="563"/>
      <c r="G189" s="563"/>
      <c r="H189" s="563"/>
      <c r="I189" s="564"/>
      <c r="J189" s="564"/>
      <c r="K189" s="563"/>
      <c r="L189" s="563"/>
      <c r="M189" s="564"/>
      <c r="N189" s="564"/>
      <c r="O189" s="595"/>
      <c r="P189" s="595"/>
      <c r="Q189" s="566"/>
      <c r="R189" s="566"/>
      <c r="S189" s="566"/>
      <c r="U189" s="595"/>
      <c r="W189" s="585">
        <v>5</v>
      </c>
      <c r="X189" s="586" t="s">
        <v>6912</v>
      </c>
    </row>
    <row r="190" spans="2:24" s="565" customFormat="1" ht="14.25" customHeight="1">
      <c r="B190" s="584"/>
      <c r="C190" s="573"/>
      <c r="D190" s="563"/>
      <c r="E190" s="563"/>
      <c r="F190" s="563"/>
      <c r="G190" s="563"/>
      <c r="H190" s="563"/>
      <c r="I190" s="564"/>
      <c r="J190" s="564"/>
      <c r="K190" s="563"/>
      <c r="L190" s="563"/>
      <c r="M190" s="564"/>
      <c r="N190" s="564"/>
      <c r="O190" s="595"/>
      <c r="P190" s="595"/>
      <c r="Q190" s="566"/>
      <c r="R190" s="566"/>
      <c r="S190" s="566"/>
      <c r="U190" s="595"/>
    </row>
    <row r="191" spans="2:24" s="565" customFormat="1" ht="14.25" customHeight="1">
      <c r="B191" s="562"/>
      <c r="C191" s="563"/>
      <c r="D191" s="563"/>
      <c r="E191" s="563"/>
      <c r="F191" s="563"/>
      <c r="G191" s="563"/>
      <c r="H191" s="563"/>
      <c r="I191" s="564"/>
      <c r="J191" s="564"/>
      <c r="K191" s="563"/>
      <c r="L191" s="563"/>
      <c r="M191" s="564"/>
      <c r="N191" s="564"/>
      <c r="O191" s="595"/>
      <c r="P191" s="595"/>
      <c r="Q191" s="566"/>
      <c r="R191" s="566"/>
      <c r="S191" s="566"/>
      <c r="U191" s="595"/>
    </row>
    <row r="192" spans="2:24" s="565" customFormat="1" ht="38.25" customHeight="1">
      <c r="B192" s="1172"/>
      <c r="C192" s="1172"/>
      <c r="D192" s="1172"/>
      <c r="E192" s="1172"/>
      <c r="F192" s="1172"/>
      <c r="G192" s="1172"/>
      <c r="H192" s="1172"/>
      <c r="I192" s="1172"/>
      <c r="J192" s="1172"/>
      <c r="K192" s="1172"/>
      <c r="L192" s="1172"/>
      <c r="M192" s="1172"/>
      <c r="N192" s="1172"/>
      <c r="O192" s="1172"/>
      <c r="P192" s="1172"/>
      <c r="Q192" s="1172"/>
      <c r="R192" s="1172"/>
      <c r="S192" s="1172"/>
      <c r="T192" s="1172"/>
      <c r="U192" s="1172"/>
      <c r="V192" s="1172"/>
    </row>
    <row r="193" spans="2:24" s="565" customFormat="1" ht="12.75" customHeight="1">
      <c r="B193" s="562"/>
      <c r="C193" s="563"/>
      <c r="D193" s="563"/>
      <c r="E193" s="563"/>
      <c r="F193" s="563"/>
      <c r="G193" s="563"/>
      <c r="H193" s="563"/>
      <c r="I193" s="564"/>
      <c r="J193" s="564"/>
      <c r="K193" s="563"/>
      <c r="L193" s="563"/>
      <c r="M193" s="564"/>
      <c r="N193" s="564"/>
      <c r="O193" s="595"/>
      <c r="P193" s="595"/>
      <c r="Q193" s="566"/>
      <c r="R193" s="566"/>
      <c r="S193" s="566"/>
      <c r="U193" s="595"/>
    </row>
    <row r="194" spans="2:24" s="565" customFormat="1" ht="38.25" customHeight="1">
      <c r="B194" s="1172"/>
      <c r="C194" s="1172"/>
      <c r="D194" s="1172"/>
      <c r="E194" s="1172"/>
      <c r="F194" s="1172"/>
      <c r="G194" s="1172"/>
      <c r="H194" s="1172"/>
      <c r="I194" s="1172"/>
      <c r="J194" s="1172"/>
      <c r="K194" s="1172"/>
      <c r="L194" s="1172"/>
      <c r="M194" s="1172"/>
      <c r="N194" s="1172"/>
      <c r="O194" s="1172"/>
      <c r="P194" s="1172"/>
      <c r="Q194" s="1172"/>
      <c r="R194" s="1172"/>
      <c r="S194" s="1172"/>
      <c r="T194" s="1172"/>
      <c r="U194" s="1172"/>
      <c r="V194" s="1172"/>
    </row>
    <row r="195" spans="2:24" s="565" customFormat="1" ht="12.75" customHeight="1">
      <c r="B195" s="562"/>
      <c r="C195" s="563"/>
      <c r="D195" s="563"/>
      <c r="E195" s="563"/>
      <c r="F195" s="563"/>
      <c r="G195" s="563"/>
      <c r="H195" s="563"/>
      <c r="I195" s="564"/>
      <c r="J195" s="564"/>
      <c r="K195" s="563"/>
      <c r="L195" s="563"/>
      <c r="M195" s="564"/>
      <c r="N195" s="564"/>
      <c r="O195" s="595"/>
      <c r="P195" s="595"/>
      <c r="Q195" s="566"/>
      <c r="R195" s="566"/>
      <c r="S195" s="566"/>
      <c r="U195" s="595"/>
    </row>
    <row r="196" spans="2:24" s="565" customFormat="1" ht="38.25" customHeight="1">
      <c r="B196" s="1172"/>
      <c r="C196" s="1172"/>
      <c r="D196" s="1172"/>
      <c r="E196" s="1172"/>
      <c r="F196" s="1172"/>
      <c r="G196" s="1172"/>
      <c r="H196" s="1172"/>
      <c r="I196" s="1172"/>
      <c r="J196" s="1172"/>
      <c r="K196" s="1172"/>
      <c r="L196" s="1172"/>
      <c r="M196" s="1172"/>
      <c r="N196" s="1172"/>
      <c r="O196" s="1172"/>
      <c r="P196" s="1172"/>
      <c r="Q196" s="1172"/>
      <c r="R196" s="1172"/>
      <c r="S196" s="1172"/>
      <c r="T196" s="1172"/>
      <c r="U196" s="1172"/>
      <c r="V196" s="1172"/>
    </row>
    <row r="197" spans="2:24" s="565" customFormat="1" ht="12.75" customHeight="1">
      <c r="B197" s="596"/>
      <c r="C197" s="596"/>
      <c r="D197" s="596"/>
      <c r="E197" s="596"/>
      <c r="F197" s="596"/>
      <c r="G197" s="596"/>
      <c r="H197" s="596"/>
      <c r="I197" s="596"/>
      <c r="J197" s="596"/>
      <c r="K197" s="596"/>
      <c r="L197" s="596"/>
      <c r="M197" s="596"/>
      <c r="N197" s="596"/>
      <c r="O197" s="596"/>
      <c r="P197" s="596"/>
      <c r="Q197" s="596"/>
      <c r="R197" s="596"/>
      <c r="S197" s="596"/>
      <c r="T197" s="596"/>
      <c r="U197" s="596"/>
      <c r="V197" s="596"/>
    </row>
    <row r="198" spans="2:24" s="565" customFormat="1" ht="12.75" customHeight="1">
      <c r="B198" s="596"/>
      <c r="C198" s="596"/>
      <c r="D198" s="596"/>
      <c r="E198" s="596"/>
      <c r="F198" s="596"/>
      <c r="G198" s="596"/>
      <c r="H198" s="596"/>
      <c r="I198" s="596"/>
      <c r="J198" s="596"/>
      <c r="K198" s="596"/>
      <c r="L198" s="596"/>
      <c r="M198" s="596"/>
      <c r="N198" s="596"/>
      <c r="O198" s="596"/>
      <c r="P198" s="596"/>
      <c r="Q198" s="596"/>
      <c r="R198" s="596"/>
      <c r="S198" s="596"/>
      <c r="T198" s="596"/>
      <c r="U198" s="596"/>
      <c r="V198" s="596"/>
    </row>
    <row r="199" spans="2:24" s="565" customFormat="1" ht="12.75" customHeight="1">
      <c r="B199" s="584" t="s">
        <v>6549</v>
      </c>
      <c r="C199" s="1173" t="str">
        <f>CHOOSE(jezyk,n!A1485,n!B1485,n!C1485,n!D1484)</f>
        <v>CZYNNIKI RYZYKA ZWIĄZANE Z PROWADZONĄ DZIAŁALNOŚCIĄ,  W TYM W ZAKRESIE INSTRUMENTÓW FINANSOWYCH</v>
      </c>
      <c r="D199" s="1173"/>
      <c r="E199" s="1173"/>
      <c r="F199" s="1173"/>
      <c r="G199" s="1173"/>
      <c r="H199" s="1173"/>
      <c r="I199" s="1173"/>
      <c r="J199" s="1173"/>
      <c r="K199" s="1173"/>
      <c r="L199" s="1173"/>
      <c r="M199" s="1173"/>
      <c r="N199" s="1173"/>
      <c r="O199" s="1173"/>
      <c r="P199" s="1173"/>
      <c r="Q199" s="1173"/>
      <c r="R199" s="1173"/>
      <c r="S199" s="1173"/>
      <c r="T199" s="1173"/>
      <c r="U199" s="1173"/>
      <c r="V199" s="1173"/>
      <c r="W199" s="585">
        <v>6</v>
      </c>
      <c r="X199" s="586" t="s">
        <v>6912</v>
      </c>
    </row>
    <row r="200" spans="2:24" s="565" customFormat="1" ht="12.75" customHeight="1">
      <c r="B200" s="584"/>
      <c r="C200" s="1173"/>
      <c r="D200" s="1173"/>
      <c r="E200" s="1173"/>
      <c r="F200" s="1173"/>
      <c r="G200" s="1173"/>
      <c r="H200" s="1173"/>
      <c r="I200" s="1173"/>
      <c r="J200" s="1173"/>
      <c r="K200" s="1173"/>
      <c r="L200" s="1173"/>
      <c r="M200" s="1173"/>
      <c r="N200" s="1173"/>
      <c r="O200" s="1173"/>
      <c r="P200" s="1173"/>
      <c r="Q200" s="1173"/>
      <c r="R200" s="1173"/>
      <c r="S200" s="1173"/>
      <c r="T200" s="1173"/>
      <c r="U200" s="1173"/>
      <c r="V200" s="1173"/>
    </row>
    <row r="201" spans="2:24" s="565" customFormat="1" ht="12.75" customHeight="1">
      <c r="B201" s="562"/>
      <c r="C201" s="563"/>
      <c r="D201" s="563"/>
      <c r="E201" s="563"/>
      <c r="F201" s="563"/>
      <c r="G201" s="563"/>
      <c r="H201" s="563"/>
      <c r="I201" s="564"/>
      <c r="J201" s="564"/>
      <c r="K201" s="563"/>
      <c r="L201" s="563"/>
      <c r="M201" s="564"/>
      <c r="N201" s="564"/>
      <c r="O201" s="595"/>
      <c r="P201" s="595"/>
      <c r="Q201" s="566"/>
      <c r="R201" s="566"/>
      <c r="S201" s="566"/>
      <c r="U201" s="595"/>
    </row>
    <row r="202" spans="2:24" s="565" customFormat="1" ht="38.25" customHeight="1">
      <c r="B202" s="1170" t="s">
        <v>4103</v>
      </c>
      <c r="C202" s="1170"/>
      <c r="D202" s="1170"/>
      <c r="E202" s="1170"/>
      <c r="F202" s="1170"/>
      <c r="G202" s="1170"/>
      <c r="H202" s="1170"/>
      <c r="I202" s="1170"/>
      <c r="J202" s="1170"/>
      <c r="K202" s="1170"/>
      <c r="L202" s="1170"/>
      <c r="M202" s="1170"/>
      <c r="N202" s="1170"/>
      <c r="O202" s="1170"/>
      <c r="P202" s="1170"/>
      <c r="Q202" s="1170"/>
      <c r="R202" s="1170"/>
      <c r="S202" s="1170"/>
      <c r="T202" s="1170"/>
      <c r="U202" s="1170"/>
      <c r="V202" s="1170"/>
      <c r="W202" s="130" t="s">
        <v>6916</v>
      </c>
    </row>
    <row r="203" spans="2:24" s="565" customFormat="1" ht="38.25" customHeight="1">
      <c r="B203" s="1170" t="s">
        <v>4106</v>
      </c>
      <c r="C203" s="1170"/>
      <c r="D203" s="1170"/>
      <c r="E203" s="1170"/>
      <c r="F203" s="1170"/>
      <c r="G203" s="1170"/>
      <c r="H203" s="1170"/>
      <c r="I203" s="1170"/>
      <c r="J203" s="1170"/>
      <c r="K203" s="1170"/>
      <c r="L203" s="1170"/>
      <c r="M203" s="1170"/>
      <c r="N203" s="1170"/>
      <c r="O203" s="1170"/>
      <c r="P203" s="1170"/>
      <c r="Q203" s="1170"/>
      <c r="R203" s="1170"/>
      <c r="S203" s="1170"/>
      <c r="T203" s="1170"/>
      <c r="U203" s="1170"/>
      <c r="V203" s="1170"/>
      <c r="W203" s="130" t="s">
        <v>6916</v>
      </c>
    </row>
    <row r="204" spans="2:24" s="565" customFormat="1" ht="12.75" customHeight="1">
      <c r="B204" s="562"/>
      <c r="C204" s="563"/>
      <c r="D204" s="563"/>
      <c r="E204" s="563"/>
      <c r="F204" s="563"/>
      <c r="G204" s="563"/>
      <c r="H204" s="563"/>
      <c r="I204" s="564"/>
      <c r="J204" s="564"/>
      <c r="K204" s="563"/>
      <c r="L204" s="563"/>
      <c r="M204" s="564"/>
      <c r="N204" s="564"/>
      <c r="O204" s="595"/>
      <c r="P204" s="595"/>
      <c r="Q204" s="566"/>
      <c r="R204" s="566"/>
      <c r="S204" s="566"/>
      <c r="U204" s="595"/>
    </row>
    <row r="205" spans="2:24" s="565" customFormat="1" ht="38.25" customHeight="1">
      <c r="B205" s="1172"/>
      <c r="C205" s="1172"/>
      <c r="D205" s="1172"/>
      <c r="E205" s="1172"/>
      <c r="F205" s="1172"/>
      <c r="G205" s="1172"/>
      <c r="H205" s="1172"/>
      <c r="I205" s="1172"/>
      <c r="J205" s="1172"/>
      <c r="K205" s="1172"/>
      <c r="L205" s="1172"/>
      <c r="M205" s="1172"/>
      <c r="N205" s="1172"/>
      <c r="O205" s="1172"/>
      <c r="P205" s="1172"/>
      <c r="Q205" s="1172"/>
      <c r="R205" s="1172"/>
      <c r="S205" s="1172"/>
      <c r="T205" s="1172"/>
      <c r="U205" s="1172"/>
      <c r="V205" s="1172"/>
    </row>
    <row r="206" spans="2:24" s="565" customFormat="1">
      <c r="B206" s="596"/>
      <c r="C206" s="1170" t="str">
        <f>CHOOSE(jezyk,n!A1486,n!B1485,n!C1486,n!D1484)</f>
        <v>Czynniki ryzyka związane z instrumentami finansowymi</v>
      </c>
      <c r="D206" s="1170"/>
      <c r="E206" s="1170"/>
      <c r="F206" s="1170"/>
      <c r="G206" s="1170"/>
      <c r="H206" s="1170"/>
      <c r="I206" s="1170"/>
      <c r="J206" s="1170"/>
      <c r="K206" s="1170"/>
      <c r="L206" s="1170"/>
      <c r="M206" s="1170"/>
      <c r="N206" s="1170"/>
      <c r="O206" s="1170"/>
      <c r="P206" s="1170"/>
      <c r="Q206" s="1170"/>
      <c r="R206" s="1170"/>
      <c r="S206" s="1170"/>
      <c r="T206" s="1170"/>
      <c r="U206" s="1170"/>
      <c r="V206" s="1170"/>
    </row>
    <row r="207" spans="2:24" s="565" customFormat="1" ht="38.25" customHeight="1">
      <c r="B207" s="599"/>
      <c r="C207" s="599"/>
      <c r="D207" s="599"/>
      <c r="E207" s="599"/>
      <c r="F207" s="599"/>
      <c r="G207" s="599"/>
      <c r="H207" s="599"/>
      <c r="I207" s="599"/>
      <c r="J207" s="599"/>
      <c r="K207" s="599"/>
      <c r="L207" s="599"/>
      <c r="M207" s="599"/>
      <c r="N207" s="599"/>
      <c r="O207" s="599"/>
      <c r="P207" s="599"/>
      <c r="Q207" s="599"/>
      <c r="R207" s="599"/>
      <c r="S207" s="599"/>
      <c r="T207" s="599"/>
      <c r="U207" s="599"/>
      <c r="V207" s="599"/>
    </row>
    <row r="208" spans="2:24" s="565" customFormat="1" ht="12.75" customHeight="1">
      <c r="B208" s="596"/>
      <c r="C208" s="596"/>
      <c r="D208" s="596"/>
      <c r="E208" s="596"/>
      <c r="F208" s="596"/>
      <c r="G208" s="596"/>
      <c r="H208" s="596"/>
      <c r="I208" s="596"/>
      <c r="J208" s="596"/>
      <c r="K208" s="596"/>
      <c r="L208" s="596"/>
      <c r="M208" s="596"/>
      <c r="N208" s="596"/>
      <c r="O208" s="596"/>
      <c r="P208" s="596"/>
      <c r="Q208" s="596"/>
      <c r="R208" s="596"/>
      <c r="S208" s="596"/>
      <c r="T208" s="596"/>
      <c r="U208" s="596"/>
      <c r="V208" s="596"/>
    </row>
    <row r="209" spans="2:24" s="565" customFormat="1" ht="12.75" customHeight="1">
      <c r="B209" s="596"/>
      <c r="C209" s="596"/>
      <c r="D209" s="596"/>
      <c r="E209" s="596"/>
      <c r="F209" s="596"/>
      <c r="G209" s="596"/>
      <c r="H209" s="596"/>
      <c r="I209" s="596"/>
      <c r="J209" s="596"/>
      <c r="K209" s="596"/>
      <c r="L209" s="596"/>
      <c r="M209" s="596"/>
      <c r="N209" s="596"/>
      <c r="O209" s="596"/>
      <c r="P209" s="596"/>
      <c r="Q209" s="596"/>
      <c r="R209" s="596"/>
      <c r="S209" s="596"/>
      <c r="T209" s="596"/>
      <c r="U209" s="596"/>
      <c r="V209" s="596"/>
    </row>
    <row r="210" spans="2:24" s="565" customFormat="1" ht="12.75" customHeight="1">
      <c r="B210" s="584" t="s">
        <v>6763</v>
      </c>
      <c r="C210" s="573" t="str">
        <f>CHOOSE(jezyk,n!A1487,n!B1487,n!C1487,n!D1482)</f>
        <v>WAŻNIEJSZE OSIĄGNIĘCIA W DZIEDZINIE BADAŃ I ROZWOJU</v>
      </c>
      <c r="D210" s="563"/>
      <c r="E210" s="563"/>
      <c r="F210" s="563"/>
      <c r="G210" s="563"/>
      <c r="H210" s="563"/>
      <c r="I210" s="564"/>
      <c r="J210" s="564"/>
      <c r="K210" s="563"/>
      <c r="L210" s="563"/>
      <c r="M210" s="564"/>
      <c r="N210" s="564"/>
      <c r="O210" s="595"/>
      <c r="P210" s="595"/>
      <c r="Q210" s="566"/>
      <c r="R210" s="566"/>
      <c r="S210" s="566"/>
      <c r="U210" s="595"/>
      <c r="W210" s="585">
        <v>6</v>
      </c>
      <c r="X210" s="586" t="s">
        <v>6912</v>
      </c>
    </row>
    <row r="211" spans="2:24" s="565" customFormat="1" ht="12.75" customHeight="1">
      <c r="B211" s="562"/>
      <c r="C211" s="563"/>
      <c r="D211" s="563"/>
      <c r="E211" s="563"/>
      <c r="F211" s="563"/>
      <c r="G211" s="563"/>
      <c r="H211" s="563"/>
      <c r="I211" s="564"/>
      <c r="J211" s="564"/>
      <c r="K211" s="563"/>
      <c r="L211" s="563"/>
      <c r="M211" s="564"/>
      <c r="N211" s="564"/>
      <c r="O211" s="595"/>
      <c r="P211" s="595"/>
      <c r="Q211" s="566"/>
      <c r="R211" s="566"/>
      <c r="S211" s="566"/>
      <c r="U211" s="595"/>
    </row>
    <row r="212" spans="2:24" s="565" customFormat="1" ht="12.75" customHeight="1">
      <c r="B212" s="562"/>
      <c r="C212" s="563"/>
      <c r="D212" s="563"/>
      <c r="E212" s="563"/>
      <c r="F212" s="563"/>
      <c r="G212" s="563"/>
      <c r="H212" s="563"/>
      <c r="I212" s="564"/>
      <c r="J212" s="564"/>
      <c r="K212" s="563"/>
      <c r="L212" s="563"/>
      <c r="M212" s="564"/>
      <c r="N212" s="564"/>
      <c r="O212" s="595"/>
      <c r="P212" s="595"/>
      <c r="Q212" s="566"/>
      <c r="R212" s="566"/>
      <c r="S212" s="566"/>
      <c r="U212" s="595"/>
    </row>
    <row r="213" spans="2:24" s="565" customFormat="1" ht="38.25" customHeight="1">
      <c r="B213" s="1172" t="s">
        <v>6917</v>
      </c>
      <c r="C213" s="1172"/>
      <c r="D213" s="1172"/>
      <c r="E213" s="1172"/>
      <c r="F213" s="1172"/>
      <c r="G213" s="1172"/>
      <c r="H213" s="1172"/>
      <c r="I213" s="1172"/>
      <c r="J213" s="1172"/>
      <c r="K213" s="1172"/>
      <c r="L213" s="1172"/>
      <c r="M213" s="1172"/>
      <c r="N213" s="1172"/>
      <c r="O213" s="1172"/>
      <c r="P213" s="1172"/>
      <c r="Q213" s="1172"/>
      <c r="R213" s="1172"/>
      <c r="S213" s="1172"/>
      <c r="T213" s="1172"/>
      <c r="U213" s="1172"/>
      <c r="V213" s="1172"/>
    </row>
    <row r="214" spans="2:24" s="565" customFormat="1" ht="12.75" customHeight="1">
      <c r="B214" s="562"/>
      <c r="C214" s="563"/>
      <c r="D214" s="563"/>
      <c r="E214" s="563"/>
      <c r="F214" s="563"/>
      <c r="G214" s="563"/>
      <c r="H214" s="563"/>
      <c r="I214" s="564"/>
      <c r="J214" s="564"/>
      <c r="K214" s="563"/>
      <c r="L214" s="563"/>
      <c r="M214" s="564"/>
      <c r="N214" s="564"/>
      <c r="O214" s="595"/>
      <c r="P214" s="595"/>
      <c r="Q214" s="566"/>
      <c r="R214" s="566"/>
      <c r="S214" s="566"/>
      <c r="U214" s="595"/>
    </row>
    <row r="215" spans="2:24" s="565" customFormat="1" ht="38.25" customHeight="1">
      <c r="B215" s="1172"/>
      <c r="C215" s="1172"/>
      <c r="D215" s="1172"/>
      <c r="E215" s="1172"/>
      <c r="F215" s="1172"/>
      <c r="G215" s="1172"/>
      <c r="H215" s="1172"/>
      <c r="I215" s="1172"/>
      <c r="J215" s="1172"/>
      <c r="K215" s="1172"/>
      <c r="L215" s="1172"/>
      <c r="M215" s="1172"/>
      <c r="N215" s="1172"/>
      <c r="O215" s="1172"/>
      <c r="P215" s="1172"/>
      <c r="Q215" s="1172"/>
      <c r="R215" s="1172"/>
      <c r="S215" s="1172"/>
      <c r="T215" s="1172"/>
      <c r="U215" s="1172"/>
      <c r="V215" s="1172"/>
    </row>
    <row r="216" spans="2:24" s="565" customFormat="1" ht="12.75" customHeight="1">
      <c r="B216" s="562"/>
      <c r="C216" s="563"/>
      <c r="D216" s="563"/>
      <c r="E216" s="563"/>
      <c r="F216" s="563"/>
      <c r="G216" s="563"/>
      <c r="H216" s="563"/>
      <c r="I216" s="564"/>
      <c r="J216" s="564"/>
      <c r="K216" s="563"/>
      <c r="L216" s="563"/>
      <c r="M216" s="564"/>
      <c r="N216" s="564"/>
      <c r="O216" s="595"/>
      <c r="P216" s="595"/>
      <c r="Q216" s="566"/>
      <c r="R216" s="566"/>
      <c r="S216" s="566"/>
      <c r="U216" s="595"/>
    </row>
    <row r="217" spans="2:24" s="565" customFormat="1" ht="38.25" customHeight="1">
      <c r="B217" s="1172"/>
      <c r="C217" s="1172"/>
      <c r="D217" s="1172"/>
      <c r="E217" s="1172"/>
      <c r="F217" s="1172"/>
      <c r="G217" s="1172"/>
      <c r="H217" s="1172"/>
      <c r="I217" s="1172"/>
      <c r="J217" s="1172"/>
      <c r="K217" s="1172"/>
      <c r="L217" s="1172"/>
      <c r="M217" s="1172"/>
      <c r="N217" s="1172"/>
      <c r="O217" s="1172"/>
      <c r="P217" s="1172"/>
      <c r="Q217" s="1172"/>
      <c r="R217" s="1172"/>
      <c r="S217" s="1172"/>
      <c r="T217" s="1172"/>
      <c r="U217" s="1172"/>
      <c r="V217" s="1172"/>
    </row>
    <row r="218" spans="2:24" s="565" customFormat="1" ht="12.75" customHeight="1">
      <c r="B218" s="596"/>
      <c r="C218" s="596"/>
      <c r="D218" s="596"/>
      <c r="E218" s="596"/>
      <c r="F218" s="596"/>
      <c r="G218" s="596"/>
      <c r="H218" s="596"/>
      <c r="I218" s="596"/>
      <c r="J218" s="596"/>
      <c r="K218" s="596"/>
      <c r="L218" s="596"/>
      <c r="M218" s="596"/>
      <c r="N218" s="596"/>
      <c r="O218" s="596"/>
      <c r="P218" s="596"/>
      <c r="Q218" s="596"/>
      <c r="R218" s="596"/>
      <c r="S218" s="596"/>
      <c r="T218" s="596"/>
      <c r="U218" s="596"/>
      <c r="V218" s="596"/>
    </row>
    <row r="219" spans="2:24" s="565" customFormat="1" ht="12.75" customHeight="1">
      <c r="B219" s="596"/>
      <c r="C219" s="596"/>
      <c r="D219" s="596"/>
      <c r="E219" s="596"/>
      <c r="F219" s="596"/>
      <c r="G219" s="596"/>
      <c r="H219" s="596"/>
      <c r="I219" s="596"/>
      <c r="J219" s="596"/>
      <c r="K219" s="596"/>
      <c r="L219" s="596"/>
      <c r="M219" s="596"/>
      <c r="N219" s="596"/>
      <c r="O219" s="596"/>
      <c r="P219" s="596"/>
      <c r="Q219" s="596"/>
      <c r="R219" s="596"/>
      <c r="S219" s="596"/>
      <c r="T219" s="596"/>
      <c r="U219" s="596"/>
      <c r="V219" s="596"/>
    </row>
    <row r="220" spans="2:24" s="565" customFormat="1" ht="12.75" customHeight="1">
      <c r="B220" s="584" t="s">
        <v>6772</v>
      </c>
      <c r="C220" s="573" t="str">
        <f>CHOOSE(jezyk,n!A1488,n!B1488,n!C1488,n!D1483)</f>
        <v>INFORMACJE O NABYCIU UDZIAŁÓW (AKCJI) WŁASNYCH</v>
      </c>
      <c r="D220" s="563"/>
      <c r="E220" s="563"/>
      <c r="F220" s="563"/>
      <c r="G220" s="563"/>
      <c r="H220" s="563"/>
      <c r="I220" s="564"/>
      <c r="J220" s="564"/>
      <c r="K220" s="563"/>
      <c r="L220" s="563"/>
      <c r="M220" s="564"/>
      <c r="N220" s="564"/>
      <c r="O220" s="595"/>
      <c r="P220" s="595"/>
      <c r="Q220" s="566"/>
      <c r="R220" s="566"/>
      <c r="S220" s="566"/>
      <c r="U220" s="595"/>
      <c r="W220" s="585">
        <v>6</v>
      </c>
      <c r="X220" s="586" t="s">
        <v>6912</v>
      </c>
    </row>
    <row r="221" spans="2:24" s="565" customFormat="1" ht="12.75" customHeight="1">
      <c r="B221" s="562"/>
      <c r="C221" s="563"/>
      <c r="D221" s="563"/>
      <c r="E221" s="563"/>
      <c r="F221" s="563"/>
      <c r="G221" s="563"/>
      <c r="H221" s="563"/>
      <c r="I221" s="564"/>
      <c r="J221" s="564"/>
      <c r="K221" s="563"/>
      <c r="L221" s="563"/>
      <c r="M221" s="564"/>
      <c r="N221" s="564"/>
      <c r="O221" s="595"/>
      <c r="P221" s="595"/>
      <c r="Q221" s="566"/>
      <c r="R221" s="566"/>
      <c r="S221" s="566"/>
      <c r="U221" s="595"/>
    </row>
    <row r="222" spans="2:24" s="565" customFormat="1" ht="12.75" customHeight="1">
      <c r="B222" s="562"/>
      <c r="C222" s="563"/>
      <c r="D222" s="563"/>
      <c r="E222" s="563"/>
      <c r="F222" s="563"/>
      <c r="G222" s="563"/>
      <c r="H222" s="563"/>
      <c r="I222" s="564"/>
      <c r="J222" s="564"/>
      <c r="K222" s="563"/>
      <c r="L222" s="563"/>
      <c r="M222" s="564"/>
      <c r="N222" s="564"/>
      <c r="O222" s="595"/>
      <c r="P222" s="595"/>
      <c r="Q222" s="566"/>
      <c r="R222" s="566"/>
      <c r="S222" s="566"/>
      <c r="U222" s="595"/>
    </row>
    <row r="223" spans="2:24" s="565" customFormat="1" ht="38.25" customHeight="1">
      <c r="B223" s="1170" t="s">
        <v>4109</v>
      </c>
      <c r="C223" s="1170"/>
      <c r="D223" s="1170"/>
      <c r="E223" s="1170"/>
      <c r="F223" s="1170"/>
      <c r="G223" s="1170"/>
      <c r="H223" s="1170"/>
      <c r="I223" s="1170"/>
      <c r="J223" s="1170"/>
      <c r="K223" s="1170"/>
      <c r="L223" s="1170"/>
      <c r="M223" s="1170"/>
      <c r="N223" s="1170"/>
      <c r="O223" s="1170"/>
      <c r="P223" s="1170"/>
      <c r="Q223" s="1170"/>
      <c r="R223" s="1170"/>
      <c r="S223" s="1170"/>
      <c r="T223" s="1170"/>
      <c r="U223" s="1170"/>
      <c r="V223" s="1170"/>
      <c r="W223" s="130" t="s">
        <v>6916</v>
      </c>
    </row>
    <row r="224" spans="2:24" s="565" customFormat="1" ht="38.25" customHeight="1">
      <c r="B224" s="1172"/>
      <c r="C224" s="1172"/>
      <c r="D224" s="1172"/>
      <c r="E224" s="1172"/>
      <c r="F224" s="1172"/>
      <c r="G224" s="1172"/>
      <c r="H224" s="1172"/>
      <c r="I224" s="1172"/>
      <c r="J224" s="1172"/>
      <c r="K224" s="1172"/>
      <c r="L224" s="1172"/>
      <c r="M224" s="1172"/>
      <c r="N224" s="1172"/>
      <c r="O224" s="1172"/>
      <c r="P224" s="1172"/>
      <c r="Q224" s="1172"/>
      <c r="R224" s="1172"/>
      <c r="S224" s="1172"/>
      <c r="T224" s="1172"/>
      <c r="U224" s="1172"/>
      <c r="V224" s="1172"/>
    </row>
    <row r="225" spans="2:24" s="565" customFormat="1" ht="12.75" customHeight="1">
      <c r="B225" s="562"/>
      <c r="C225" s="563"/>
      <c r="D225" s="563"/>
      <c r="E225" s="563"/>
      <c r="F225" s="563"/>
      <c r="G225" s="563"/>
      <c r="H225" s="563"/>
      <c r="I225" s="564"/>
      <c r="J225" s="564"/>
      <c r="K225" s="563"/>
      <c r="L225" s="563"/>
      <c r="M225" s="564"/>
      <c r="N225" s="564"/>
      <c r="O225" s="595"/>
      <c r="P225" s="595"/>
      <c r="Q225" s="566"/>
      <c r="R225" s="566"/>
      <c r="S225" s="566"/>
      <c r="U225" s="595"/>
    </row>
    <row r="226" spans="2:24" s="565" customFormat="1" ht="38.25" customHeight="1">
      <c r="B226" s="1172"/>
      <c r="C226" s="1172"/>
      <c r="D226" s="1172"/>
      <c r="E226" s="1172"/>
      <c r="F226" s="1172"/>
      <c r="G226" s="1172"/>
      <c r="H226" s="1172"/>
      <c r="I226" s="1172"/>
      <c r="J226" s="1172"/>
      <c r="K226" s="1172"/>
      <c r="L226" s="1172"/>
      <c r="M226" s="1172"/>
      <c r="N226" s="1172"/>
      <c r="O226" s="1172"/>
      <c r="P226" s="1172"/>
      <c r="Q226" s="1172"/>
      <c r="R226" s="1172"/>
      <c r="S226" s="1172"/>
      <c r="T226" s="1172"/>
      <c r="U226" s="1172"/>
      <c r="V226" s="1172"/>
    </row>
    <row r="227" spans="2:24" s="565" customFormat="1" ht="12.75" customHeight="1">
      <c r="B227" s="596"/>
      <c r="C227" s="596"/>
      <c r="D227" s="596"/>
      <c r="E227" s="596"/>
      <c r="F227" s="596"/>
      <c r="G227" s="596"/>
      <c r="H227" s="596"/>
      <c r="I227" s="596"/>
      <c r="J227" s="596"/>
      <c r="K227" s="596"/>
      <c r="L227" s="596"/>
      <c r="M227" s="596"/>
      <c r="N227" s="596"/>
      <c r="O227" s="596"/>
      <c r="P227" s="596"/>
      <c r="Q227" s="596"/>
      <c r="R227" s="596"/>
      <c r="S227" s="596"/>
      <c r="T227" s="596"/>
      <c r="U227" s="596"/>
      <c r="V227" s="596"/>
    </row>
    <row r="228" spans="2:24" s="565" customFormat="1" ht="12.75" customHeight="1">
      <c r="B228" s="562"/>
      <c r="C228" s="563"/>
      <c r="D228" s="563"/>
      <c r="E228" s="563"/>
      <c r="F228" s="563"/>
      <c r="G228" s="563"/>
      <c r="H228" s="563"/>
      <c r="I228" s="564"/>
      <c r="J228" s="564"/>
      <c r="K228" s="563"/>
      <c r="L228" s="563"/>
      <c r="M228" s="564"/>
      <c r="N228" s="564"/>
      <c r="O228" s="595"/>
      <c r="P228" s="595"/>
      <c r="Q228" s="566"/>
      <c r="R228" s="566"/>
      <c r="S228" s="566"/>
      <c r="U228" s="595"/>
    </row>
    <row r="229" spans="2:24" s="565" customFormat="1" ht="12.75" customHeight="1">
      <c r="B229" s="584" t="s">
        <v>6773</v>
      </c>
      <c r="C229" s="573" t="str">
        <f>CHOOSE(jezyk,n!A1489,n!B1489,n!C1489,n!D1485)</f>
        <v>ŁAD KORPORACYJNY</v>
      </c>
      <c r="D229" s="563"/>
      <c r="E229" s="563"/>
      <c r="F229" s="563"/>
      <c r="G229" s="563"/>
      <c r="H229" s="563"/>
      <c r="I229" s="564"/>
      <c r="J229" s="564"/>
      <c r="K229" s="563"/>
      <c r="L229" s="563"/>
      <c r="M229" s="564"/>
      <c r="N229" s="564"/>
      <c r="O229" s="595"/>
      <c r="P229" s="595"/>
      <c r="Q229" s="566"/>
      <c r="R229" s="566"/>
      <c r="S229" s="566"/>
      <c r="U229" s="595"/>
      <c r="W229" s="585">
        <v>7</v>
      </c>
      <c r="X229" s="586" t="s">
        <v>6912</v>
      </c>
    </row>
    <row r="230" spans="2:24" s="565" customFormat="1" ht="12.75" customHeight="1">
      <c r="B230" s="584"/>
      <c r="C230" s="573"/>
      <c r="D230" s="563"/>
      <c r="E230" s="563"/>
      <c r="F230" s="563"/>
      <c r="G230" s="563"/>
      <c r="H230" s="563"/>
      <c r="I230" s="564"/>
      <c r="J230" s="564"/>
      <c r="K230" s="563"/>
      <c r="L230" s="563"/>
      <c r="M230" s="564"/>
      <c r="N230" s="564"/>
      <c r="O230" s="595"/>
      <c r="P230" s="595"/>
      <c r="Q230" s="566"/>
      <c r="R230" s="566"/>
      <c r="S230" s="566"/>
      <c r="U230" s="595"/>
    </row>
    <row r="231" spans="2:24" s="565" customFormat="1" ht="12.75" customHeight="1">
      <c r="B231" s="584"/>
      <c r="C231" s="573"/>
      <c r="D231" s="563"/>
      <c r="E231" s="563"/>
      <c r="F231" s="563"/>
      <c r="G231" s="563"/>
      <c r="H231" s="563"/>
      <c r="I231" s="564"/>
      <c r="J231" s="564"/>
      <c r="K231" s="563"/>
      <c r="L231" s="563"/>
      <c r="M231" s="564"/>
      <c r="N231" s="564"/>
      <c r="O231" s="595"/>
      <c r="P231" s="595"/>
      <c r="Q231" s="566"/>
      <c r="R231" s="566"/>
      <c r="S231" s="566"/>
      <c r="U231" s="595"/>
    </row>
    <row r="232" spans="2:24" s="565" customFormat="1" ht="38.25" customHeight="1">
      <c r="B232" s="1191" t="s">
        <v>4112</v>
      </c>
      <c r="C232" s="1191"/>
      <c r="D232" s="1191"/>
      <c r="E232" s="1191"/>
      <c r="F232" s="1191"/>
      <c r="G232" s="1191"/>
      <c r="H232" s="1191"/>
      <c r="I232" s="1191"/>
      <c r="J232" s="1191"/>
      <c r="K232" s="1191"/>
      <c r="L232" s="1191"/>
      <c r="M232" s="1191"/>
      <c r="N232" s="1191"/>
      <c r="O232" s="1191"/>
      <c r="P232" s="1191"/>
      <c r="Q232" s="1191"/>
      <c r="R232" s="1191"/>
      <c r="S232" s="1191"/>
      <c r="T232" s="1191"/>
      <c r="U232" s="1191"/>
      <c r="V232" s="1191"/>
    </row>
    <row r="233" spans="2:24" s="565" customFormat="1" ht="12.75" customHeight="1">
      <c r="B233" s="562"/>
      <c r="C233" s="563"/>
      <c r="D233" s="563"/>
      <c r="E233" s="563"/>
      <c r="F233" s="563"/>
      <c r="G233" s="563"/>
      <c r="H233" s="563"/>
      <c r="I233" s="564"/>
      <c r="J233" s="564"/>
      <c r="K233" s="563"/>
      <c r="L233" s="563"/>
      <c r="M233" s="564"/>
      <c r="N233" s="564"/>
      <c r="O233" s="595"/>
      <c r="P233" s="595"/>
      <c r="Q233" s="566"/>
      <c r="R233" s="566"/>
      <c r="S233" s="566"/>
      <c r="U233" s="595"/>
    </row>
    <row r="234" spans="2:24" s="565" customFormat="1" ht="12.75" customHeight="1">
      <c r="B234" s="562"/>
      <c r="C234" s="563"/>
      <c r="D234" s="563"/>
      <c r="E234" s="563"/>
      <c r="F234" s="563"/>
      <c r="G234" s="563"/>
      <c r="H234" s="563"/>
      <c r="I234" s="564"/>
      <c r="J234" s="564"/>
      <c r="K234" s="563"/>
      <c r="L234" s="563"/>
      <c r="M234" s="564"/>
      <c r="N234" s="564"/>
      <c r="O234" s="595"/>
      <c r="P234" s="595"/>
      <c r="Q234" s="566"/>
      <c r="R234" s="566"/>
      <c r="S234" s="566"/>
      <c r="U234" s="595"/>
    </row>
    <row r="235" spans="2:24" s="565" customFormat="1" ht="12" customHeight="1">
      <c r="B235" s="584" t="s">
        <v>6774</v>
      </c>
      <c r="C235" s="573" t="str">
        <f>CHOOSE(jezyk,n!A1490,n!B1490,n!C1490,n!D1486)</f>
        <v>PODSUMOWANIE</v>
      </c>
      <c r="D235" s="563"/>
      <c r="E235" s="563"/>
      <c r="F235" s="563"/>
      <c r="G235" s="563"/>
      <c r="H235" s="563"/>
      <c r="I235" s="564"/>
      <c r="J235" s="564"/>
      <c r="K235" s="563"/>
      <c r="L235" s="563"/>
      <c r="M235" s="564"/>
      <c r="N235" s="564"/>
      <c r="O235" s="595"/>
      <c r="P235" s="595"/>
      <c r="Q235" s="566"/>
      <c r="R235" s="566"/>
      <c r="S235" s="566"/>
      <c r="U235" s="595"/>
      <c r="W235" s="585">
        <v>7</v>
      </c>
      <c r="X235" s="586" t="s">
        <v>6912</v>
      </c>
    </row>
    <row r="236" spans="2:24" s="565" customFormat="1" ht="12.75" customHeight="1">
      <c r="B236" s="562"/>
      <c r="C236" s="563"/>
      <c r="D236" s="563"/>
      <c r="E236" s="563"/>
      <c r="F236" s="563"/>
      <c r="G236" s="563"/>
      <c r="H236" s="563"/>
      <c r="I236" s="564"/>
      <c r="J236" s="564"/>
      <c r="K236" s="563"/>
      <c r="L236" s="563"/>
      <c r="M236" s="564"/>
      <c r="N236" s="564"/>
      <c r="O236" s="595"/>
      <c r="P236" s="595"/>
      <c r="Q236" s="566"/>
      <c r="R236" s="566"/>
      <c r="S236" s="566"/>
      <c r="U236" s="595"/>
    </row>
    <row r="237" spans="2:24" s="565" customFormat="1">
      <c r="B237" s="562"/>
      <c r="C237" s="563"/>
      <c r="D237" s="563"/>
      <c r="E237" s="563"/>
      <c r="F237" s="563"/>
      <c r="G237" s="563"/>
      <c r="H237" s="563"/>
      <c r="I237" s="564"/>
      <c r="J237" s="564"/>
      <c r="K237" s="563"/>
      <c r="L237" s="563"/>
      <c r="M237" s="564"/>
      <c r="N237" s="564"/>
      <c r="O237" s="595"/>
      <c r="P237" s="595"/>
      <c r="Q237" s="566"/>
      <c r="R237" s="566"/>
      <c r="S237" s="566"/>
    </row>
    <row r="238" spans="2:24" s="565" customFormat="1" ht="38.25" customHeight="1">
      <c r="B238" s="1181" t="str">
        <f>CHOOSE(jezyk,n!A1668,n!B1668,n!C1668,n!D1664)</f>
        <v xml:space="preserve">Znane naszej spółce fakty, z których najistotniejsze zostały przedstawione w niniejszym sprawozdaniu, wskazują, że sytuacja spółki nie budzi obaw, co do funkcjonowania w dającej się przewidzieć przyszłości. </v>
      </c>
      <c r="C238" s="1181"/>
      <c r="D238" s="1181"/>
      <c r="E238" s="1181"/>
      <c r="F238" s="1181"/>
      <c r="G238" s="1181"/>
      <c r="H238" s="1181"/>
      <c r="I238" s="1181"/>
      <c r="J238" s="1181"/>
      <c r="K238" s="1181"/>
      <c r="L238" s="1181"/>
      <c r="M238" s="1181"/>
      <c r="N238" s="1181"/>
      <c r="O238" s="1181"/>
      <c r="P238" s="1181"/>
      <c r="Q238" s="1181"/>
      <c r="R238" s="1181"/>
      <c r="S238" s="1181"/>
      <c r="T238" s="1181"/>
      <c r="U238" s="1181"/>
      <c r="V238" s="1181"/>
    </row>
    <row r="239" spans="2:24" s="565" customFormat="1">
      <c r="B239" s="562"/>
      <c r="C239" s="563"/>
      <c r="D239" s="563"/>
      <c r="E239" s="563"/>
      <c r="F239" s="563"/>
      <c r="G239" s="563"/>
      <c r="H239" s="563"/>
      <c r="I239" s="564"/>
      <c r="J239" s="564"/>
      <c r="K239" s="563"/>
      <c r="L239" s="563"/>
      <c r="M239" s="564"/>
      <c r="N239" s="564"/>
      <c r="O239" s="595"/>
      <c r="P239" s="595"/>
      <c r="Q239" s="566"/>
      <c r="R239" s="566"/>
      <c r="S239" s="566"/>
    </row>
    <row r="240" spans="2:24" s="565" customFormat="1" ht="38.25" customHeight="1">
      <c r="B240" s="1181" t="str">
        <f>CHOOSE(jezyk,n!A1669,n!B1669,n!C1669,n!D1665)</f>
        <v>Pomimo trwającej na rynku dekoniunktury nie występują zjawiska, które mogłyby świadczyć o zagrożeniu kontynuacji działalności spółki ani o ograniczeniu jej skali, a zachodzące zmiany wskazują na kontynuowanie rozwoju.</v>
      </c>
      <c r="C240" s="1181"/>
      <c r="D240" s="1181"/>
      <c r="E240" s="1181"/>
      <c r="F240" s="1181"/>
      <c r="G240" s="1181"/>
      <c r="H240" s="1181"/>
      <c r="I240" s="1181"/>
      <c r="J240" s="1181"/>
      <c r="K240" s="1181"/>
      <c r="L240" s="1181"/>
      <c r="M240" s="1181"/>
      <c r="N240" s="1181"/>
      <c r="O240" s="1181"/>
      <c r="P240" s="1181"/>
      <c r="Q240" s="1181"/>
      <c r="R240" s="1181"/>
      <c r="S240" s="1181"/>
      <c r="T240" s="1181"/>
      <c r="U240" s="1181"/>
      <c r="V240" s="1181"/>
    </row>
    <row r="241" spans="2:22" s="565" customFormat="1" ht="14.25" customHeight="1">
      <c r="B241" s="600"/>
      <c r="C241" s="600"/>
      <c r="D241" s="600"/>
      <c r="E241" s="600"/>
      <c r="F241" s="600"/>
      <c r="G241" s="600"/>
      <c r="H241" s="600"/>
      <c r="I241" s="600"/>
      <c r="J241" s="600"/>
      <c r="K241" s="600"/>
      <c r="L241" s="600"/>
      <c r="M241" s="600"/>
      <c r="N241" s="600"/>
      <c r="O241" s="600"/>
      <c r="P241" s="600"/>
      <c r="Q241" s="600"/>
      <c r="R241" s="600"/>
      <c r="S241" s="600"/>
      <c r="T241" s="600"/>
      <c r="U241" s="600"/>
      <c r="V241" s="600"/>
    </row>
    <row r="242" spans="2:22" s="565" customFormat="1" ht="14.25" customHeight="1">
      <c r="B242" s="600"/>
      <c r="C242" s="600"/>
      <c r="D242" s="600"/>
      <c r="E242" s="600"/>
      <c r="F242" s="600"/>
      <c r="G242" s="600"/>
      <c r="H242" s="600"/>
      <c r="I242" s="600"/>
      <c r="J242" s="600"/>
      <c r="K242" s="600"/>
      <c r="L242" s="600"/>
      <c r="M242" s="600"/>
      <c r="N242" s="600"/>
      <c r="O242" s="600"/>
      <c r="P242" s="600"/>
      <c r="Q242" s="600"/>
      <c r="R242" s="600"/>
      <c r="S242" s="600"/>
      <c r="T242" s="600"/>
      <c r="U242" s="600"/>
      <c r="V242" s="600"/>
    </row>
    <row r="243" spans="2:22" s="565" customFormat="1" ht="14.25" customHeight="1">
      <c r="B243" s="600"/>
      <c r="C243" s="600"/>
      <c r="D243" s="600"/>
      <c r="E243" s="600"/>
      <c r="F243" s="600"/>
      <c r="G243" s="600"/>
      <c r="H243" s="600"/>
      <c r="I243" s="600"/>
      <c r="J243" s="600"/>
      <c r="K243" s="600"/>
      <c r="L243" s="600"/>
      <c r="M243" s="600"/>
      <c r="N243" s="600"/>
      <c r="O243" s="600"/>
      <c r="P243" s="600"/>
      <c r="Q243" s="600"/>
      <c r="R243" s="600"/>
      <c r="S243" s="600"/>
      <c r="T243" s="600"/>
      <c r="U243" s="600"/>
      <c r="V243" s="600"/>
    </row>
    <row r="244" spans="2:22" s="565" customFormat="1">
      <c r="B244" s="1180" t="str">
        <f>GA!D19 &amp;", " &amp;GA!D53</f>
        <v>Warszawa, 30.01.2025</v>
      </c>
      <c r="C244" s="1180"/>
      <c r="D244" s="1180"/>
      <c r="E244" s="1180"/>
      <c r="F244" s="1180"/>
      <c r="G244" s="1180"/>
      <c r="H244" s="1180"/>
      <c r="I244" s="1180"/>
      <c r="J244" s="564"/>
      <c r="K244" s="563"/>
      <c r="L244" s="563"/>
      <c r="M244" s="564"/>
      <c r="N244" s="564"/>
      <c r="O244" s="595"/>
      <c r="P244" s="595"/>
      <c r="Q244" s="595"/>
      <c r="R244" s="595"/>
      <c r="S244" s="595"/>
      <c r="T244" s="595"/>
      <c r="U244" s="595"/>
      <c r="V244" s="595"/>
    </row>
    <row r="245" spans="2:22" s="565" customFormat="1">
      <c r="B245" s="562"/>
      <c r="C245" s="563"/>
      <c r="D245" s="563"/>
      <c r="E245" s="563"/>
      <c r="F245" s="563"/>
      <c r="G245" s="563"/>
      <c r="H245" s="563"/>
      <c r="I245" s="564"/>
      <c r="J245" s="564"/>
      <c r="K245" s="563"/>
      <c r="L245" s="563"/>
      <c r="M245" s="564"/>
      <c r="N245" s="564"/>
      <c r="O245" s="595"/>
      <c r="P245" s="595"/>
      <c r="Q245" s="595"/>
      <c r="R245" s="595"/>
      <c r="S245" s="595"/>
      <c r="T245" s="595"/>
      <c r="U245" s="595"/>
      <c r="V245" s="595"/>
    </row>
    <row r="246" spans="2:22" s="565" customFormat="1">
      <c r="B246" s="563" t="str">
        <f>nazwa_spolki</f>
        <v>Rhenus Digital Workforce Sp. z o.o.</v>
      </c>
      <c r="C246" s="563"/>
      <c r="D246" s="563"/>
      <c r="E246" s="563"/>
      <c r="F246" s="563"/>
      <c r="G246" s="563"/>
      <c r="H246" s="563"/>
      <c r="I246" s="564"/>
      <c r="J246" s="564"/>
      <c r="K246" s="563"/>
      <c r="L246" s="592"/>
      <c r="M246" s="592"/>
      <c r="N246" s="592"/>
      <c r="O246" s="595"/>
      <c r="P246" s="563"/>
      <c r="Q246" s="592"/>
      <c r="R246" s="595"/>
      <c r="S246" s="595"/>
      <c r="T246" s="595"/>
      <c r="U246" s="595"/>
      <c r="V246" s="595"/>
    </row>
    <row r="247" spans="2:22" s="565" customFormat="1">
      <c r="B247" s="562"/>
      <c r="C247" s="563"/>
      <c r="D247" s="563"/>
      <c r="E247" s="563"/>
      <c r="F247" s="563"/>
      <c r="G247" s="563"/>
      <c r="H247" s="563"/>
      <c r="I247" s="564"/>
      <c r="J247" s="564"/>
      <c r="K247" s="563"/>
      <c r="L247" s="563"/>
      <c r="M247" s="564"/>
      <c r="N247" s="564"/>
      <c r="O247" s="595"/>
      <c r="P247" s="595"/>
      <c r="Q247" s="595"/>
      <c r="R247" s="595"/>
      <c r="S247" s="595"/>
      <c r="T247" s="595"/>
      <c r="U247" s="595"/>
      <c r="V247" s="595"/>
    </row>
    <row r="248" spans="2:22" s="565" customFormat="1">
      <c r="B248" s="562"/>
      <c r="C248" s="563"/>
      <c r="D248" s="563"/>
      <c r="E248" s="563"/>
      <c r="F248" s="563"/>
      <c r="G248" s="563"/>
      <c r="H248" s="563"/>
      <c r="I248" s="564"/>
      <c r="J248" s="564"/>
      <c r="K248" s="563"/>
      <c r="L248" s="563"/>
      <c r="M248" s="564"/>
      <c r="N248" s="564"/>
      <c r="O248" s="595"/>
      <c r="P248" s="595"/>
      <c r="Q248" s="595"/>
      <c r="R248" s="595"/>
      <c r="S248" s="595"/>
      <c r="T248" s="595"/>
      <c r="U248" s="595"/>
      <c r="V248" s="595"/>
    </row>
    <row r="249" spans="2:22" s="565" customFormat="1">
      <c r="B249" s="562"/>
      <c r="C249" s="563"/>
      <c r="D249" s="563"/>
      <c r="E249" s="563"/>
      <c r="F249" s="563"/>
      <c r="G249" s="563"/>
      <c r="H249" s="563"/>
      <c r="I249" s="564"/>
      <c r="J249" s="564"/>
      <c r="K249" s="563"/>
      <c r="L249" s="563"/>
      <c r="M249" s="564"/>
      <c r="N249" s="564"/>
      <c r="O249" s="595"/>
      <c r="P249" s="595"/>
      <c r="Q249" s="595"/>
      <c r="R249" s="595"/>
      <c r="S249" s="595"/>
      <c r="T249" s="595"/>
      <c r="U249" s="595"/>
      <c r="V249" s="595"/>
    </row>
    <row r="250" spans="2:22" s="565" customFormat="1">
      <c r="B250" s="1178" t="s">
        <v>6918</v>
      </c>
      <c r="C250" s="1178"/>
      <c r="D250" s="1178"/>
      <c r="E250" s="1178"/>
      <c r="F250" s="1178"/>
      <c r="G250" s="563"/>
      <c r="H250" s="563"/>
      <c r="I250" s="564"/>
      <c r="J250" s="564"/>
      <c r="K250" s="563"/>
      <c r="L250" s="563"/>
      <c r="M250" s="564"/>
      <c r="N250" s="564"/>
      <c r="O250" s="1179"/>
      <c r="P250" s="1179"/>
      <c r="Q250" s="1179"/>
      <c r="R250" s="1179"/>
      <c r="S250" s="1179"/>
      <c r="T250" s="595"/>
      <c r="U250" s="595"/>
      <c r="V250" s="595"/>
    </row>
    <row r="251" spans="2:22" s="565" customFormat="1">
      <c r="B251" s="601" t="str">
        <f>CHOOSE(jezyk,n!A1670,n!B1670,n!C1670,n!D1666)</f>
        <v>Imię i nazwisko</v>
      </c>
      <c r="C251" s="602"/>
      <c r="D251" s="602"/>
      <c r="E251" s="602"/>
      <c r="F251" s="602"/>
      <c r="G251" s="563"/>
      <c r="H251" s="563"/>
      <c r="I251" s="564"/>
      <c r="J251" s="564"/>
      <c r="K251" s="563"/>
      <c r="L251" s="563"/>
      <c r="M251" s="564"/>
      <c r="N251" s="564"/>
      <c r="O251" s="564"/>
      <c r="P251" s="564"/>
      <c r="Q251" s="595"/>
      <c r="R251" s="595"/>
      <c r="S251" s="595"/>
      <c r="T251" s="595"/>
      <c r="U251" s="595"/>
      <c r="V251" s="595"/>
    </row>
    <row r="252" spans="2:22" s="565" customFormat="1">
      <c r="B252" s="601" t="str">
        <f>CHOOSE(jezyk,n!A1671,n!B1671,n!C1671,n!D1667)</f>
        <v>członek zarządu</v>
      </c>
      <c r="C252" s="602"/>
      <c r="D252" s="602"/>
      <c r="E252" s="602"/>
      <c r="F252" s="602"/>
      <c r="G252" s="563"/>
      <c r="H252" s="563"/>
      <c r="I252" s="564"/>
      <c r="J252" s="564"/>
      <c r="K252" s="563"/>
      <c r="L252" s="563"/>
      <c r="M252" s="564"/>
      <c r="N252" s="564"/>
      <c r="O252" s="564"/>
      <c r="P252" s="564"/>
      <c r="Q252" s="595"/>
      <c r="R252" s="595"/>
      <c r="S252" s="595"/>
      <c r="T252" s="595"/>
      <c r="U252" s="595"/>
      <c r="V252" s="595"/>
    </row>
  </sheetData>
  <dataConsolidate/>
  <mergeCells count="57">
    <mergeCell ref="C180:V180"/>
    <mergeCell ref="B166:V166"/>
    <mergeCell ref="B224:V224"/>
    <mergeCell ref="B226:V226"/>
    <mergeCell ref="B232:V232"/>
    <mergeCell ref="B205:V205"/>
    <mergeCell ref="B185:V185"/>
    <mergeCell ref="B203:V203"/>
    <mergeCell ref="B192:V192"/>
    <mergeCell ref="C199:V200"/>
    <mergeCell ref="C206:V206"/>
    <mergeCell ref="C90:V90"/>
    <mergeCell ref="C92:V92"/>
    <mergeCell ref="D123:S123"/>
    <mergeCell ref="D121:S121"/>
    <mergeCell ref="B250:F250"/>
    <mergeCell ref="O250:S250"/>
    <mergeCell ref="B244:I244"/>
    <mergeCell ref="B240:V240"/>
    <mergeCell ref="B194:V194"/>
    <mergeCell ref="B238:V238"/>
    <mergeCell ref="B196:V196"/>
    <mergeCell ref="B202:V202"/>
    <mergeCell ref="B213:V213"/>
    <mergeCell ref="B215:V215"/>
    <mergeCell ref="B217:V217"/>
    <mergeCell ref="B223:V223"/>
    <mergeCell ref="B159:V159"/>
    <mergeCell ref="D129:S129"/>
    <mergeCell ref="B157:V157"/>
    <mergeCell ref="B155:V155"/>
    <mergeCell ref="D125:S125"/>
    <mergeCell ref="D127:S127"/>
    <mergeCell ref="D137:S137"/>
    <mergeCell ref="D140:S140"/>
    <mergeCell ref="D143:S143"/>
    <mergeCell ref="X64:AM64"/>
    <mergeCell ref="B130:V130"/>
    <mergeCell ref="D133:S133"/>
    <mergeCell ref="D136:S136"/>
    <mergeCell ref="D142:S142"/>
    <mergeCell ref="C86:V86"/>
    <mergeCell ref="E108:M108"/>
    <mergeCell ref="E110:M110"/>
    <mergeCell ref="D117:S117"/>
    <mergeCell ref="E98:M98"/>
    <mergeCell ref="E106:M106"/>
    <mergeCell ref="E100:M100"/>
    <mergeCell ref="C82:V82"/>
    <mergeCell ref="D139:S139"/>
    <mergeCell ref="D119:S119"/>
    <mergeCell ref="D134:S134"/>
    <mergeCell ref="B1:V1"/>
    <mergeCell ref="H21:S21"/>
    <mergeCell ref="H22:S22"/>
    <mergeCell ref="H23:S23"/>
    <mergeCell ref="B47:F47"/>
  </mergeCells>
  <phoneticPr fontId="29" type="noConversion"/>
  <dataValidations xWindow="755" yWindow="595" count="1">
    <dataValidation type="list" allowBlank="1" showInputMessage="1" showErrorMessage="1" sqref="W187" xr:uid="{00000000-0002-0000-3200-000000000000}">
      <formula1>"tak,nie"</formula1>
    </dataValidation>
  </dataValidations>
  <hyperlinks>
    <hyperlink ref="B1:V1" location="'spis treści'!A1" display="SPIS TREŚCI" xr:uid="{00000000-0004-0000-3200-000000000000}"/>
    <hyperlink ref="D58:N58" location="'SPRAWOZDANIE S.A.'!A155" display="'SPRAWOZDANIE S.A.'!A155" xr:uid="{00000000-0004-0000-3200-000001000000}"/>
    <hyperlink ref="D60:N60" location="'SPRAWOZDANIE S.A.'!A174" display="'SPRAWOZDANIE S.A.'!A174" xr:uid="{00000000-0004-0000-3200-000002000000}"/>
    <hyperlink ref="D62" location="'SPRAWOZDANIE S.A.'!A473" display="'SPRAWOZDANIE S.A.'!A473" xr:uid="{00000000-0004-0000-3200-000003000000}"/>
    <hyperlink ref="D72:N72" location="'SPRAWOZDANIE S.A.'!A497" display="'SPRAWOZDANIE S.A.'!A497" xr:uid="{00000000-0004-0000-3200-000004000000}"/>
    <hyperlink ref="D70:N70" location="'SPRAWOZDANIE S.A.'!A489" display="'SPRAWOZDANIE S.A.'!A489" xr:uid="{00000000-0004-0000-3200-000005000000}"/>
    <hyperlink ref="D70:M70" location="'SPRAWOZDANIE S.A.'!A229" display="'SPRAWOZDANIE S.A.'!A229" xr:uid="{00000000-0004-0000-3200-000006000000}"/>
    <hyperlink ref="D56:H56" location="'SPRAWOZDANIE S.A.'!A144" display="'SPRAWOZDANIE S.A.'!A144" xr:uid="{00000000-0004-0000-3200-000007000000}"/>
    <hyperlink ref="D62:S62" location="'SPRAWOZDANIE S.A.'!A481" display="'SPRAWOZDANIE S.A.'!A481" xr:uid="{00000000-0004-0000-3200-000008000000}"/>
    <hyperlink ref="D66" location="'SPRAWOZDANIE S.A.'!A501" display="WAŻNIEJSZE OSIĄGNIĘCIA W DZIEDZINIE BADAŃ I ROZWOJU" xr:uid="{00000000-0004-0000-3200-000009000000}"/>
    <hyperlink ref="D68" location="'SPRAWOZDANIE S.A.'!A511" display="INFORMACJE O NABYCIU UDZIAŁÓW (AKCJI) WŁASNYCH" xr:uid="{00000000-0004-0000-3200-00000A000000}"/>
    <hyperlink ref="D72:M72" location="'SPRAWOZDANIE S.A.'!A235" display="'SPRAWOZDANIE S.A.'!A235" xr:uid="{00000000-0004-0000-3200-00000B000000}"/>
    <hyperlink ref="D54:M54" location="'SPRAWOZDANIE S.A.'!A75" display="'SPRAWOZDANIE S.A.'!A75" xr:uid="{00000000-0004-0000-3200-00000C000000}"/>
    <hyperlink ref="D56" location="'SPRAWOZDANIE S.A.'!A152" display="'SPRAWOZDANIE S.A.'!A152" xr:uid="{00000000-0004-0000-3200-00000D000000}"/>
    <hyperlink ref="D58:M58" location="'SPRAWOZDANIE S.A.'!A163" display="'SPRAWOZDANIE S.A.'!A163" xr:uid="{00000000-0004-0000-3200-00000E000000}"/>
    <hyperlink ref="D60:M60" location="'SPRAWOZDANIE S.A.'!A182" display="'SPRAWOZDANIE S.A.'!A182" xr:uid="{00000000-0004-0000-3200-00000F000000}"/>
    <hyperlink ref="D62:M62" location="'SPRAWOZDANIE S.A.'!A189" display="'SPRAWOZDANIE S.A.'!A189" xr:uid="{00000000-0004-0000-3200-000010000000}"/>
    <hyperlink ref="D64:S64" location="'SPRAWOZDANIE S.A.'!A199" display="'SPRAWOZDANIE S.A.'!A199" xr:uid="{00000000-0004-0000-3200-000011000000}"/>
    <hyperlink ref="D66:S66" location="'SPRAWOZDANIE S.A.'!A209" display="'SPRAWOZDANIE S.A.'!A209" xr:uid="{00000000-0004-0000-3200-000012000000}"/>
    <hyperlink ref="D68:S68" location="'SPRAWOZDANIE S.A.'!A219" display="'SPRAWOZDANIE S.A.'!A219" xr:uid="{00000000-0004-0000-3200-000013000000}"/>
  </hyperlinks>
  <pageMargins left="0.75" right="0.75" top="1" bottom="1" header="0.5" footer="0.5"/>
  <pageSetup paperSize="9" orientation="portrait" r:id="rId1"/>
  <headerFooter alignWithMargins="0"/>
  <rowBreaks count="6" manualBreakCount="6">
    <brk id="46" max="16383" man="1"/>
    <brk id="74" max="16383" man="1"/>
    <brk id="112" max="16383" man="1"/>
    <brk id="151" max="16383" man="1"/>
    <brk id="198" max="16383" man="1"/>
    <brk id="2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3254-3751-482A-BAD0-4BF2BB1B8279}">
  <sheetPr codeName="Arkusz12"/>
  <dimension ref="A1:F45"/>
  <sheetViews>
    <sheetView workbookViewId="0">
      <pane ySplit="1" topLeftCell="A2" activePane="bottomLeft" state="frozen"/>
      <selection pane="bottomLeft" activeCell="B24" sqref="B24"/>
    </sheetView>
  </sheetViews>
  <sheetFormatPr defaultRowHeight="12.75"/>
  <cols>
    <col min="2" max="2" width="18.42578125" bestFit="1" customWidth="1"/>
    <col min="3" max="3" width="18.42578125" customWidth="1"/>
  </cols>
  <sheetData>
    <row r="1" spans="1:6">
      <c r="B1" s="689" t="s">
        <v>65</v>
      </c>
      <c r="C1" s="689" t="s">
        <v>66</v>
      </c>
      <c r="D1" s="689" t="s">
        <v>67</v>
      </c>
      <c r="E1" s="689" t="s">
        <v>68</v>
      </c>
      <c r="F1" s="690" t="s">
        <v>69</v>
      </c>
    </row>
    <row r="2" spans="1:6">
      <c r="A2" t="str">
        <f t="shared" ref="A2:A24" si="0">MONTH(C2)&amp;"."&amp;YEAR(C2)</f>
        <v>3.2019</v>
      </c>
      <c r="B2" s="22" t="s">
        <v>70</v>
      </c>
      <c r="C2" s="687">
        <v>43555</v>
      </c>
      <c r="D2" s="22">
        <v>4.3013000000000003</v>
      </c>
      <c r="E2">
        <v>3.8365</v>
      </c>
      <c r="F2" s="22">
        <v>4.9960000000000004</v>
      </c>
    </row>
    <row r="3" spans="1:6">
      <c r="A3" t="str">
        <f t="shared" si="0"/>
        <v>6.2019</v>
      </c>
      <c r="B3" s="22" t="s">
        <v>71</v>
      </c>
      <c r="C3" s="687">
        <v>43644</v>
      </c>
      <c r="D3" s="22">
        <v>4.2519999999999998</v>
      </c>
      <c r="E3">
        <v>3.7336</v>
      </c>
      <c r="F3" s="22">
        <v>4.7331000000000003</v>
      </c>
    </row>
    <row r="4" spans="1:6">
      <c r="A4" t="str">
        <f t="shared" si="0"/>
        <v>9.2019</v>
      </c>
      <c r="B4" s="22" t="s">
        <v>72</v>
      </c>
      <c r="C4" s="687">
        <v>43738</v>
      </c>
      <c r="D4" s="22">
        <v>4.3735999999999997</v>
      </c>
      <c r="E4" s="693">
        <v>4</v>
      </c>
      <c r="F4" s="22">
        <v>4.9313000000000002</v>
      </c>
    </row>
    <row r="5" spans="1:6">
      <c r="A5" t="str">
        <f t="shared" si="0"/>
        <v>12.2019</v>
      </c>
      <c r="B5" s="22" t="s">
        <v>73</v>
      </c>
      <c r="C5" s="687">
        <v>43830</v>
      </c>
      <c r="D5" s="22">
        <v>4.2584999999999997</v>
      </c>
      <c r="E5">
        <v>3.7976999999999999</v>
      </c>
      <c r="F5" s="22">
        <v>4.9970999999999997</v>
      </c>
    </row>
    <row r="6" spans="1:6">
      <c r="A6" t="str">
        <f t="shared" si="0"/>
        <v>3.2020</v>
      </c>
      <c r="B6" s="22" t="s">
        <v>74</v>
      </c>
      <c r="C6" s="687">
        <v>43921</v>
      </c>
      <c r="D6" s="22">
        <v>4.5522999999999998</v>
      </c>
      <c r="E6">
        <v>4.1466000000000003</v>
      </c>
      <c r="F6" s="22">
        <v>5.1052</v>
      </c>
    </row>
    <row r="7" spans="1:6">
      <c r="A7" t="str">
        <f t="shared" si="0"/>
        <v>6.2020</v>
      </c>
      <c r="B7" s="22" t="s">
        <v>75</v>
      </c>
      <c r="C7" s="687">
        <v>44012</v>
      </c>
      <c r="D7" s="22">
        <v>4.4660000000000002</v>
      </c>
      <c r="E7">
        <v>3.9805999999999999</v>
      </c>
      <c r="F7" s="22">
        <v>4.8851000000000004</v>
      </c>
    </row>
    <row r="8" spans="1:6">
      <c r="A8" t="str">
        <f t="shared" si="0"/>
        <v>9.2020</v>
      </c>
      <c r="B8" s="22" t="s">
        <v>76</v>
      </c>
      <c r="C8" s="687">
        <v>44104</v>
      </c>
      <c r="D8" s="22">
        <v>4.5267999999999997</v>
      </c>
      <c r="E8">
        <v>3.8658000000000001</v>
      </c>
      <c r="F8" s="22">
        <v>4.9560000000000004</v>
      </c>
    </row>
    <row r="9" spans="1:6">
      <c r="A9" t="str">
        <f t="shared" si="0"/>
        <v>12.2020</v>
      </c>
      <c r="B9" s="22" t="s">
        <v>77</v>
      </c>
      <c r="C9" s="687">
        <v>44196</v>
      </c>
      <c r="D9" s="22">
        <v>4.6147999999999998</v>
      </c>
      <c r="E9">
        <v>3.7584</v>
      </c>
      <c r="F9" s="22">
        <v>5.1326999999999998</v>
      </c>
    </row>
    <row r="10" spans="1:6">
      <c r="A10" t="str">
        <f t="shared" si="0"/>
        <v>3.2021</v>
      </c>
      <c r="B10" s="22" t="s">
        <v>78</v>
      </c>
      <c r="C10" s="687">
        <v>44286</v>
      </c>
      <c r="D10" s="22">
        <v>4.6603000000000003</v>
      </c>
      <c r="E10">
        <v>3.9676</v>
      </c>
      <c r="F10" s="22">
        <v>5.4679000000000002</v>
      </c>
    </row>
    <row r="11" spans="1:6">
      <c r="A11" t="str">
        <f t="shared" si="0"/>
        <v>6.2021</v>
      </c>
      <c r="B11" s="22" t="s">
        <v>79</v>
      </c>
      <c r="C11" s="687">
        <v>44377</v>
      </c>
      <c r="D11" s="22">
        <v>4.5208000000000004</v>
      </c>
      <c r="E11">
        <v>3.8035000000000001</v>
      </c>
      <c r="F11" s="22">
        <v>5.2615999999999996</v>
      </c>
    </row>
    <row r="12" spans="1:6">
      <c r="A12" t="str">
        <f t="shared" si="0"/>
        <v>9.2021</v>
      </c>
      <c r="B12" s="22" t="s">
        <v>80</v>
      </c>
      <c r="C12" s="687">
        <v>44469</v>
      </c>
      <c r="D12" s="22">
        <v>4.6329000000000002</v>
      </c>
      <c r="E12">
        <v>3.9925000000000002</v>
      </c>
      <c r="F12" s="22">
        <v>5.3653000000000004</v>
      </c>
    </row>
    <row r="13" spans="1:6">
      <c r="A13" t="str">
        <f t="shared" si="0"/>
        <v>12.2021</v>
      </c>
      <c r="B13" s="22" t="s">
        <v>81</v>
      </c>
      <c r="C13" s="687">
        <v>44561</v>
      </c>
      <c r="D13" s="22">
        <v>4.5994000000000002</v>
      </c>
      <c r="E13">
        <v>4.0599999999999996</v>
      </c>
      <c r="F13" s="22">
        <v>5.4846000000000004</v>
      </c>
    </row>
    <row r="14" spans="1:6">
      <c r="A14" t="str">
        <f t="shared" si="0"/>
        <v>3.2022</v>
      </c>
      <c r="B14" s="22" t="s">
        <v>82</v>
      </c>
      <c r="C14" s="687">
        <v>44651</v>
      </c>
      <c r="D14" s="22">
        <v>4.6524999999999999</v>
      </c>
      <c r="E14">
        <v>4.1801000000000004</v>
      </c>
      <c r="F14" s="22">
        <v>5.4842000000000004</v>
      </c>
    </row>
    <row r="15" spans="1:6">
      <c r="A15" t="str">
        <f t="shared" si="0"/>
        <v>6.2022</v>
      </c>
      <c r="B15" s="22" t="s">
        <v>83</v>
      </c>
      <c r="C15" s="687">
        <v>44742</v>
      </c>
      <c r="D15" s="22">
        <v>4.6806000000000001</v>
      </c>
      <c r="E15">
        <v>4.4824999999999999</v>
      </c>
      <c r="F15" s="22">
        <v>5.4428999999999998</v>
      </c>
    </row>
    <row r="16" spans="1:6">
      <c r="A16" t="str">
        <f t="shared" si="0"/>
        <v>9.2022</v>
      </c>
      <c r="B16" s="22" t="s">
        <v>84</v>
      </c>
      <c r="C16" s="687">
        <v>44834</v>
      </c>
      <c r="D16" s="22">
        <v>4.8697999999999997</v>
      </c>
      <c r="E16">
        <v>4.9532999999999996</v>
      </c>
      <c r="F16" s="22">
        <v>5.556</v>
      </c>
    </row>
    <row r="17" spans="1:6">
      <c r="A17" t="str">
        <f t="shared" si="0"/>
        <v>12.2022</v>
      </c>
      <c r="B17" s="22" t="s">
        <v>85</v>
      </c>
      <c r="C17" s="688">
        <v>44925</v>
      </c>
      <c r="D17" s="22">
        <v>4.6898999999999997</v>
      </c>
      <c r="E17" s="22">
        <v>4.4017999999999997</v>
      </c>
      <c r="F17" s="22">
        <v>5.2957000000000001</v>
      </c>
    </row>
    <row r="18" spans="1:6">
      <c r="A18" t="str">
        <f t="shared" si="0"/>
        <v>3.2023</v>
      </c>
      <c r="B18" s="22" t="s">
        <v>86</v>
      </c>
      <c r="C18" s="687">
        <v>45016</v>
      </c>
      <c r="D18">
        <v>4.6755000000000004</v>
      </c>
      <c r="E18">
        <v>4.2934000000000001</v>
      </c>
      <c r="F18">
        <v>5.3106999999999998</v>
      </c>
    </row>
    <row r="19" spans="1:6">
      <c r="A19" t="str">
        <f t="shared" si="0"/>
        <v>6.2023</v>
      </c>
      <c r="B19" s="22" t="s">
        <v>87</v>
      </c>
      <c r="C19" s="687">
        <v>45107</v>
      </c>
      <c r="D19" s="22">
        <v>4.4503000000000004</v>
      </c>
      <c r="E19" s="22">
        <v>4.1066000000000003</v>
      </c>
      <c r="F19" s="22">
        <v>5.1795999999999998</v>
      </c>
    </row>
    <row r="20" spans="1:6">
      <c r="A20" t="str">
        <f t="shared" si="0"/>
        <v>9.2023</v>
      </c>
      <c r="B20" s="22" t="s">
        <v>88</v>
      </c>
      <c r="C20" s="687">
        <v>45198</v>
      </c>
      <c r="D20" s="22">
        <v>4.6356000000000002</v>
      </c>
      <c r="E20" s="691">
        <v>4.3696999999999999</v>
      </c>
      <c r="F20" s="22">
        <v>5.3464</v>
      </c>
    </row>
    <row r="21" spans="1:6">
      <c r="A21" t="str">
        <f t="shared" si="0"/>
        <v>12.2023</v>
      </c>
      <c r="B21" s="22" t="s">
        <v>89</v>
      </c>
      <c r="C21" s="688">
        <v>45289</v>
      </c>
      <c r="D21" s="22">
        <v>4.3479999999999999</v>
      </c>
      <c r="E21" s="22">
        <v>3.9350000000000001</v>
      </c>
      <c r="F21" s="22">
        <v>4.9996999999999998</v>
      </c>
    </row>
    <row r="22" spans="1:6">
      <c r="A22" t="str">
        <f t="shared" si="0"/>
        <v>3.2024</v>
      </c>
      <c r="B22" s="22" t="s">
        <v>90</v>
      </c>
      <c r="C22" s="687">
        <v>45380</v>
      </c>
      <c r="D22" s="22">
        <v>4.3009000000000004</v>
      </c>
      <c r="E22" s="22">
        <v>3.9885999999999999</v>
      </c>
      <c r="F22" s="22">
        <v>5.03</v>
      </c>
    </row>
    <row r="23" spans="1:6">
      <c r="A23" t="str">
        <f t="shared" si="0"/>
        <v>6.2024</v>
      </c>
      <c r="B23" s="22" t="s">
        <v>91</v>
      </c>
      <c r="C23" s="687">
        <v>45471</v>
      </c>
      <c r="D23" s="22">
        <v>4.3129999999999997</v>
      </c>
      <c r="E23">
        <v>4.032</v>
      </c>
      <c r="F23" s="22">
        <v>5.0941999999999998</v>
      </c>
    </row>
    <row r="24" spans="1:6">
      <c r="A24" t="str">
        <f t="shared" si="0"/>
        <v>9.2024</v>
      </c>
      <c r="B24" s="22" t="s">
        <v>92</v>
      </c>
      <c r="C24" s="700">
        <v>45565</v>
      </c>
      <c r="D24" s="22">
        <v>4.2790999999999997</v>
      </c>
      <c r="E24" s="22">
        <v>3.8193000000000001</v>
      </c>
      <c r="F24" s="22">
        <v>5.1241000000000003</v>
      </c>
    </row>
    <row r="25" spans="1:6">
      <c r="A25" t="str">
        <f>IF(B25&lt;&gt;"",MONTH(C25)&amp;"."&amp;YEAR(C25),"")</f>
        <v>12.2024</v>
      </c>
      <c r="B25" s="22" t="s">
        <v>93</v>
      </c>
      <c r="C25" s="687">
        <v>45657</v>
      </c>
      <c r="D25" s="709">
        <v>4.2729999999999997</v>
      </c>
      <c r="E25" s="22">
        <v>4.1012000000000004</v>
      </c>
      <c r="F25" s="22">
        <v>5.1487999999999996</v>
      </c>
    </row>
    <row r="26" spans="1:6">
      <c r="A26" t="str">
        <f t="shared" ref="A26:A45" si="1">IF(B26&lt;&gt;"",MONTH(C26)&amp;"."&amp;YEAR(C26),"")</f>
        <v/>
      </c>
    </row>
    <row r="27" spans="1:6">
      <c r="A27" t="str">
        <f t="shared" si="1"/>
        <v/>
      </c>
    </row>
    <row r="28" spans="1:6">
      <c r="A28" t="str">
        <f t="shared" si="1"/>
        <v/>
      </c>
    </row>
    <row r="29" spans="1:6">
      <c r="A29" t="str">
        <f t="shared" si="1"/>
        <v/>
      </c>
    </row>
    <row r="30" spans="1:6">
      <c r="A30" t="str">
        <f t="shared" si="1"/>
        <v/>
      </c>
    </row>
    <row r="31" spans="1:6">
      <c r="A31" t="str">
        <f t="shared" si="1"/>
        <v/>
      </c>
    </row>
    <row r="32" spans="1:6">
      <c r="A32" t="str">
        <f t="shared" si="1"/>
        <v/>
      </c>
    </row>
    <row r="33" spans="1:1">
      <c r="A33" t="str">
        <f t="shared" si="1"/>
        <v/>
      </c>
    </row>
    <row r="34" spans="1:1">
      <c r="A34" t="str">
        <f t="shared" si="1"/>
        <v/>
      </c>
    </row>
    <row r="35" spans="1:1">
      <c r="A35" t="str">
        <f t="shared" si="1"/>
        <v/>
      </c>
    </row>
    <row r="36" spans="1:1">
      <c r="A36" t="str">
        <f t="shared" si="1"/>
        <v/>
      </c>
    </row>
    <row r="37" spans="1:1">
      <c r="A37" t="str">
        <f t="shared" si="1"/>
        <v/>
      </c>
    </row>
    <row r="38" spans="1:1">
      <c r="A38" t="str">
        <f t="shared" si="1"/>
        <v/>
      </c>
    </row>
    <row r="39" spans="1:1">
      <c r="A39" t="str">
        <f t="shared" si="1"/>
        <v/>
      </c>
    </row>
    <row r="40" spans="1:1">
      <c r="A40" t="str">
        <f t="shared" si="1"/>
        <v/>
      </c>
    </row>
    <row r="41" spans="1:1">
      <c r="A41" t="str">
        <f t="shared" si="1"/>
        <v/>
      </c>
    </row>
    <row r="42" spans="1:1">
      <c r="A42" t="str">
        <f t="shared" si="1"/>
        <v/>
      </c>
    </row>
    <row r="43" spans="1:1">
      <c r="A43" t="str">
        <f t="shared" si="1"/>
        <v/>
      </c>
    </row>
    <row r="44" spans="1:1">
      <c r="A44" t="str">
        <f t="shared" si="1"/>
        <v/>
      </c>
    </row>
    <row r="45" spans="1:1">
      <c r="A45" t="str">
        <f t="shared" si="1"/>
        <v/>
      </c>
    </row>
  </sheetData>
  <autoFilter ref="A1:F23" xr:uid="{0A123254-3751-482A-BAD0-4BF2BB1B8279}">
    <sortState xmlns:xlrd2="http://schemas.microsoft.com/office/spreadsheetml/2017/richdata2" ref="A2:F23">
      <sortCondition ref="C1:C2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3"/>
  <dimension ref="B1:D35"/>
  <sheetViews>
    <sheetView showGridLines="0" view="pageBreakPreview" topLeftCell="A19" zoomScale="130" zoomScaleNormal="100" zoomScaleSheetLayoutView="130" workbookViewId="0"/>
  </sheetViews>
  <sheetFormatPr defaultColWidth="9.140625" defaultRowHeight="12.75"/>
  <cols>
    <col min="1" max="1" width="9.140625" style="66"/>
    <col min="2" max="2" width="4.28515625" style="66" customWidth="1"/>
    <col min="3" max="3" width="75.140625" style="66" customWidth="1"/>
    <col min="4" max="16384" width="9.140625" style="66"/>
  </cols>
  <sheetData>
    <row r="1" spans="2:4">
      <c r="C1" s="436" t="str">
        <f>CHOOSE(jezyk,n!A1331,n!B1331,n!C1331,n!D1329)</f>
        <v>SPIS TREŚCI</v>
      </c>
      <c r="D1" s="130" t="s">
        <v>94</v>
      </c>
    </row>
    <row r="2" spans="2:4">
      <c r="C2" s="437"/>
    </row>
    <row r="3" spans="2:4">
      <c r="B3" s="72"/>
      <c r="C3" s="438" t="str">
        <f>CHOOSE(jezyk,n!A1332,n!B1332,n!C1332,n!D1330)</f>
        <v>GA – dane ogólne o Spółce</v>
      </c>
    </row>
    <row r="4" spans="2:4">
      <c r="B4" s="72"/>
      <c r="C4" s="438" t="s">
        <v>95</v>
      </c>
    </row>
    <row r="5" spans="2:4">
      <c r="B5" s="72"/>
      <c r="C5" s="438" t="str">
        <f>CHOOSE(jezyk,n!A1333,n!B1333,n!C1333,n!D1331)</f>
        <v>Wprowadzenie do sprawozdania finansowego</v>
      </c>
    </row>
    <row r="6" spans="2:4">
      <c r="B6" s="72"/>
      <c r="C6" s="438" t="str">
        <f>CHOOSE(jezyk,n!A1334,n!B1334,n!C1334,n!D1332)</f>
        <v>Bilans</v>
      </c>
    </row>
    <row r="7" spans="2:4">
      <c r="B7" s="72"/>
      <c r="C7" s="438" t="s">
        <v>96</v>
      </c>
    </row>
    <row r="8" spans="2:4">
      <c r="B8" s="72"/>
      <c r="C8" s="438" t="s">
        <v>97</v>
      </c>
    </row>
    <row r="9" spans="2:4">
      <c r="B9" s="72"/>
      <c r="C9" s="438" t="str">
        <f>CHOOSE(jezyk,n!A1335,n!B1335,n!C1335,n!D1333)</f>
        <v>RZiS Por. – rachunek zysków i strat w wersji porównawczej</v>
      </c>
    </row>
    <row r="10" spans="2:4">
      <c r="B10" s="72"/>
      <c r="C10" s="438" t="s">
        <v>98</v>
      </c>
    </row>
    <row r="11" spans="2:4">
      <c r="B11" s="72"/>
      <c r="C11" s="438" t="str">
        <f>CHOOSE(jezyk,n!A1336,n!B1336,n!C1336,n!D1334)</f>
        <v>RZiS Kal. – rachunek zysków i strat w wersji kalkulacyjnej</v>
      </c>
    </row>
    <row r="12" spans="2:4">
      <c r="B12" s="72"/>
      <c r="C12" s="438" t="str">
        <f>CHOOSE(jezyk,n!A1337,n!B1337,n!C1337,n!D1335)</f>
        <v>CF mp – rachunek przepływów środków pieniężnych sporządzony metodą pośrednią</v>
      </c>
    </row>
    <row r="13" spans="2:4">
      <c r="B13" s="72"/>
      <c r="C13" s="438" t="s">
        <v>99</v>
      </c>
    </row>
    <row r="14" spans="2:4" ht="12.75" customHeight="1">
      <c r="B14" s="72"/>
      <c r="C14" s="438" t="str">
        <f>CHOOSE(jezyk,n!A1338,n!B1338,n!C1338,n!D1336)</f>
        <v>CF mb – rachunek przepływów środków pieniężnych sporządzony metodą bezpośrednią</v>
      </c>
    </row>
    <row r="15" spans="2:4">
      <c r="B15" s="72"/>
      <c r="C15" s="438" t="str">
        <f>CHOOSE(jezyk,n!A1339,n!B1339,n!C1339,n!D1337)</f>
        <v>Z. Zm. w Kap. – zestawienie zmian w kapitale (funduszu) własnym</v>
      </c>
    </row>
    <row r="16" spans="2:4">
      <c r="B16" s="72"/>
      <c r="C16" s="438" t="str">
        <f>CHOOSE(jezyk,n!A1340,n!B1340,n!C1340,n!D1338)</f>
        <v>nota 1.1.a – zestawienie wartości niematerialnych i prawnych</v>
      </c>
    </row>
    <row r="17" spans="2:3">
      <c r="B17" s="72"/>
      <c r="C17" s="438" t="str">
        <f>CHOOSE(jezyk,n!A1341,n!B1341,n!C1341,n!D1339)</f>
        <v>nota 1.1.b – zestawienie rzeczowych aktywów trwałych</v>
      </c>
    </row>
    <row r="18" spans="2:3">
      <c r="B18" s="72"/>
      <c r="C18" s="438" t="str">
        <f>CHOOSE(jezyk,n!A1342,n!B1342,n!C1342,n!D1340)</f>
        <v>nota 1.1.c – zestawienie inwestycji długoterminowych</v>
      </c>
    </row>
    <row r="19" spans="2:3" ht="38.25">
      <c r="B19" s="72"/>
      <c r="C19" s="438" t="str">
        <f>CHOOSE(jezyk,n!A1343,n!B1343,n!C1343,n!D1341)</f>
        <v>nota 1.3–1.10 – grunty użytkowane wieczyście, środki trwałe w leasingu, najmie, dzierżawie, papiery wartościowe, odpisy aktualizujące należności,  struktura własności kapitału własnego,  zestawienie zmian kapitałów własnych, propozycje podziału zysku lub pokrycia straty</v>
      </c>
    </row>
    <row r="20" spans="2:3" ht="12.75" customHeight="1">
      <c r="B20" s="72"/>
      <c r="C20" s="438" t="str">
        <f>CHOOSE(jezyk,n!A1344,n!B1344,n!C1344,n!D1342)</f>
        <v>nota 1.11 – zestawienie rezerw na zobowiązania</v>
      </c>
    </row>
    <row r="21" spans="2:3">
      <c r="B21" s="72"/>
      <c r="C21" s="438" t="str">
        <f>CHOOSE(jezyk,n!A1345,n!B1345,n!C1345,n!D1343)</f>
        <v>nota 1.12 – zobowiązania długoterminowe</v>
      </c>
    </row>
    <row r="22" spans="2:3" ht="24.75" customHeight="1">
      <c r="B22" s="72"/>
      <c r="C22" s="438" t="str">
        <f>CHOOSE(jezyk,n!A1346,n!B1346,n!C1346,n!D1344)</f>
        <v>nota 1.13 – wykaz grup zobowiązań zabezpieczonych na majątku jednostki (ze wskazaniem jego rodzaju)</v>
      </c>
    </row>
    <row r="23" spans="2:3" ht="12.75" customHeight="1">
      <c r="B23" s="72"/>
      <c r="C23" s="438" t="str">
        <f>CHOOSE(jezyk,n!A1347,n!B1347,n!C1347,n!D1345)</f>
        <v>nota 1.14 – zestawienie czynnych i biernych rozliczeń międzyokresowych</v>
      </c>
    </row>
    <row r="24" spans="2:3" ht="12.75" customHeight="1">
      <c r="B24" s="72"/>
      <c r="C24" s="438" t="str">
        <f>CHOOSE(jezyk,n!A1348,n!B1348,n!C1348,n!D1346)</f>
        <v>nota 1.15. – należności i zobowiązania wykazywane w więcej niż jednej pozycji bilansu</v>
      </c>
    </row>
    <row r="25" spans="2:3" ht="39" customHeight="1">
      <c r="B25" s="72"/>
      <c r="C25" s="438" t="str">
        <f>CHOOSE(jezyk,n!A1349,n!B1349,n!C1349,n!D1347)&amp;" "&amp;CHOOSE(jezyk,n!A1350,n!B1350,n!C1350,n!D1348)&amp;" "&amp;CHOOSE(jezyk,n!A1351,n!B1351,n!C1351,n!D1349)</f>
        <v>nota 1.16. - zobowiązania warunkowe nota 1.17. - Aktywa niebędące instrumentami finansowymi, wyceniane wg wartości godziwej nota 1.18. - Środki pieniężne zgromadzone na rachunku VAT, o którym mowaw art.. 62a ust.1 ustawy z dn. 29.08.1997 - Prawo bankowe</v>
      </c>
    </row>
    <row r="26" spans="2:3" ht="65.25" customHeight="1">
      <c r="B26" s="72"/>
      <c r="C26" s="438" t="str">
        <f>CHOOSE(jezyk,n!A1352,n!B1352,n!C1352,n!D1350)</f>
        <v>nota 2 – informacje o przychodach, kosztach, odpisach aktualizujących środki trwałe i zapasy, zyskach i stratach działalności jednostki, kalkulacja podstawy opodatkowania, kosztów wytworzenia środków trwałych w budowie, środków trwałych na włąsne potrzeby, odsetki oraz różnice kursowe powiększające cenę nabycia towarów lub koszt wytworzenia produktów,  planowane nakłady na niefinansowe aktywa trwałe, zyski i straty nadzwyczajne</v>
      </c>
    </row>
    <row r="27" spans="2:3" ht="38.25" customHeight="1">
      <c r="B27" s="72"/>
      <c r="C27" s="438" t="str">
        <f>CHOOSE(jezyk,n!A1353,n!B1353,n!C1353,n!D1351)&amp;" "&amp;CHOOSE(jezyk,n!A1354,n!B1354,n!C1354,n!D1352)</f>
        <v>nota 3 - Kursy przyjęte do wyceny pozycji bilansu oraz rachunku zysków i strat wyrażonych w walutach obcych nota 4 – struktura środków pieniężnych przyjętych do rachunku przepływu pieniężnych</v>
      </c>
    </row>
    <row r="28" spans="2:3" ht="25.5">
      <c r="B28" s="72"/>
      <c r="C28" s="438" t="str">
        <f>CHOOSE(jezyk,n!A1355,n!B1355,n!C1355,n!D1353)</f>
        <v xml:space="preserve">nota 5 – informacje o zatrudnieniu i wynagrodzeniach członków Zarządu, Rady Nadzorczej oraz Biegłego Rewidenta </v>
      </c>
    </row>
    <row r="29" spans="2:3" ht="28.5" customHeight="1">
      <c r="B29" s="72"/>
      <c r="C29" s="438" t="str">
        <f>CHOOSE(jezyk,n!A1356,n!B1356,n!C1356,n!D1354)</f>
        <v>nota 6 – informacje o istotnych zdarzeniach dotyczących lat ubiegłych lub powstałych po dniu bilansowym nie ujętych w sprawozdaniu finansowym oraz zmiany zasad (polityki) rachunkowości</v>
      </c>
    </row>
    <row r="30" spans="2:3" ht="29.25" customHeight="1">
      <c r="B30" s="72"/>
      <c r="C30" s="438" t="str">
        <f>CHOOSE(jezyk,n!A1357,n!B1357,n!C1357,n!D1355)</f>
        <v>nota 7 – informacje o wspólnych przedsięwzięciach, które nie podlegają konsolidacji, transakcjach z jednostkami powiązanymi, wykaz spółek powiązanych, przyczynach odstąpienia od konsolidacji</v>
      </c>
    </row>
    <row r="31" spans="2:3">
      <c r="B31" s="72"/>
      <c r="C31" s="438" t="str">
        <f>CHOOSE(jezyk,n!A1358,n!B1358,n!C1358,n!D1356)</f>
        <v>nota 8 – informacje o połączeniu spółek (metoda nabycia lub łączenia udziałów)</v>
      </c>
    </row>
    <row r="32" spans="2:3">
      <c r="B32" s="72"/>
      <c r="C32" s="438" t="str">
        <f>CHOOSE(jezyk,n!A1359,n!B1359,n!C1359,n!D1357)&amp;" "</f>
        <v xml:space="preserve">nota 9 – informacje o zagrożeniu kontynuowania działalności </v>
      </c>
    </row>
    <row r="33" spans="2:3">
      <c r="B33" s="72"/>
      <c r="C33" s="438" t="str">
        <f>CHOOSE(jezyk,n!A1360,n!B1360,n!C1360,n!D1358)</f>
        <v>nota 10 – inne istotne informacje</v>
      </c>
    </row>
    <row r="34" spans="2:3" ht="25.5" hidden="1" customHeight="1">
      <c r="B34" s="72"/>
      <c r="C34" s="438"/>
    </row>
    <row r="35" spans="2:3" hidden="1">
      <c r="C35" s="439" t="str">
        <f>CHOOSE(jezyk,n!A1363,n!B1363,n!C1363,n!D1361)</f>
        <v>SPRAWOZDANIE – sprawozdanie Zarządu z działalności jednostki</v>
      </c>
    </row>
  </sheetData>
  <phoneticPr fontId="0" type="noConversion"/>
  <hyperlinks>
    <hyperlink ref="C3" location="GA!A1" display="GA - dane ogólne o Spółce" xr:uid="{00000000-0004-0000-0A00-000000000000}"/>
    <hyperlink ref="C5" location="Wprowadzenie!A1" display="Wprowadzenie!A1" xr:uid="{00000000-0004-0000-0A00-000001000000}"/>
    <hyperlink ref="C6" location="Bilans!A1" display="Bilans!A1" xr:uid="{00000000-0004-0000-0A00-000002000000}"/>
    <hyperlink ref="C9" location="'RZiS Por.'!A1" display="'RZiS Por.'!A1" xr:uid="{00000000-0004-0000-0A00-000003000000}"/>
    <hyperlink ref="C11" location="'RZiS Kal.'!A1" display="'RZiS Kal.'!A1" xr:uid="{00000000-0004-0000-0A00-000004000000}"/>
    <hyperlink ref="C12" location="'CF mp'!A1" display="'CF mp'!A1" xr:uid="{00000000-0004-0000-0A00-000005000000}"/>
    <hyperlink ref="C14" location="'CF mb'!A1" display="'CF mb'!A1" xr:uid="{00000000-0004-0000-0A00-000006000000}"/>
    <hyperlink ref="C15" location="'Z. Zm. w Kap.'!A1" display="'Z. Zm. w Kap.'!A1" xr:uid="{00000000-0004-0000-0A00-000007000000}"/>
    <hyperlink ref="C17" location="'nota 1.1.-1.2'!B72" display="'nota 1.1.-1.2'!B72" xr:uid="{00000000-0004-0000-0A00-000008000000}"/>
    <hyperlink ref="C16" location="'nota 1.1.-1.2'!B6" display="'nota 1.1.-1.2'!B6" xr:uid="{00000000-0004-0000-0A00-000009000000}"/>
    <hyperlink ref="C18" location="'nota 1.1.-1.2'!B164" display="'nota 1.1.-1.2'!B164" xr:uid="{00000000-0004-0000-0A00-00000A000000}"/>
    <hyperlink ref="C19" location="'nota 1.3-1.10'!A1" display="'nota 1.3-1.10'!A1" xr:uid="{00000000-0004-0000-0A00-00000B000000}"/>
    <hyperlink ref="C20" location="'nota 1.11-1.15'!A6" display="'nota 1.11-1.15'!A6" xr:uid="{00000000-0004-0000-0A00-00000C000000}"/>
    <hyperlink ref="C21" location="'nota 1.11-1.15'!C38" display="'nota 1.11-1.15'!C38" xr:uid="{00000000-0004-0000-0A00-00000D000000}"/>
    <hyperlink ref="C23" location="'nota 1.11-1.15'!C80" display="'nota 1.11-1.15'!C80" xr:uid="{00000000-0004-0000-0A00-00000E000000}"/>
    <hyperlink ref="C24" location="'nota 1.11-1.15'!C119" display="'nota 1.11-1.15'!C119" xr:uid="{00000000-0004-0000-0A00-00000F000000}"/>
    <hyperlink ref="C26" location="'nota 2'!A1" display="'nota 2'!A1" xr:uid="{00000000-0004-0000-0A00-000010000000}"/>
    <hyperlink ref="C27" location="'nota 3,4'!A1" display="'nota 3,4'!A1" xr:uid="{00000000-0004-0000-0A00-000011000000}"/>
    <hyperlink ref="C28" location="'nota 5'!A1" display="'nota 5'!A1" xr:uid="{00000000-0004-0000-0A00-000012000000}"/>
    <hyperlink ref="C29" location="'nota 6'!A1" display="'nota 6'!A1" xr:uid="{00000000-0004-0000-0A00-000013000000}"/>
    <hyperlink ref="C30" location="'nota 7'!A1" display="'nota 7'!A1" xr:uid="{00000000-0004-0000-0A00-000014000000}"/>
    <hyperlink ref="C31" location="'nota 8-11'!A1" display="'nota 8-11'!A1" xr:uid="{00000000-0004-0000-0A00-000015000000}"/>
    <hyperlink ref="C32" location="'nota 8-11'!B59" display="'nota 8-11'!B59" xr:uid="{00000000-0004-0000-0A00-000016000000}"/>
    <hyperlink ref="C35" location="SPRAWOZDANIE!A1" display="SPRAWOZDANIE!A1" xr:uid="{00000000-0004-0000-0A00-000017000000}"/>
    <hyperlink ref="C25" location="'nota 1.16-1.19'!A1" display="'nota 1.16-1.19'!A1" xr:uid="{00000000-0004-0000-0A00-000018000000}"/>
    <hyperlink ref="C4" location="Tytułowa!A1" display="Strona tytułowa SF" xr:uid="{00000000-0004-0000-0A00-000019000000}"/>
    <hyperlink ref="C7" location="'Bilans-korekty'!A1" display="Bilans - korekty" xr:uid="{00000000-0004-0000-0A00-00001A000000}"/>
    <hyperlink ref="C8" location="'Bilans po korektach'!A1" display="Bilans  po korektach" xr:uid="{00000000-0004-0000-0A00-00001B000000}"/>
    <hyperlink ref="C10" location="'RZiS Por. po korektach'!A1" display="RZiS Por. po korektach" xr:uid="{00000000-0004-0000-0A00-00001C000000}"/>
    <hyperlink ref="C13" location="'CF kalkulacja'!A1" display="CF kalkulacja" xr:uid="{00000000-0004-0000-0A00-00001D000000}"/>
    <hyperlink ref="C22" location="'nota 1.11-1.15'!C70" display="'nota 1.11-1.15'!C70" xr:uid="{00000000-0004-0000-0A00-00001E000000}"/>
    <hyperlink ref="C33" location="'nota 8-11'!B66" display="'nota 8-11'!B66" xr:uid="{00000000-0004-0000-0A00-00001F000000}"/>
  </hyperlinks>
  <pageMargins left="0.74803149606299213" right="0.74803149606299213"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20">
    <tabColor rgb="FF92D050"/>
  </sheetPr>
  <dimension ref="A1:K1789"/>
  <sheetViews>
    <sheetView showGridLines="0" topLeftCell="A147" zoomScale="90" zoomScaleNormal="90" workbookViewId="0">
      <selection activeCell="C155" sqref="C155"/>
    </sheetView>
  </sheetViews>
  <sheetFormatPr defaultColWidth="7.85546875" defaultRowHeight="12.75"/>
  <cols>
    <col min="1" max="1" width="42.85546875" style="289" customWidth="1"/>
    <col min="2" max="2" width="40" style="482" customWidth="1"/>
    <col min="3" max="3" width="43" style="289" customWidth="1"/>
    <col min="4" max="4" width="66.5703125" style="289" customWidth="1"/>
    <col min="5" max="5" width="47.5703125" style="289" customWidth="1"/>
    <col min="6" max="6" width="11" style="289" bestFit="1" customWidth="1"/>
    <col min="7" max="7" width="16.85546875" style="289" customWidth="1"/>
    <col min="8" max="8" width="12.7109375" style="289" bestFit="1" customWidth="1"/>
    <col min="9" max="16384" width="7.85546875" style="289"/>
  </cols>
  <sheetData>
    <row r="1" spans="1:4" ht="13.5" thickBot="1">
      <c r="A1" s="1168" t="s">
        <v>100</v>
      </c>
      <c r="B1" s="1168"/>
      <c r="C1" s="1169"/>
    </row>
    <row r="2" spans="1:4" ht="25.5">
      <c r="A2" s="481" t="s">
        <v>101</v>
      </c>
      <c r="B2" s="291" t="s">
        <v>102</v>
      </c>
      <c r="C2" s="481" t="s">
        <v>103</v>
      </c>
      <c r="D2" s="481"/>
    </row>
    <row r="3" spans="1:4">
      <c r="A3" s="289" t="s">
        <v>104</v>
      </c>
      <c r="B3" s="291" t="s">
        <v>105</v>
      </c>
      <c r="C3" s="289" t="s">
        <v>106</v>
      </c>
    </row>
    <row r="4" spans="1:4">
      <c r="A4" s="289" t="s">
        <v>107</v>
      </c>
      <c r="B4" s="291" t="s">
        <v>108</v>
      </c>
      <c r="C4" s="289" t="s">
        <v>109</v>
      </c>
    </row>
    <row r="5" spans="1:4">
      <c r="A5" s="289" t="s">
        <v>110</v>
      </c>
      <c r="B5" s="291" t="s">
        <v>111</v>
      </c>
      <c r="C5" s="289" t="s">
        <v>112</v>
      </c>
    </row>
    <row r="6" spans="1:4">
      <c r="A6" s="289" t="s">
        <v>113</v>
      </c>
      <c r="B6" s="291" t="s">
        <v>114</v>
      </c>
      <c r="C6" s="289" t="s">
        <v>115</v>
      </c>
    </row>
    <row r="7" spans="1:4">
      <c r="A7" s="289" t="s">
        <v>116</v>
      </c>
      <c r="B7" s="291" t="s">
        <v>117</v>
      </c>
      <c r="C7" s="289" t="s">
        <v>118</v>
      </c>
    </row>
    <row r="8" spans="1:4">
      <c r="A8" s="289" t="s">
        <v>119</v>
      </c>
      <c r="B8" s="291" t="s">
        <v>120</v>
      </c>
      <c r="C8" s="289" t="s">
        <v>121</v>
      </c>
    </row>
    <row r="9" spans="1:4">
      <c r="A9" s="289" t="s">
        <v>122</v>
      </c>
      <c r="B9" s="291" t="s">
        <v>123</v>
      </c>
      <c r="C9" s="289" t="s">
        <v>124</v>
      </c>
    </row>
    <row r="10" spans="1:4">
      <c r="A10" s="289" t="s">
        <v>125</v>
      </c>
      <c r="B10" s="291" t="s">
        <v>126</v>
      </c>
      <c r="C10" s="289" t="s">
        <v>127</v>
      </c>
    </row>
    <row r="11" spans="1:4">
      <c r="A11" s="289" t="s">
        <v>128</v>
      </c>
      <c r="B11" s="291" t="s">
        <v>129</v>
      </c>
      <c r="C11" s="289" t="s">
        <v>130</v>
      </c>
    </row>
    <row r="12" spans="1:4">
      <c r="A12" s="289" t="s">
        <v>131</v>
      </c>
      <c r="B12" s="291" t="s">
        <v>132</v>
      </c>
      <c r="C12" s="289" t="s">
        <v>133</v>
      </c>
    </row>
    <row r="13" spans="1:4">
      <c r="A13" s="289" t="s">
        <v>134</v>
      </c>
      <c r="B13" s="291" t="s">
        <v>135</v>
      </c>
      <c r="C13" s="289" t="s">
        <v>136</v>
      </c>
    </row>
    <row r="14" spans="1:4">
      <c r="A14" s="289" t="s">
        <v>137</v>
      </c>
      <c r="B14" s="291" t="s">
        <v>138</v>
      </c>
      <c r="C14" s="289" t="s">
        <v>139</v>
      </c>
    </row>
    <row r="15" spans="1:4">
      <c r="A15" s="289" t="s">
        <v>140</v>
      </c>
      <c r="B15" s="291" t="s">
        <v>141</v>
      </c>
      <c r="C15" s="289" t="s">
        <v>142</v>
      </c>
    </row>
    <row r="16" spans="1:4">
      <c r="A16" s="289" t="s">
        <v>143</v>
      </c>
      <c r="B16" s="291" t="s">
        <v>144</v>
      </c>
      <c r="C16" s="289" t="s">
        <v>145</v>
      </c>
    </row>
    <row r="17" spans="1:4">
      <c r="A17" s="289" t="s">
        <v>146</v>
      </c>
      <c r="B17" s="291" t="s">
        <v>147</v>
      </c>
      <c r="C17" s="289" t="s">
        <v>148</v>
      </c>
    </row>
    <row r="18" spans="1:4">
      <c r="A18" s="289" t="s">
        <v>149</v>
      </c>
      <c r="B18" s="291" t="s">
        <v>150</v>
      </c>
      <c r="C18" s="289" t="s">
        <v>151</v>
      </c>
    </row>
    <row r="19" spans="1:4">
      <c r="A19" s="488" t="s">
        <v>152</v>
      </c>
      <c r="B19" s="291" t="s">
        <v>153</v>
      </c>
      <c r="C19" s="289" t="s">
        <v>154</v>
      </c>
    </row>
    <row r="20" spans="1:4" ht="25.5">
      <c r="A20" s="289" t="s">
        <v>155</v>
      </c>
      <c r="B20" s="291" t="s">
        <v>156</v>
      </c>
      <c r="C20" s="289" t="s">
        <v>157</v>
      </c>
    </row>
    <row r="21" spans="1:4">
      <c r="A21" s="289" t="s">
        <v>158</v>
      </c>
      <c r="B21" s="291" t="s">
        <v>159</v>
      </c>
      <c r="C21" s="289" t="s">
        <v>160</v>
      </c>
    </row>
    <row r="22" spans="1:4">
      <c r="A22" s="289" t="s">
        <v>161</v>
      </c>
      <c r="B22" s="291" t="s">
        <v>162</v>
      </c>
      <c r="C22" s="289" t="s">
        <v>163</v>
      </c>
    </row>
    <row r="23" spans="1:4" ht="25.5">
      <c r="A23" s="289" t="s">
        <v>164</v>
      </c>
      <c r="B23" s="291" t="s">
        <v>165</v>
      </c>
      <c r="C23" s="289" t="s">
        <v>166</v>
      </c>
    </row>
    <row r="24" spans="1:4">
      <c r="A24" s="289" t="s">
        <v>167</v>
      </c>
      <c r="B24" s="291" t="s">
        <v>168</v>
      </c>
      <c r="C24" s="289" t="s">
        <v>169</v>
      </c>
    </row>
    <row r="25" spans="1:4">
      <c r="A25" s="289" t="s">
        <v>170</v>
      </c>
      <c r="B25" s="291" t="s">
        <v>171</v>
      </c>
      <c r="C25" s="289" t="s">
        <v>172</v>
      </c>
    </row>
    <row r="26" spans="1:4">
      <c r="A26" s="289" t="s">
        <v>173</v>
      </c>
      <c r="B26" s="291" t="s">
        <v>174</v>
      </c>
      <c r="C26" s="289" t="s">
        <v>175</v>
      </c>
    </row>
    <row r="27" spans="1:4" ht="25.5" customHeight="1">
      <c r="A27" s="289" t="str">
        <f>"Sprawozdanie finansowe sporządzone za rok obrotowy "&amp;ro</f>
        <v>Sprawozdanie finansowe sporządzone za rok obrotowy 2024</v>
      </c>
      <c r="B27" s="289" t="str">
        <f>"Jahresabschluss für das Geschäftsjahr "&amp;ro</f>
        <v>Jahresabschluss für das Geschäftsjahr 2024</v>
      </c>
      <c r="C27" s="289" t="str">
        <f>"The financial statements for the financial year "&amp;ro</f>
        <v>The financial statements for the financial year 2024</v>
      </c>
    </row>
    <row r="28" spans="1:4">
      <c r="A28" s="289" t="s">
        <v>176</v>
      </c>
      <c r="B28" s="291" t="s">
        <v>177</v>
      </c>
      <c r="C28" s="289" t="s">
        <v>178</v>
      </c>
    </row>
    <row r="29" spans="1:4">
      <c r="A29" s="289" t="s">
        <v>179</v>
      </c>
      <c r="B29" s="291" t="s">
        <v>180</v>
      </c>
      <c r="C29" s="289" t="s">
        <v>181</v>
      </c>
    </row>
    <row r="30" spans="1:4">
      <c r="A30" s="483" t="str">
        <f>"na dzień "&amp;dzb</f>
        <v>na dzień 31.12.2024</v>
      </c>
      <c r="B30" s="484" t="str">
        <f>"zum "&amp;dzb</f>
        <v>zum 31.12.2024</v>
      </c>
      <c r="C30" s="483" t="str">
        <f>"as of "&amp;dzb</f>
        <v>as of 31.12.2024</v>
      </c>
    </row>
    <row r="31" spans="1:4" ht="76.5">
      <c r="A31" s="485" t="str">
        <f>"NINIEJSZY DOKUMENT NIE STANOWI ORYGINAŁU SPRAWOZDANIA FINANSOWEGO W ROZUMIENIU USTAWY Z DN. 29 WRZEŚNIA 1994 R. O RACHUNKOWOŚCI ("&amp;GA!N47&amp;")."</f>
        <v>NINIEJSZY DOKUMENT NIE STANOWI ORYGINAŁU SPRAWOZDANIA FINANSOWEGO W ROZUMIENIU USTAWY Z DN. 29 WRZEŚNIA 1994 R. O RACHUNKOWOŚCI (Dz. U. Z 2023 r., POZ. 120 z późn. zm.).</v>
      </c>
      <c r="B31" s="485" t="str">
        <f>"DIESES DOKUMENT IST KEIN ORIGINAL DES JAHRESABSCHLUSSES IM SINNE DES RECHNUNGSLEGUNGSGESETZES VOM 29. SEPTEMBER 1994 ("&amp;GA!O47&amp;")."</f>
        <v>DIESES DOKUMENT IST KEIN ORIGINAL DES JAHRESABSCHLUSSES IM SINNE DES RECHNUNGSLEGUNGSGESETZES VOM 29. SEPTEMBER 1994 (DZ. U. JAHRGANG 2023, POS. 120 M.Ä.).</v>
      </c>
      <c r="C31" s="485" t="str">
        <f>"THESE ARE NOT THE ORIGINAL FINANCIAL STATEMENTS IN THE MEANING OF THE ACCOUNTING ACT OF 29 SEPTEMBER 1994 ("&amp;GA!P47&amp;")."</f>
        <v>THESE ARE NOT THE ORIGINAL FINANCIAL STATEMENTS IN THE MEANING OF THE ACCOUNTING ACT OF 29 SEPTEMBER 1994 (JOURNAL OF LAWS OF 2023, ITEM 120, AS AMENDED).</v>
      </c>
      <c r="D31" s="289" t="s">
        <v>182</v>
      </c>
    </row>
    <row r="32" spans="1:4" ht="38.25">
      <c r="A32" s="483" t="s">
        <v>183</v>
      </c>
      <c r="B32" s="483" t="s">
        <v>184</v>
      </c>
      <c r="C32" s="483" t="s">
        <v>185</v>
      </c>
    </row>
    <row r="33" spans="1:5" ht="51">
      <c r="A33" s="483" t="s">
        <v>186</v>
      </c>
      <c r="B33" s="483" t="s">
        <v>184</v>
      </c>
      <c r="C33" s="483" t="s">
        <v>187</v>
      </c>
    </row>
    <row r="34" spans="1:5" ht="38.25">
      <c r="A34" s="483" t="s">
        <v>188</v>
      </c>
      <c r="B34" s="483" t="s">
        <v>189</v>
      </c>
      <c r="C34" s="483" t="s">
        <v>190</v>
      </c>
    </row>
    <row r="35" spans="1:5" ht="51">
      <c r="A35" s="289" t="s">
        <v>191</v>
      </c>
      <c r="B35" s="289" t="s">
        <v>192</v>
      </c>
      <c r="C35" s="289" t="s">
        <v>193</v>
      </c>
    </row>
    <row r="36" spans="1:5" ht="13.5" thickBot="1">
      <c r="A36" s="627"/>
      <c r="B36" s="629" t="s">
        <v>194</v>
      </c>
      <c r="C36" s="628"/>
    </row>
    <row r="37" spans="1:5" ht="25.5">
      <c r="A37" s="289" t="s">
        <v>195</v>
      </c>
      <c r="B37" s="291" t="s">
        <v>196</v>
      </c>
      <c r="C37" s="289" t="s">
        <v>197</v>
      </c>
    </row>
    <row r="38" spans="1:5">
      <c r="A38" s="289" t="s">
        <v>198</v>
      </c>
      <c r="B38" s="291" t="s">
        <v>199</v>
      </c>
      <c r="C38" s="289" t="s">
        <v>200</v>
      </c>
    </row>
    <row r="39" spans="1:5">
      <c r="A39" s="289" t="s">
        <v>201</v>
      </c>
      <c r="B39" s="291" t="s">
        <v>202</v>
      </c>
      <c r="C39" s="289" t="s">
        <v>203</v>
      </c>
    </row>
    <row r="40" spans="1:5">
      <c r="A40" s="289" t="s">
        <v>204</v>
      </c>
      <c r="B40" s="291" t="s">
        <v>205</v>
      </c>
      <c r="C40" s="289" t="s">
        <v>206</v>
      </c>
      <c r="E40" s="486"/>
    </row>
    <row r="41" spans="1:5" ht="25.5">
      <c r="A41" s="289" t="s">
        <v>207</v>
      </c>
      <c r="B41" s="291" t="s">
        <v>208</v>
      </c>
      <c r="C41" s="289" t="s">
        <v>209</v>
      </c>
    </row>
    <row r="42" spans="1:5" ht="25.5">
      <c r="A42" s="289" t="s">
        <v>210</v>
      </c>
      <c r="B42" s="291" t="s">
        <v>211</v>
      </c>
      <c r="C42" s="289" t="s">
        <v>212</v>
      </c>
    </row>
    <row r="43" spans="1:5">
      <c r="A43" s="289" t="s">
        <v>213</v>
      </c>
      <c r="B43" s="291" t="s">
        <v>214</v>
      </c>
      <c r="C43" s="289" t="s">
        <v>215</v>
      </c>
    </row>
    <row r="44" spans="1:5">
      <c r="A44" s="289" t="s">
        <v>216</v>
      </c>
      <c r="B44" s="291" t="s">
        <v>217</v>
      </c>
      <c r="C44" s="289" t="s">
        <v>218</v>
      </c>
    </row>
    <row r="45" spans="1:5" ht="38.25">
      <c r="A45" s="289" t="s">
        <v>219</v>
      </c>
      <c r="B45" s="291" t="s">
        <v>220</v>
      </c>
      <c r="C45" s="289" t="s">
        <v>221</v>
      </c>
    </row>
    <row r="46" spans="1:5" ht="38.25">
      <c r="A46" s="289" t="s">
        <v>222</v>
      </c>
      <c r="B46" s="291" t="s">
        <v>220</v>
      </c>
      <c r="C46" s="289" t="s">
        <v>221</v>
      </c>
    </row>
    <row r="47" spans="1:5" ht="38.25">
      <c r="A47" s="289" t="s">
        <v>223</v>
      </c>
      <c r="B47" s="291" t="s">
        <v>224</v>
      </c>
      <c r="C47" s="289" t="s">
        <v>225</v>
      </c>
    </row>
    <row r="48" spans="1:5" ht="38.25">
      <c r="A48" s="289" t="s">
        <v>226</v>
      </c>
      <c r="B48" s="291" t="s">
        <v>224</v>
      </c>
      <c r="C48" s="289" t="s">
        <v>225</v>
      </c>
    </row>
    <row r="49" spans="1:3" ht="38.25">
      <c r="A49" s="289" t="s">
        <v>227</v>
      </c>
      <c r="B49" s="291" t="s">
        <v>228</v>
      </c>
      <c r="C49" s="289" t="s">
        <v>229</v>
      </c>
    </row>
    <row r="50" spans="1:3" ht="38.25">
      <c r="A50" s="289" t="s">
        <v>230</v>
      </c>
      <c r="B50" s="291" t="s">
        <v>228</v>
      </c>
      <c r="C50" s="289" t="s">
        <v>229</v>
      </c>
    </row>
    <row r="51" spans="1:3" ht="38.25">
      <c r="A51" s="289" t="s">
        <v>231</v>
      </c>
      <c r="B51" s="487" t="s">
        <v>232</v>
      </c>
      <c r="C51" s="289" t="s">
        <v>233</v>
      </c>
    </row>
    <row r="52" spans="1:3">
      <c r="A52" s="289" t="s">
        <v>234</v>
      </c>
      <c r="B52" s="291" t="s">
        <v>235</v>
      </c>
      <c r="C52" s="289" t="s">
        <v>236</v>
      </c>
    </row>
    <row r="53" spans="1:3" ht="25.5">
      <c r="A53" s="289" t="s">
        <v>237</v>
      </c>
      <c r="B53" s="291" t="s">
        <v>238</v>
      </c>
      <c r="C53" s="289" t="s">
        <v>239</v>
      </c>
    </row>
    <row r="54" spans="1:3" ht="63.75">
      <c r="A54" s="289" t="s">
        <v>240</v>
      </c>
      <c r="B54" s="291" t="s">
        <v>241</v>
      </c>
      <c r="C54" s="289" t="s">
        <v>242</v>
      </c>
    </row>
    <row r="55" spans="1:3">
      <c r="A55" s="289" t="s">
        <v>243</v>
      </c>
      <c r="B55" s="291" t="s">
        <v>244</v>
      </c>
      <c r="C55" s="289" t="s">
        <v>245</v>
      </c>
    </row>
    <row r="56" spans="1:3">
      <c r="A56" s="289" t="s">
        <v>246</v>
      </c>
      <c r="B56" s="291" t="s">
        <v>247</v>
      </c>
      <c r="C56" s="289" t="s">
        <v>248</v>
      </c>
    </row>
    <row r="57" spans="1:3" ht="25.5">
      <c r="A57" s="289" t="s">
        <v>249</v>
      </c>
      <c r="B57" s="291" t="s">
        <v>250</v>
      </c>
      <c r="C57" s="289" t="s">
        <v>251</v>
      </c>
    </row>
    <row r="58" spans="1:3">
      <c r="A58" s="289" t="s">
        <v>252</v>
      </c>
      <c r="B58" s="291" t="s">
        <v>253</v>
      </c>
      <c r="C58" s="289" t="s">
        <v>254</v>
      </c>
    </row>
    <row r="59" spans="1:3">
      <c r="A59" s="289" t="s">
        <v>255</v>
      </c>
      <c r="B59" s="291" t="s">
        <v>256</v>
      </c>
      <c r="C59" s="289" t="s">
        <v>257</v>
      </c>
    </row>
    <row r="60" spans="1:3" ht="25.5">
      <c r="A60" s="289" t="s">
        <v>258</v>
      </c>
      <c r="B60" s="291" t="s">
        <v>259</v>
      </c>
      <c r="C60" s="488" t="s">
        <v>260</v>
      </c>
    </row>
    <row r="61" spans="1:3">
      <c r="A61" s="289" t="s">
        <v>261</v>
      </c>
      <c r="B61" s="291" t="s">
        <v>262</v>
      </c>
      <c r="C61" s="488" t="s">
        <v>263</v>
      </c>
    </row>
    <row r="62" spans="1:3">
      <c r="A62" s="289" t="s">
        <v>264</v>
      </c>
      <c r="B62" s="291" t="s">
        <v>265</v>
      </c>
      <c r="C62" s="488" t="s">
        <v>266</v>
      </c>
    </row>
    <row r="63" spans="1:3">
      <c r="A63" s="289" t="s">
        <v>267</v>
      </c>
      <c r="B63" s="291" t="s">
        <v>268</v>
      </c>
      <c r="C63" s="488" t="s">
        <v>269</v>
      </c>
    </row>
    <row r="64" spans="1:3" ht="38.25">
      <c r="A64" s="289" t="s">
        <v>270</v>
      </c>
      <c r="B64" s="291" t="s">
        <v>271</v>
      </c>
      <c r="C64" s="289" t="s">
        <v>272</v>
      </c>
    </row>
    <row r="65" spans="1:5">
      <c r="A65" s="289" t="s">
        <v>273</v>
      </c>
      <c r="B65" s="291" t="s">
        <v>274</v>
      </c>
      <c r="C65" s="289" t="s">
        <v>275</v>
      </c>
    </row>
    <row r="66" spans="1:5">
      <c r="A66" s="289" t="s">
        <v>276</v>
      </c>
      <c r="B66" s="291" t="s">
        <v>277</v>
      </c>
      <c r="C66" s="289" t="s">
        <v>278</v>
      </c>
    </row>
    <row r="67" spans="1:5" ht="25.5">
      <c r="A67" s="289" t="s">
        <v>279</v>
      </c>
      <c r="B67" s="291" t="s">
        <v>280</v>
      </c>
      <c r="C67" s="289" t="s">
        <v>281</v>
      </c>
    </row>
    <row r="68" spans="1:5" ht="25.5">
      <c r="A68" s="289" t="s">
        <v>282</v>
      </c>
      <c r="B68" s="291" t="s">
        <v>283</v>
      </c>
      <c r="C68" s="289" t="s">
        <v>284</v>
      </c>
    </row>
    <row r="69" spans="1:5">
      <c r="A69" s="289" t="s">
        <v>285</v>
      </c>
      <c r="B69" s="291" t="s">
        <v>286</v>
      </c>
      <c r="C69" s="289" t="s">
        <v>287</v>
      </c>
    </row>
    <row r="70" spans="1:5">
      <c r="A70" s="289" t="s">
        <v>288</v>
      </c>
      <c r="B70" s="291" t="s">
        <v>289</v>
      </c>
      <c r="C70" s="289" t="s">
        <v>290</v>
      </c>
    </row>
    <row r="71" spans="1:5">
      <c r="A71" s="289" t="s">
        <v>291</v>
      </c>
      <c r="B71" s="291" t="s">
        <v>292</v>
      </c>
      <c r="C71" s="289" t="s">
        <v>293</v>
      </c>
    </row>
    <row r="72" spans="1:5">
      <c r="A72" s="289" t="s">
        <v>294</v>
      </c>
      <c r="B72" s="291" t="s">
        <v>295</v>
      </c>
      <c r="C72" s="289" t="s">
        <v>296</v>
      </c>
    </row>
    <row r="73" spans="1:5" ht="25.5">
      <c r="A73" s="289" t="s">
        <v>297</v>
      </c>
      <c r="B73" s="291" t="s">
        <v>298</v>
      </c>
      <c r="C73" s="289" t="s">
        <v>299</v>
      </c>
      <c r="E73" s="95"/>
    </row>
    <row r="74" spans="1:5">
      <c r="A74" s="289" t="s">
        <v>300</v>
      </c>
      <c r="B74" s="291" t="s">
        <v>301</v>
      </c>
      <c r="C74" s="289" t="s">
        <v>302</v>
      </c>
    </row>
    <row r="75" spans="1:5" ht="25.5">
      <c r="A75" s="289" t="s">
        <v>303</v>
      </c>
      <c r="B75" s="291" t="s">
        <v>304</v>
      </c>
      <c r="C75" s="289" t="s">
        <v>305</v>
      </c>
    </row>
    <row r="76" spans="1:5" ht="38.25">
      <c r="A76" s="289" t="s">
        <v>306</v>
      </c>
      <c r="B76" s="291" t="s">
        <v>307</v>
      </c>
      <c r="C76" s="289" t="s">
        <v>308</v>
      </c>
    </row>
    <row r="77" spans="1:5" ht="38.25">
      <c r="A77" s="291" t="s">
        <v>309</v>
      </c>
      <c r="B77" s="291" t="s">
        <v>307</v>
      </c>
      <c r="C77" s="289" t="s">
        <v>308</v>
      </c>
    </row>
    <row r="78" spans="1:5" ht="38.25">
      <c r="A78" s="289" t="s">
        <v>310</v>
      </c>
      <c r="B78" s="291" t="s">
        <v>311</v>
      </c>
      <c r="C78" s="289" t="s">
        <v>312</v>
      </c>
    </row>
    <row r="79" spans="1:5" ht="38.25">
      <c r="A79" s="291" t="s">
        <v>313</v>
      </c>
      <c r="B79" s="291" t="s">
        <v>311</v>
      </c>
      <c r="C79" s="289" t="s">
        <v>312</v>
      </c>
    </row>
    <row r="80" spans="1:5" ht="25.5">
      <c r="A80" s="289" t="s">
        <v>314</v>
      </c>
      <c r="B80" s="291" t="s">
        <v>315</v>
      </c>
      <c r="C80" s="289" t="s">
        <v>316</v>
      </c>
    </row>
    <row r="81" spans="1:3" ht="25.5">
      <c r="A81" s="289" t="s">
        <v>317</v>
      </c>
      <c r="B81" s="291" t="s">
        <v>318</v>
      </c>
      <c r="C81" s="289" t="s">
        <v>319</v>
      </c>
    </row>
    <row r="82" spans="1:3">
      <c r="A82" s="289" t="s">
        <v>320</v>
      </c>
      <c r="B82" s="291" t="s">
        <v>321</v>
      </c>
      <c r="C82" s="289" t="s">
        <v>322</v>
      </c>
    </row>
    <row r="84" spans="1:3">
      <c r="A84" s="289" t="s">
        <v>323</v>
      </c>
      <c r="B84" s="289" t="s">
        <v>324</v>
      </c>
      <c r="C84" s="289" t="s">
        <v>325</v>
      </c>
    </row>
    <row r="85" spans="1:3">
      <c r="A85" s="88" t="s">
        <v>326</v>
      </c>
      <c r="B85" s="88" t="s">
        <v>327</v>
      </c>
      <c r="C85" s="489" t="s">
        <v>328</v>
      </c>
    </row>
    <row r="86" spans="1:3">
      <c r="A86" s="88" t="s">
        <v>329</v>
      </c>
      <c r="B86" s="88" t="s">
        <v>330</v>
      </c>
      <c r="C86" s="489" t="s">
        <v>331</v>
      </c>
    </row>
    <row r="87" spans="1:3">
      <c r="A87" s="79" t="s">
        <v>332</v>
      </c>
      <c r="B87" s="79" t="s">
        <v>333</v>
      </c>
      <c r="C87" s="490" t="s">
        <v>334</v>
      </c>
    </row>
    <row r="88" spans="1:3">
      <c r="A88" s="289" t="s">
        <v>335</v>
      </c>
      <c r="B88" s="289" t="s">
        <v>336</v>
      </c>
      <c r="C88" s="289" t="s">
        <v>337</v>
      </c>
    </row>
    <row r="89" spans="1:3">
      <c r="A89" s="289" t="s">
        <v>338</v>
      </c>
      <c r="B89" s="289" t="s">
        <v>339</v>
      </c>
      <c r="C89" s="289" t="s">
        <v>340</v>
      </c>
    </row>
    <row r="90" spans="1:3">
      <c r="A90" s="289" t="s">
        <v>341</v>
      </c>
      <c r="B90" s="289" t="s">
        <v>342</v>
      </c>
      <c r="C90" s="289" t="s">
        <v>343</v>
      </c>
    </row>
    <row r="91" spans="1:3">
      <c r="A91" s="289" t="s">
        <v>344</v>
      </c>
      <c r="B91" s="289" t="s">
        <v>345</v>
      </c>
      <c r="C91" s="289" t="s">
        <v>346</v>
      </c>
    </row>
    <row r="92" spans="1:3">
      <c r="A92" s="289" t="s">
        <v>347</v>
      </c>
      <c r="B92" s="289" t="s">
        <v>348</v>
      </c>
      <c r="C92" s="289" t="s">
        <v>349</v>
      </c>
    </row>
    <row r="93" spans="1:3">
      <c r="A93" s="289" t="s">
        <v>350</v>
      </c>
      <c r="B93" s="289" t="s">
        <v>351</v>
      </c>
      <c r="C93" s="289" t="s">
        <v>352</v>
      </c>
    </row>
    <row r="94" spans="1:3">
      <c r="A94" s="289" t="s">
        <v>353</v>
      </c>
      <c r="B94" s="289" t="s">
        <v>354</v>
      </c>
      <c r="C94" s="289" t="s">
        <v>355</v>
      </c>
    </row>
    <row r="95" spans="1:3">
      <c r="A95" s="289" t="s">
        <v>356</v>
      </c>
      <c r="B95" s="289" t="s">
        <v>357</v>
      </c>
      <c r="C95" s="491" t="s">
        <v>358</v>
      </c>
    </row>
    <row r="96" spans="1:3">
      <c r="A96" s="289" t="s">
        <v>359</v>
      </c>
      <c r="B96" s="289" t="s">
        <v>360</v>
      </c>
      <c r="C96" s="491" t="s">
        <v>361</v>
      </c>
    </row>
    <row r="97" spans="1:3">
      <c r="A97" s="289" t="s">
        <v>362</v>
      </c>
      <c r="B97" s="289" t="s">
        <v>363</v>
      </c>
      <c r="C97" s="491" t="s">
        <v>364</v>
      </c>
    </row>
    <row r="98" spans="1:3">
      <c r="A98" s="289" t="s">
        <v>365</v>
      </c>
      <c r="B98" s="289" t="s">
        <v>366</v>
      </c>
      <c r="C98" s="491" t="s">
        <v>367</v>
      </c>
    </row>
    <row r="99" spans="1:3">
      <c r="A99" s="289" t="s">
        <v>368</v>
      </c>
      <c r="B99" s="289" t="s">
        <v>369</v>
      </c>
      <c r="C99" s="289" t="s">
        <v>370</v>
      </c>
    </row>
    <row r="100" spans="1:3" ht="25.5">
      <c r="A100" s="492" t="s">
        <v>371</v>
      </c>
      <c r="B100" s="492" t="s">
        <v>372</v>
      </c>
      <c r="C100" s="493" t="s">
        <v>373</v>
      </c>
    </row>
    <row r="101" spans="1:3">
      <c r="A101" s="289" t="s">
        <v>374</v>
      </c>
      <c r="B101" s="289" t="s">
        <v>375</v>
      </c>
      <c r="C101" s="491" t="s">
        <v>376</v>
      </c>
    </row>
    <row r="102" spans="1:3">
      <c r="A102" s="289" t="s">
        <v>377</v>
      </c>
      <c r="B102" s="289" t="s">
        <v>378</v>
      </c>
      <c r="C102" s="491" t="s">
        <v>379</v>
      </c>
    </row>
    <row r="103" spans="1:3">
      <c r="A103" s="289" t="s">
        <v>380</v>
      </c>
      <c r="B103" s="289" t="s">
        <v>381</v>
      </c>
      <c r="C103" s="491" t="s">
        <v>382</v>
      </c>
    </row>
    <row r="104" spans="1:3" ht="25.5">
      <c r="A104" s="289" t="s">
        <v>383</v>
      </c>
      <c r="B104" s="289" t="s">
        <v>384</v>
      </c>
      <c r="C104" s="491" t="s">
        <v>385</v>
      </c>
    </row>
    <row r="105" spans="1:3" ht="38.25">
      <c r="A105" s="289" t="s">
        <v>386</v>
      </c>
      <c r="B105" s="289" t="s">
        <v>387</v>
      </c>
      <c r="C105" s="491" t="s">
        <v>388</v>
      </c>
    </row>
    <row r="106" spans="1:3" ht="114.75">
      <c r="A106" s="289" t="s">
        <v>389</v>
      </c>
      <c r="B106" s="289" t="s">
        <v>390</v>
      </c>
      <c r="C106" s="289" t="s">
        <v>391</v>
      </c>
    </row>
    <row r="107" spans="1:3" ht="127.5">
      <c r="A107" s="289" t="s">
        <v>392</v>
      </c>
      <c r="B107" s="289" t="s">
        <v>393</v>
      </c>
      <c r="C107" s="289" t="s">
        <v>394</v>
      </c>
    </row>
    <row r="108" spans="1:3" ht="38.25">
      <c r="A108" s="289" t="s">
        <v>395</v>
      </c>
      <c r="B108" s="289" t="s">
        <v>396</v>
      </c>
      <c r="C108" s="491" t="s">
        <v>397</v>
      </c>
    </row>
    <row r="109" spans="1:3">
      <c r="A109" s="289" t="s">
        <v>398</v>
      </c>
      <c r="B109" s="289" t="s">
        <v>399</v>
      </c>
      <c r="C109" s="491" t="s">
        <v>400</v>
      </c>
    </row>
    <row r="110" spans="1:3">
      <c r="A110" s="289" t="s">
        <v>401</v>
      </c>
      <c r="B110" s="289" t="s">
        <v>402</v>
      </c>
      <c r="C110" s="491" t="s">
        <v>403</v>
      </c>
    </row>
    <row r="111" spans="1:3" ht="51">
      <c r="A111" s="289" t="s">
        <v>404</v>
      </c>
      <c r="B111" s="289" t="s">
        <v>405</v>
      </c>
      <c r="C111" s="494" t="s">
        <v>406</v>
      </c>
    </row>
    <row r="112" spans="1:3" ht="51">
      <c r="A112" s="289" t="s">
        <v>407</v>
      </c>
      <c r="B112" s="619" t="s">
        <v>405</v>
      </c>
      <c r="C112" s="648" t="s">
        <v>406</v>
      </c>
    </row>
    <row r="113" spans="1:11" ht="38.25">
      <c r="A113" s="289" t="s">
        <v>408</v>
      </c>
      <c r="B113" s="289" t="s">
        <v>409</v>
      </c>
      <c r="C113" s="494" t="s">
        <v>410</v>
      </c>
    </row>
    <row r="114" spans="1:11" ht="38.25">
      <c r="A114" s="289" t="s">
        <v>411</v>
      </c>
      <c r="B114" s="619" t="s">
        <v>409</v>
      </c>
      <c r="C114" s="648" t="s">
        <v>410</v>
      </c>
    </row>
    <row r="115" spans="1:11" ht="25.5">
      <c r="A115" s="289" t="s">
        <v>412</v>
      </c>
      <c r="B115" s="289" t="s">
        <v>413</v>
      </c>
      <c r="C115" s="491" t="s">
        <v>414</v>
      </c>
    </row>
    <row r="116" spans="1:11">
      <c r="A116" s="289" t="s">
        <v>415</v>
      </c>
      <c r="B116" s="289" t="s">
        <v>416</v>
      </c>
      <c r="C116" s="495" t="s">
        <v>417</v>
      </c>
    </row>
    <row r="117" spans="1:11" ht="25.5">
      <c r="A117" s="289" t="s">
        <v>418</v>
      </c>
      <c r="B117" s="289" t="s">
        <v>419</v>
      </c>
      <c r="C117" s="495" t="s">
        <v>420</v>
      </c>
    </row>
    <row r="118" spans="1:11" ht="25.5">
      <c r="A118" s="289" t="s">
        <v>421</v>
      </c>
      <c r="B118" s="289" t="s">
        <v>422</v>
      </c>
      <c r="C118" s="495" t="s">
        <v>423</v>
      </c>
    </row>
    <row r="119" spans="1:11" ht="38.25">
      <c r="A119" s="289" t="s">
        <v>424</v>
      </c>
      <c r="B119" s="289" t="s">
        <v>425</v>
      </c>
      <c r="C119" s="495" t="s">
        <v>426</v>
      </c>
    </row>
    <row r="120" spans="1:11" ht="25.5">
      <c r="A120" s="496" t="s">
        <v>427</v>
      </c>
      <c r="B120" s="496" t="s">
        <v>428</v>
      </c>
      <c r="C120" s="495" t="s">
        <v>429</v>
      </c>
    </row>
    <row r="121" spans="1:11" ht="51">
      <c r="A121" s="496" t="s">
        <v>430</v>
      </c>
      <c r="B121" s="496" t="s">
        <v>431</v>
      </c>
      <c r="C121" s="496" t="s">
        <v>432</v>
      </c>
    </row>
    <row r="122" spans="1:11" ht="51">
      <c r="A122" s="496" t="s">
        <v>433</v>
      </c>
      <c r="B122" s="496" t="s">
        <v>434</v>
      </c>
      <c r="C122" s="496" t="s">
        <v>435</v>
      </c>
    </row>
    <row r="123" spans="1:11" ht="12.75" customHeight="1">
      <c r="A123" s="79" t="s">
        <v>436</v>
      </c>
      <c r="B123" s="79" t="s">
        <v>437</v>
      </c>
      <c r="C123" s="160" t="s">
        <v>438</v>
      </c>
      <c r="E123" s="99"/>
      <c r="F123" s="99"/>
      <c r="G123" s="99"/>
      <c r="H123" s="99"/>
      <c r="I123" s="99"/>
      <c r="J123" s="99"/>
      <c r="K123" s="99"/>
    </row>
    <row r="124" spans="1:11" ht="72" customHeight="1">
      <c r="A124" s="497" t="str">
        <f>"W Spółce stosowane są następujące zasady rachunkowości, które są zgodne z przepisami ustawy z dnia 29 września 1994 r. o rachunkowości ("&amp;GA!N46&amp;" - zwaną dalej UoR)."</f>
        <v>W Spółce stosowane są następujące zasady rachunkowości, które są zgodne z przepisami ustawy z dnia 29 września 1994 r. o rachunkowości (Dz. U. z 2023 r., poz. 120 z późn. zm. - zwaną dalej UoR).</v>
      </c>
      <c r="B124" s="498" t="str">
        <f>"In der Gesellschaft werden folgende Rechnungslegungsgrundsätze angewandt, die mit dem Rechnungslegungsgesetz vom 29. September 1994 übereinstimmen ("&amp;GA!O46&amp;" - nachfolgend RLG-PL)."</f>
        <v>In der Gesellschaft werden folgende Rechnungslegungsgrundsätze angewandt, die mit dem Rechnungslegungsgesetz vom 29. September 1994 übereinstimmen (Dz. U. Jahrgang 2023, Pos. 120 m.Ä. - nachfolgend RLG-PL).</v>
      </c>
      <c r="C124" s="497" t="str">
        <f>"The Company applies the following accounting principles which comply with the Accounting Act of 29 September 1994 ("&amp;GA!P46&amp;"; the Accounting Act)."</f>
        <v>The Company applies the following accounting principles which comply with the Accounting Act of 29 September 1994 (Journal of Laws of 2023, item 120, as amended; the Accounting Act).</v>
      </c>
      <c r="D124" s="99" t="s">
        <v>182</v>
      </c>
      <c r="E124" s="99"/>
      <c r="F124" s="99"/>
      <c r="G124" s="99"/>
      <c r="H124" s="99"/>
      <c r="I124" s="99"/>
      <c r="J124" s="99"/>
      <c r="K124" s="99"/>
    </row>
    <row r="125" spans="1:11" ht="72" customHeight="1">
      <c r="A125" s="497" t="str">
        <f>"W Oddziale stosowane są następujące zasady rachunkowości, które są zgodne z przepisami ustawy z dnia 29 września 1994 r. o rachunkowości ("&amp;GA!N46&amp;" - zwaną dalej UoR)."</f>
        <v>W Oddziale stosowane są następujące zasady rachunkowości, które są zgodne z przepisami ustawy z dnia 29 września 1994 r. o rachunkowości (Dz. U. z 2023 r., poz. 120 z późn. zm. - zwaną dalej UoR).</v>
      </c>
      <c r="B125" s="640" t="str">
        <f>"In der Gesellschaft werden folgende Rechnungslegungsgrundsätze angewandt, die mit den Vorschriften des Rechnungslegungsgesetzes vom 29. September 1994 übereinstimmen ("&amp;GA!O46&amp;" - nachfolgend RLG-PL)."</f>
        <v>In der Gesellschaft werden folgende Rechnungslegungsgrundsätze angewandt, die mit den Vorschriften des Rechnungslegungsgesetzes vom 29. September 1994 übereinstimmen (Dz. U. Jahrgang 2023, Pos. 120 m.Ä. - nachfolgend RLG-PL).</v>
      </c>
      <c r="C125" s="619" t="str">
        <f>"The Company applies the following accounting principles which comply with the Accounting Act of 29 September 1994 ("&amp;GA!P46&amp;"; the Accounting Act)."</f>
        <v>The Company applies the following accounting principles which comply with the Accounting Act of 29 September 1994 (Journal of Laws of 2023, item 120, as amended; the Accounting Act).</v>
      </c>
      <c r="D125" s="99"/>
      <c r="E125" s="99"/>
      <c r="F125" s="99"/>
      <c r="G125" s="99"/>
      <c r="H125" s="99"/>
      <c r="I125" s="99"/>
      <c r="J125" s="99"/>
      <c r="K125" s="99"/>
    </row>
    <row r="126" spans="1:11" ht="136.5" customHeight="1">
      <c r="A126" s="498" t="str">
        <f>"Przy sporządzeniu sprawozdania finansowego przyjęto założenie, że spółka nie będzie kontynuowała działalności gospodarczej. "&amp;"W związku z tym wycena aktywów jednostki następuje po cenach sprzedaży netto możliwych do uzyskania, nie wyższych od cen nabycia tych aktywów, pomniejszonych o odpisy z tytułu trwałej utraty wartości,"&amp;" tj. zgodnie z art. 29 ust. 1 ustawy z dnia 29 września 1994 r. o rachunkowości ("&amp;GA!N46&amp;" - zwaną dalej UoR)."</f>
        <v>Przy sporządzeniu sprawozdania finansowego przyjęto założenie, że spółka nie będzie kontynuowała działalności gospodarczej. W związku z tym wycena aktywów jednostki następuje po cenach sprzedaży netto możliwych do uzyskania, nie wyższych od cen nabycia tych aktywów, pomniejszonych o odpisy z tytułu trwałej utraty wartości, tj. zgodnie z art. 29 ust. 1 ustawy z dnia 29 września 1994 r. o rachunkowości (Dz. U. z 2023 r., poz. 120 z późn. zm. - zwaną dalej UoR).</v>
      </c>
      <c r="B126" s="498" t="str">
        <f>"Bei der Erstellung des Jahresabschlusses wurde davon ausgegangen, dass die Gesellschaft ihre Geschäftstätigkeit nicht fortführen wird. Daher erfolgt die Bewertung der Aktiva der Gesellschaft zu den erzielbaren Netto-Veräußerungspreisen,"&amp;" die jedoch nicht höher sein dürfen als der Preis für die Anschaffung dieser Aktiva, vermindert um die Abschreibungen aufgrund dauerhafter Wertminderung, d.h. gemäß Art. 29 Abs. 1 des Rechnungslegungsgesetzes ("&amp;GA!O46&amp;" - nachfolgend RLG-PL)."</f>
        <v>Bei der Erstellung des Jahresabschlusses wurde davon ausgegangen, dass die Gesellschaft ihre Geschäftstätigkeit nicht fortführen wird. Daher erfolgt die Bewertung der Aktiva der Gesellschaft zu den erzielbaren Netto-Veräußerungspreisen, die jedoch nicht höher sein dürfen als der Preis für die Anschaffung dieser Aktiva, vermindert um die Abschreibungen aufgrund dauerhafter Wertminderung, d.h. gemäß Art. 29 Abs. 1 des Rechnungslegungsgesetzes (Dz. U. Jahrgang 2023, Pos. 120 m.Ä. - nachfolgend RLG-PL).</v>
      </c>
      <c r="C126" s="497" t="str">
        <f>"The financial statements were prepared assuming that the company would not continue its business. Consequently, the company's assets were valued at realisable net selling prices not higher than the cost of their acquisition,"&amp;" less permanent impairment, that is, in accordance with Article 29(1) of the Accounting Act of 29 September 1994 ("&amp;GA!P46&amp;"; the Accounting Act)."</f>
        <v>The financial statements were prepared assuming that the company would not continue its business. Consequently, the company's assets were valued at realisable net selling prices not higher than the cost of their acquisition, less permanent impairment, that is, in accordance with Article 29(1) of the Accounting Act of 29 September 1994 (Journal of Laws of 2023, item 120, as amended; the Accounting Act).</v>
      </c>
      <c r="D126" s="99" t="s">
        <v>182</v>
      </c>
      <c r="E126" s="99"/>
      <c r="F126" s="99"/>
      <c r="G126" s="99"/>
      <c r="H126" s="99"/>
      <c r="I126" s="99"/>
      <c r="J126" s="99"/>
      <c r="K126" s="99"/>
    </row>
    <row r="127" spans="1:11" ht="136.5" customHeight="1">
      <c r="A127" s="498" t="str">
        <f>"Przy sporządzeniu sprawozdania finansowego przyjęto założenie, że Oddział nie będzie kontynuował działalności gospodarczej. "&amp;"W związku z tym wycena aktywów jednostki następuje po cenach sprzedaży netto możliwych do uzyskania, nie wyższych od cen nabycia tych aktywów, pomniejszonych o odpisy z tytułu trwałej utraty wartości,"&amp;" tj. zgodnie z art. 29 ust. 1 ustawy z dnia 29 września 1994 r. o rachunkowości ("&amp;GA!N46&amp;" - zwaną dalej UoR)."</f>
        <v>Przy sporządzeniu sprawozdania finansowego przyjęto założenie, że Oddział nie będzie kontynuował działalności gospodarczej. W związku z tym wycena aktywów jednostki następuje po cenach sprzedaży netto możliwych do uzyskania, nie wyższych od cen nabycia tych aktywów, pomniejszonych o odpisy z tytułu trwałej utraty wartości, tj. zgodnie z art. 29 ust. 1 ustawy z dnia 29 września 1994 r. o rachunkowości (Dz. U. z 2023 r., poz. 120 z późn. zm. - zwaną dalej UoR).</v>
      </c>
      <c r="B127" s="640" t="str">
        <f>"Bei der Erstellung des Jahresabschlusses wurde davon ausgegangen, dass die Gesellschaft ihre Geschäftstätigkeit nicht fortführen wird. Daher erfolgt die Bewertung der Aktiva der Gesellschaft zu den erzielbaren Netto-Veräußerungspreisen,"&amp;" die jedoch nicht höher sein dürfen als der Preis für die Anschaffung dieser Aktiva, vermindert um die Abschreibungen aufgrund dauerhafter Wertminderung, d.h. gemäß Art. 29 Abs. 1 des Rechnungslegungsgesetzes ("&amp;GA!O46&amp;" - nachfolgend RLG-PL)."</f>
        <v>Bei der Erstellung des Jahresabschlusses wurde davon ausgegangen, dass die Gesellschaft ihre Geschäftstätigkeit nicht fortführen wird. Daher erfolgt die Bewertung der Aktiva der Gesellschaft zu den erzielbaren Netto-Veräußerungspreisen, die jedoch nicht höher sein dürfen als der Preis für die Anschaffung dieser Aktiva, vermindert um die Abschreibungen aufgrund dauerhafter Wertminderung, d.h. gemäß Art. 29 Abs. 1 des Rechnungslegungsgesetzes (Dz. U. Jahrgang 2023, Pos. 120 m.Ä. - nachfolgend RLG-PL).</v>
      </c>
      <c r="C127" s="619" t="str">
        <f>"The financial statements were prepared assuming that the company would not continue its business. Consequently, the company's assets were valued at realisable net selling prices not higher than the cost of their acquisition,"&amp;" less permanent impairment, that is, in accordance with Article 29(1) of the Accounting Act of 29 September 1994 ("&amp;GA!P46&amp;"; the Accounting Act)."</f>
        <v>The financial statements were prepared assuming that the company would not continue its business. Consequently, the company's assets were valued at realisable net selling prices not higher than the cost of their acquisition, less permanent impairment, that is, in accordance with Article 29(1) of the Accounting Act of 29 September 1994 (Journal of Laws of 2023, item 120, as amended; the Accounting Act).</v>
      </c>
      <c r="D127" s="99"/>
      <c r="E127" s="99"/>
      <c r="F127" s="99"/>
      <c r="G127" s="99"/>
      <c r="H127" s="99"/>
      <c r="I127" s="99"/>
      <c r="J127" s="99"/>
      <c r="K127" s="99"/>
    </row>
    <row r="128" spans="1:11" ht="136.5" customHeight="1">
      <c r="A128" s="289" t="str">
        <f>"W Spółce stosowane są zasady rachunkowości, które są zgodne z przepisami ustawy z dnia 29 września 1994 r. o rachunkowości ("&amp;GA!N46&amp;" - zwaną dalej UoR)."&amp;"Opis stosowanych metod wyceny stanowi załącznik do sprawozdania finansowego."</f>
        <v>W Spółce stosowane są zasady rachunkowości, które są zgodne z przepisami ustawy z dnia 29 września 1994 r. o rachunkowości (Dz. U. z 2023 r., poz. 120 z późn. zm. - zwaną dalej UoR).Opis stosowanych metod wyceny stanowi załącznik do sprawozdania finansowego.</v>
      </c>
      <c r="B128" s="496" t="str">
        <f>"In der Gesellschaft werden Rechnungslegungsgrundsätze angewandt, die mit den Vorschriften des Rechnungslegungsgesetzes vom 29. September 1994 ("&amp;GA!O46&amp;", nachfolgend „RLG-PL”) übereinstimmen. Die Beschreibung der angewandten Bewertungsmethoden stellt die Anlage zum Jahresabschluss dar."</f>
        <v>In der Gesellschaft werden Rechnungslegungsgrundsätze angewandt, die mit den Vorschriften des Rechnungslegungsgesetzes vom 29. September 1994 (Dz. U. Jahrgang 2023, Pos. 120 m.Ä., nachfolgend „RLG-PL”) übereinstimmen. Die Beschreibung der angewandten Bewertungsmethoden stellt die Anlage zum Jahresabschluss dar.</v>
      </c>
      <c r="C128" s="289" t="str">
        <f>"The Company applies the accounting rules which comply with the Accounting Act of 29 September 1994 ("&amp;GA!P46&amp;" – hereinafter referred to as the Accounting Act).The description of the applied valuation methods is made an appendix to the financial statements."</f>
        <v>The Company applies the accounting rules which comply with the Accounting Act of 29 September 1994 (Journal of Laws of 2023, item 120, as amended – hereinafter referred to as the Accounting Act).The description of the applied valuation methods is made an appendix to the financial statements.</v>
      </c>
      <c r="D128" s="99"/>
      <c r="E128" s="99"/>
      <c r="F128" s="99"/>
      <c r="G128" s="99"/>
      <c r="H128" s="99"/>
      <c r="I128" s="99"/>
      <c r="J128" s="99"/>
      <c r="K128" s="99"/>
    </row>
    <row r="129" spans="1:11" ht="136.5" customHeight="1">
      <c r="A129" s="289" t="str">
        <f>"W Oddziale stosowane są zasady rachunkowości, które są zgodne z przepisami ustawy z dnia 29 września 1994 r. o rachunkowości ("&amp;GA!N46&amp;" - zwaną dalej UoR)."&amp;"Opis stosowanych metod wyceny stanowi załącznik do sprawozdania finansowego."</f>
        <v>W Oddziale stosowane są zasady rachunkowości, które są zgodne z przepisami ustawy z dnia 29 września 1994 r. o rachunkowości (Dz. U. z 2023 r., poz. 120 z późn. zm. - zwaną dalej UoR).Opis stosowanych metod wyceny stanowi załącznik do sprawozdania finansowego.</v>
      </c>
      <c r="B129" s="496" t="str">
        <f>"In der Gesellschaft werden Rechnungslegungsgrundsätze angewandt, die mit den Vorschriften des Rechnungslegungsgesetzes vom 29. September 1994 ("&amp;GA!O46&amp;", nachfolgend „RLG-PL”) übereinstimmen. Die Beschreibung der angewandten Bewertungsmethoden stellt die Anlage zum Jahresabschluss dar."</f>
        <v>In der Gesellschaft werden Rechnungslegungsgrundsätze angewandt, die mit den Vorschriften des Rechnungslegungsgesetzes vom 29. September 1994 (Dz. U. Jahrgang 2023, Pos. 120 m.Ä., nachfolgend „RLG-PL”) übereinstimmen. Die Beschreibung der angewandten Bewertungsmethoden stellt die Anlage zum Jahresabschluss dar.</v>
      </c>
      <c r="C129" s="289" t="str">
        <f>"The Branch Office applies the accounting rules which comply with the Accounting Act of 29 September 1994 ("&amp;GA!P46&amp;", as amended – hereinafter referred to as the Accounting Act).The description of the applied valuation methods is made an appendix to the financial statements."</f>
        <v>The Branch Office applies the accounting rules which comply with the Accounting Act of 29 September 1994 (Journal of Laws of 2023, item 120, as amended, as amended – hereinafter referred to as the Accounting Act).The description of the applied valuation methods is made an appendix to the financial statements.</v>
      </c>
      <c r="D129" s="99"/>
      <c r="E129" s="99"/>
      <c r="F129" s="99"/>
      <c r="G129" s="99"/>
      <c r="H129" s="99"/>
      <c r="I129" s="99"/>
      <c r="J129" s="99"/>
      <c r="K129" s="99"/>
    </row>
    <row r="130" spans="1:11" ht="25.5">
      <c r="A130" s="289" t="s">
        <v>439</v>
      </c>
      <c r="B130" s="289" t="s">
        <v>440</v>
      </c>
      <c r="C130" s="289" t="s">
        <v>441</v>
      </c>
      <c r="D130" s="499"/>
      <c r="E130" s="95"/>
      <c r="G130" s="500"/>
      <c r="H130" s="499"/>
    </row>
    <row r="131" spans="1:11" ht="127.5">
      <c r="A131" s="289" t="s">
        <v>442</v>
      </c>
      <c r="B131" s="289" t="s">
        <v>443</v>
      </c>
      <c r="C131" s="289" t="s">
        <v>444</v>
      </c>
      <c r="D131" s="499"/>
      <c r="E131" s="95"/>
      <c r="G131" s="500"/>
      <c r="H131" s="499"/>
    </row>
    <row r="132" spans="1:11" ht="89.25">
      <c r="A132" s="289" t="str">
        <f>"Wartości niematerialne i prawne o wartości początkowej od "&amp;wart.dolna&amp;" PLN do "&amp;WG_WNIP&amp;" PLN ujmowane są w ewidencji wartości niematerialnych prawnych i amortyzowane jednorazowo w miesiącu przekazania ich do użytkowania."</f>
        <v>Wartości niematerialne i prawne o wartości początkowej od 1.000,00 PLN do 3500 PLN ujmowane są w ewidencji wartości niematerialnych prawnych i amortyzowane jednorazowo w miesiącu przekazania ich do użytkowania.</v>
      </c>
      <c r="B132" s="289" t="str">
        <f>"Immaterielle Vermögensgegenstände und Rechte mit Anschaffungs- oder Herstellungskosten von "&amp;wart.dolna&amp;" PLN bis "&amp;WG_WNIP&amp;" PLN werden im Verzeichnis der immateriellen Vermögensgegenstände und Rechte erfasst und im Monat ihrer Freigabe zur Nutzung einmalig abgeschrieben."</f>
        <v>Immaterielle Vermögensgegenstände und Rechte mit Anschaffungs- oder Herstellungskosten von 1.000,00 PLN bis 3500 PLN werden im Verzeichnis der immateriellen Vermögensgegenstände und Rechte erfasst und im Monat ihrer Freigabe zur Nutzung einmalig abgeschrieben.</v>
      </c>
      <c r="C132" s="289" t="str">
        <f>"Intangible assets with an initial value higher than PLN "&amp;wart.dolna&amp;" but not exceeding PLN "&amp;WG_WNIP&amp;" are recognised in the intangible asset records and amortised as a one-off charge in the month in which they were brought into use."</f>
        <v>Intangible assets with an initial value higher than PLN 1.000,00 but not exceeding PLN 3500 are recognised in the intangible asset records and amortised as a one-off charge in the month in which they were brought into use.</v>
      </c>
      <c r="D132" s="499"/>
      <c r="E132" s="95"/>
      <c r="G132" s="500"/>
      <c r="H132" s="499"/>
    </row>
    <row r="133" spans="1:11">
      <c r="A133" s="289" t="s">
        <v>445</v>
      </c>
      <c r="B133" s="289" t="s">
        <v>446</v>
      </c>
      <c r="C133" s="289" t="s">
        <v>447</v>
      </c>
      <c r="D133" s="499"/>
      <c r="E133" s="95"/>
      <c r="G133" s="500"/>
      <c r="H133" s="499"/>
    </row>
    <row r="134" spans="1:11" ht="102">
      <c r="A134" s="289" t="s">
        <v>448</v>
      </c>
      <c r="B134" s="289" t="s">
        <v>449</v>
      </c>
      <c r="C134" s="289" t="s">
        <v>450</v>
      </c>
      <c r="D134" s="499"/>
      <c r="E134" s="95"/>
      <c r="G134" s="111"/>
      <c r="H134" s="499"/>
    </row>
    <row r="135" spans="1:11" ht="76.5">
      <c r="A135" s="289" t="str">
        <f>"Środki trwałe o wartości początkowej od "&amp;ST_WD&amp;" PLN do "&amp;WG_ST&amp;" PLN ujmowane są w ewidencji środków trwałych i amortyzowane jednorazowo w miesiącu oddania do użytkowania."</f>
        <v>Środki trwałe o wartości początkowej od 1.000,00 PLN do 3500 PLN ujmowane są w ewidencji środków trwałych i amortyzowane jednorazowo w miesiącu oddania do użytkowania.</v>
      </c>
      <c r="B135" s="289" t="str">
        <f>"Sachanlagen mit Anschaffungs- oder Herstellungskosten von "&amp;ST_WD&amp;" PLN bis "&amp;WG_ST&amp;" PLN werden im Verzeichnis der Sachanlagen erfasst und im Monat ihrer Freigabe zur Nutzung einmalig abgeschrieben."</f>
        <v>Sachanlagen mit Anschaffungs- oder Herstellungskosten von 1.000,00 PLN bis 3500 PLN werden im Verzeichnis der Sachanlagen erfasst und im Monat ihrer Freigabe zur Nutzung einmalig abgeschrieben.</v>
      </c>
      <c r="C135" s="289" t="str">
        <f>"Tangible assets with an initial value higher than PLN "&amp;ST_WD&amp;" but not exceeding PLN "&amp;WG_ST&amp;" are recognised in the tangible asset records and depreciated as a one-off charge in the month in which they were brought into use."</f>
        <v>Tangible assets with an initial value higher than PLN 1.000,00 but not exceeding PLN 3500 are recognised in the tangible asset records and depreciated as a one-off charge in the month in which they were brought into use.</v>
      </c>
      <c r="D135" s="499"/>
      <c r="E135" s="95"/>
      <c r="G135" s="500"/>
      <c r="H135" s="499"/>
    </row>
    <row r="136" spans="1:11">
      <c r="A136" s="289" t="s">
        <v>451</v>
      </c>
      <c r="B136" s="289" t="s">
        <v>452</v>
      </c>
      <c r="C136" s="289" t="s">
        <v>453</v>
      </c>
      <c r="D136" s="499"/>
      <c r="E136" s="95"/>
      <c r="G136" s="500"/>
      <c r="H136" s="499"/>
    </row>
    <row r="137" spans="1:11" ht="178.5" customHeight="1">
      <c r="A137" s="289" t="s">
        <v>454</v>
      </c>
      <c r="B137" s="289" t="s">
        <v>455</v>
      </c>
      <c r="C137" s="501" t="s">
        <v>456</v>
      </c>
      <c r="D137" s="499"/>
      <c r="E137" s="95"/>
      <c r="G137" s="500"/>
      <c r="H137" s="499"/>
    </row>
    <row r="138" spans="1:11">
      <c r="B138" s="289"/>
      <c r="D138" s="499"/>
      <c r="E138" s="95"/>
      <c r="G138" s="111"/>
      <c r="H138" s="499"/>
    </row>
    <row r="139" spans="1:11" ht="38.25">
      <c r="A139" s="289" t="str">
        <f>"Środki trwałe o wartości powyżej "&amp;WG_ST&amp;" PLN amortyzowane są metodą liniową."</f>
        <v>Środki trwałe o wartości powyżej 3500 PLN amortyzowane są metodą liniową.</v>
      </c>
      <c r="B139" s="289" t="str">
        <f>"Sachanlagen mit einem Wert über "&amp;WG_ST&amp;" PLN werden linear abgeschrieben."</f>
        <v>Sachanlagen mit einem Wert über 3500 PLN werden linear abgeschrieben.</v>
      </c>
      <c r="C139" s="289" t="str">
        <f>"Tangible assets with a value higher than PLN "&amp;WG_ST&amp;" are depreciated using the straight-line method."</f>
        <v>Tangible assets with a value higher than PLN 3500 are depreciated using the straight-line method.</v>
      </c>
      <c r="D139" s="499"/>
      <c r="E139" s="95"/>
      <c r="G139" s="500"/>
      <c r="H139" s="499"/>
    </row>
    <row r="140" spans="1:11" ht="38.25">
      <c r="A140" s="289" t="str">
        <f>"Środki trwałe o wartości powyżej "&amp;WG_ST&amp;" PLN amortyzowane są metodą degresywną."</f>
        <v>Środki trwałe o wartości powyżej 3500 PLN amortyzowane są metodą degresywną.</v>
      </c>
      <c r="B140" s="289" t="str">
        <f>"Sachanlagen mit einem Wert über "&amp;WG_ST&amp;" PLN werden linear degressiv abgeschrieben."</f>
        <v>Sachanlagen mit einem Wert über 3500 PLN werden linear degressiv abgeschrieben.</v>
      </c>
      <c r="C140" s="289" t="str">
        <f>"Tangible assets with a value higher than PLN "&amp;WG_ST&amp;" are depreciated using the declining balance method."</f>
        <v>Tangible assets with a value higher than PLN 3500 are depreciated using the declining balance method.</v>
      </c>
      <c r="D140" s="499"/>
      <c r="E140" s="95"/>
      <c r="G140" s="500"/>
      <c r="H140" s="499"/>
    </row>
    <row r="141" spans="1:11">
      <c r="A141" s="289" t="s">
        <v>457</v>
      </c>
      <c r="B141" s="289" t="s">
        <v>458</v>
      </c>
      <c r="C141" s="289" t="s">
        <v>459</v>
      </c>
      <c r="D141" s="499"/>
      <c r="E141" s="95"/>
      <c r="G141" s="500"/>
      <c r="H141" s="499"/>
    </row>
    <row r="142" spans="1:11" ht="99" customHeight="1">
      <c r="A142" s="289" t="str">
        <f>"Jeżeli wartość początkowa przedmiotu długotrwałego użytku nie przekracza kwoty "&amp;ST_WD&amp;" PLN, to składników tych nie zalicza się do środków trwałych i odpisywane są one bezpośrednio jako koszt zużycia materiałów, o ile nie zniekształca to istotnie wyniku finansowego za dany rok obrotowy."</f>
        <v>Jeżeli wartość początkowa przedmiotu długotrwałego użytku nie przekracza kwoty 1.000,00 PLN, to składników tych nie zalicza się do środków trwałych i odpisywane są one bezpośrednio jako koszt zużycia materiałów, o ile nie zniekształca to istotnie wyniku finansowego za dany rok obrotowy.</v>
      </c>
      <c r="B142" s="289" t="str">
        <f>"Betragen die Anschaffungskosten der langlebigen Gebrauchsgüter nicht mehr als "&amp;ST_WD&amp;" PLN, so werden sie als geringwertige Wirtschaftsgüter direkt als Aufwand verbucht – sofern dies das Ergebnis für das betreffende Geschäftsjahr nicht wesentlich verzerrt."</f>
        <v>Betragen die Anschaffungskosten der langlebigen Gebrauchsgüter nicht mehr als 1.000,00 PLN, so werden sie als geringwertige Wirtschaftsgüter direkt als Aufwand verbucht – sofern dies das Ergebnis für das betreffende Geschäftsjahr nicht wesentlich verzerrt.</v>
      </c>
      <c r="C142" s="289" t="str">
        <f>"If the initial value of a non-current asset does not exceed PLN "&amp;ST_WD&amp;", such assets are not classified as tangible assets, but are depreciated directly as costs of raw materials used, provided that it does not significantly distort the profit(loss) for the financial year"</f>
        <v>If the initial value of a non-current asset does not exceed PLN 1.000,00, such assets are not classified as tangible assets, but are depreciated directly as costs of raw materials used, provided that it does not significantly distort the profit(loss) for the financial year</v>
      </c>
      <c r="D142" s="499"/>
      <c r="E142" s="95"/>
      <c r="G142" s="500"/>
      <c r="H142" s="499"/>
    </row>
    <row r="143" spans="1:11" ht="127.5">
      <c r="A143" s="289" t="s">
        <v>460</v>
      </c>
      <c r="B143" s="289" t="s">
        <v>461</v>
      </c>
      <c r="C143" s="289" t="s">
        <v>462</v>
      </c>
      <c r="D143" s="499"/>
      <c r="E143" s="95"/>
      <c r="G143" s="500"/>
      <c r="H143" s="499"/>
    </row>
    <row r="144" spans="1:11" ht="127.5">
      <c r="A144" s="289" t="s">
        <v>463</v>
      </c>
      <c r="B144" s="658" t="s">
        <v>461</v>
      </c>
      <c r="C144" s="658" t="s">
        <v>462</v>
      </c>
      <c r="D144" s="499"/>
      <c r="E144" s="95"/>
      <c r="G144" s="500"/>
      <c r="H144" s="499"/>
    </row>
    <row r="145" spans="1:8" ht="25.5">
      <c r="A145" s="289" t="s">
        <v>464</v>
      </c>
      <c r="B145" s="289" t="s">
        <v>465</v>
      </c>
      <c r="C145" s="289" t="s">
        <v>466</v>
      </c>
      <c r="D145" s="499"/>
      <c r="E145" s="95"/>
      <c r="G145" s="500"/>
      <c r="H145" s="499"/>
    </row>
    <row r="146" spans="1:8" ht="25.5">
      <c r="A146" s="291" t="s">
        <v>467</v>
      </c>
      <c r="B146" s="289" t="s">
        <v>465</v>
      </c>
      <c r="C146" s="289" t="s">
        <v>466</v>
      </c>
      <c r="D146" s="499"/>
      <c r="E146" s="95"/>
      <c r="G146" s="500"/>
      <c r="H146" s="499"/>
    </row>
    <row r="147" spans="1:8">
      <c r="A147" s="289" t="s">
        <v>468</v>
      </c>
      <c r="B147" s="289" t="s">
        <v>469</v>
      </c>
      <c r="C147" s="289" t="s">
        <v>470</v>
      </c>
      <c r="D147" s="499"/>
      <c r="E147" s="95"/>
      <c r="G147" s="500"/>
      <c r="H147" s="499"/>
    </row>
    <row r="148" spans="1:8" ht="38.25">
      <c r="A148" s="289" t="s">
        <v>471</v>
      </c>
      <c r="B148" s="289" t="s">
        <v>472</v>
      </c>
      <c r="C148" s="289" t="s">
        <v>473</v>
      </c>
      <c r="D148" s="499"/>
      <c r="E148" s="95"/>
      <c r="G148" s="500"/>
      <c r="H148" s="499"/>
    </row>
    <row r="149" spans="1:8" ht="27" customHeight="1">
      <c r="A149" s="289" t="s">
        <v>474</v>
      </c>
      <c r="B149" s="289" t="s">
        <v>475</v>
      </c>
      <c r="C149" s="289" t="s">
        <v>476</v>
      </c>
      <c r="D149" s="499"/>
      <c r="E149" s="95"/>
      <c r="G149" s="500"/>
      <c r="H149" s="499"/>
    </row>
    <row r="150" spans="1:8">
      <c r="A150" s="289" t="s">
        <v>477</v>
      </c>
      <c r="B150" s="289" t="s">
        <v>478</v>
      </c>
      <c r="C150" s="289" t="s">
        <v>479</v>
      </c>
      <c r="D150" s="499"/>
      <c r="E150" s="95"/>
      <c r="G150" s="500"/>
      <c r="H150" s="499"/>
    </row>
    <row r="151" spans="1:8">
      <c r="A151" s="289" t="s">
        <v>480</v>
      </c>
      <c r="B151" s="289" t="s">
        <v>481</v>
      </c>
      <c r="C151" s="289" t="s">
        <v>482</v>
      </c>
      <c r="D151" s="502"/>
      <c r="E151" s="95"/>
      <c r="G151" s="502"/>
      <c r="H151" s="502"/>
    </row>
    <row r="152" spans="1:8">
      <c r="B152" s="289"/>
      <c r="D152" s="503"/>
      <c r="E152" s="95"/>
      <c r="G152" s="502"/>
      <c r="H152" s="503"/>
    </row>
    <row r="153" spans="1:8" ht="25.5">
      <c r="A153" s="289" t="s">
        <v>483</v>
      </c>
      <c r="B153" s="289" t="s">
        <v>484</v>
      </c>
      <c r="C153" s="289" t="s">
        <v>485</v>
      </c>
      <c r="D153" s="502"/>
      <c r="E153" s="95"/>
      <c r="G153" s="502"/>
      <c r="H153" s="502"/>
    </row>
    <row r="154" spans="1:8">
      <c r="A154" s="289" t="s">
        <v>486</v>
      </c>
      <c r="B154" s="289" t="s">
        <v>487</v>
      </c>
      <c r="C154" s="289" t="s">
        <v>488</v>
      </c>
      <c r="D154" s="503"/>
      <c r="E154" s="95"/>
      <c r="G154" s="502"/>
      <c r="H154" s="503"/>
    </row>
    <row r="155" spans="1:8">
      <c r="A155" s="289" t="s">
        <v>489</v>
      </c>
      <c r="B155" s="289" t="s">
        <v>490</v>
      </c>
      <c r="C155" s="289" t="s">
        <v>491</v>
      </c>
      <c r="D155" s="502"/>
      <c r="E155" s="95"/>
      <c r="G155" s="502"/>
      <c r="H155" s="502"/>
    </row>
    <row r="156" spans="1:8">
      <c r="A156" s="289" t="s">
        <v>492</v>
      </c>
      <c r="B156" s="289" t="s">
        <v>493</v>
      </c>
      <c r="C156" s="289" t="s">
        <v>494</v>
      </c>
      <c r="D156" s="502"/>
      <c r="E156" s="95"/>
      <c r="G156" s="502"/>
      <c r="H156" s="502"/>
    </row>
    <row r="157" spans="1:8" ht="51">
      <c r="A157" s="289" t="s">
        <v>495</v>
      </c>
      <c r="B157" s="289" t="s">
        <v>496</v>
      </c>
      <c r="C157" s="289" t="s">
        <v>497</v>
      </c>
      <c r="D157" s="502"/>
      <c r="E157" s="95"/>
      <c r="G157" s="502"/>
      <c r="H157" s="502"/>
    </row>
    <row r="158" spans="1:8" ht="51">
      <c r="A158" s="291" t="s">
        <v>498</v>
      </c>
      <c r="B158" s="658" t="s">
        <v>496</v>
      </c>
      <c r="C158" s="658" t="s">
        <v>497</v>
      </c>
      <c r="D158" s="502"/>
      <c r="E158" s="95"/>
      <c r="G158" s="502"/>
      <c r="H158" s="502"/>
    </row>
    <row r="159" spans="1:8">
      <c r="A159" s="289" t="s">
        <v>499</v>
      </c>
      <c r="B159" s="289" t="s">
        <v>500</v>
      </c>
      <c r="C159" s="289" t="s">
        <v>501</v>
      </c>
      <c r="D159" s="499"/>
      <c r="E159" s="95"/>
      <c r="G159" s="500"/>
      <c r="H159" s="499"/>
    </row>
    <row r="160" spans="1:8" ht="89.25">
      <c r="A160" s="289" t="s">
        <v>502</v>
      </c>
      <c r="B160" s="289" t="s">
        <v>503</v>
      </c>
      <c r="C160" s="289" t="s">
        <v>504</v>
      </c>
      <c r="D160" s="502"/>
      <c r="E160" s="95"/>
      <c r="G160" s="502"/>
      <c r="H160" s="502"/>
    </row>
    <row r="161" spans="1:8" ht="127.5">
      <c r="A161" s="289" t="s">
        <v>505</v>
      </c>
      <c r="B161" s="289" t="s">
        <v>506</v>
      </c>
      <c r="C161" s="289" t="s">
        <v>507</v>
      </c>
      <c r="D161" s="503"/>
      <c r="E161" s="95"/>
      <c r="G161" s="502"/>
      <c r="H161" s="503"/>
    </row>
    <row r="162" spans="1:8" ht="38.25">
      <c r="A162" s="289" t="s">
        <v>508</v>
      </c>
      <c r="B162" s="289" t="s">
        <v>509</v>
      </c>
      <c r="C162" s="289" t="s">
        <v>510</v>
      </c>
      <c r="D162" s="499"/>
      <c r="E162" s="504"/>
      <c r="G162" s="111"/>
      <c r="H162" s="499"/>
    </row>
    <row r="163" spans="1:8" ht="25.5">
      <c r="A163" s="289" t="s">
        <v>511</v>
      </c>
      <c r="B163" s="289" t="s">
        <v>512</v>
      </c>
      <c r="C163" s="289" t="s">
        <v>513</v>
      </c>
      <c r="D163" s="499"/>
      <c r="E163" s="504"/>
      <c r="G163" s="111"/>
      <c r="H163" s="499"/>
    </row>
    <row r="164" spans="1:8" ht="38.25">
      <c r="A164" s="289" t="s">
        <v>514</v>
      </c>
      <c r="B164" s="289" t="s">
        <v>515</v>
      </c>
      <c r="C164" s="289" t="s">
        <v>516</v>
      </c>
      <c r="D164" s="499"/>
      <c r="E164" s="504"/>
      <c r="G164" s="111"/>
      <c r="H164" s="499"/>
    </row>
    <row r="165" spans="1:8" ht="51">
      <c r="A165" s="289" t="s">
        <v>517</v>
      </c>
      <c r="B165" s="289" t="s">
        <v>518</v>
      </c>
      <c r="C165" s="289" t="s">
        <v>519</v>
      </c>
      <c r="D165" s="499"/>
      <c r="E165" s="95"/>
      <c r="G165" s="500"/>
      <c r="H165" s="499"/>
    </row>
    <row r="166" spans="1:8" ht="38.25">
      <c r="A166" s="289" t="s">
        <v>520</v>
      </c>
      <c r="B166" s="289" t="s">
        <v>521</v>
      </c>
      <c r="C166" s="289" t="s">
        <v>522</v>
      </c>
      <c r="D166" s="499"/>
      <c r="E166" s="95"/>
      <c r="G166" s="500"/>
      <c r="H166" s="499"/>
    </row>
    <row r="167" spans="1:8" ht="38.25">
      <c r="A167" s="289" t="s">
        <v>520</v>
      </c>
      <c r="B167" s="289" t="s">
        <v>521</v>
      </c>
      <c r="C167" s="289" t="s">
        <v>522</v>
      </c>
      <c r="D167" s="499"/>
      <c r="E167" s="95"/>
      <c r="G167" s="500"/>
      <c r="H167" s="499"/>
    </row>
    <row r="168" spans="1:8" ht="76.5">
      <c r="A168" s="289" t="s">
        <v>523</v>
      </c>
      <c r="B168" s="289" t="s">
        <v>524</v>
      </c>
      <c r="C168" s="291" t="s">
        <v>525</v>
      </c>
      <c r="D168" s="499"/>
      <c r="E168" s="95"/>
      <c r="G168" s="500"/>
      <c r="H168" s="499"/>
    </row>
    <row r="169" spans="1:8">
      <c r="A169" s="289" t="s">
        <v>526</v>
      </c>
      <c r="B169" s="289" t="s">
        <v>527</v>
      </c>
      <c r="C169" s="289" t="s">
        <v>528</v>
      </c>
      <c r="D169" s="499"/>
      <c r="E169" s="95"/>
      <c r="G169" s="500"/>
      <c r="H169" s="499"/>
    </row>
    <row r="170" spans="1:8" ht="76.5">
      <c r="A170" s="289" t="s">
        <v>529</v>
      </c>
      <c r="B170" s="289" t="s">
        <v>530</v>
      </c>
      <c r="C170" s="289" t="s">
        <v>531</v>
      </c>
      <c r="D170" s="499"/>
      <c r="E170" s="95"/>
      <c r="G170" s="500"/>
      <c r="H170" s="499"/>
    </row>
    <row r="171" spans="1:8" ht="127.5">
      <c r="A171" s="289" t="s">
        <v>532</v>
      </c>
      <c r="B171" s="289" t="s">
        <v>533</v>
      </c>
      <c r="C171" s="289" t="s">
        <v>534</v>
      </c>
      <c r="D171" s="499"/>
      <c r="E171" s="95"/>
      <c r="G171" s="500"/>
      <c r="H171" s="499"/>
    </row>
    <row r="172" spans="1:8" ht="38.25">
      <c r="A172" s="289" t="s">
        <v>535</v>
      </c>
      <c r="B172" s="289" t="s">
        <v>536</v>
      </c>
      <c r="C172" s="289" t="s">
        <v>537</v>
      </c>
      <c r="D172" s="499"/>
      <c r="E172" s="95"/>
      <c r="G172" s="500"/>
      <c r="H172" s="499"/>
    </row>
    <row r="173" spans="1:8" ht="38.25">
      <c r="A173" s="289" t="s">
        <v>538</v>
      </c>
      <c r="B173" s="289" t="s">
        <v>539</v>
      </c>
      <c r="C173" s="289" t="s">
        <v>540</v>
      </c>
      <c r="D173" s="499"/>
      <c r="E173" s="95"/>
      <c r="G173" s="500"/>
      <c r="H173" s="499"/>
    </row>
    <row r="174" spans="1:8" ht="38.25">
      <c r="A174" s="289" t="s">
        <v>541</v>
      </c>
      <c r="B174" s="289" t="s">
        <v>542</v>
      </c>
      <c r="C174" s="289" t="s">
        <v>543</v>
      </c>
      <c r="D174" s="499"/>
      <c r="E174" s="95"/>
      <c r="G174" s="500"/>
      <c r="H174" s="499"/>
    </row>
    <row r="175" spans="1:8" ht="38.25">
      <c r="A175" s="289" t="s">
        <v>544</v>
      </c>
      <c r="B175" s="289" t="s">
        <v>545</v>
      </c>
      <c r="C175" s="289" t="s">
        <v>546</v>
      </c>
      <c r="D175" s="499"/>
      <c r="E175" s="95"/>
      <c r="G175" s="500"/>
      <c r="H175" s="499"/>
    </row>
    <row r="176" spans="1:8" ht="76.5">
      <c r="A176" s="289" t="s">
        <v>547</v>
      </c>
      <c r="B176" s="289" t="s">
        <v>548</v>
      </c>
      <c r="C176" s="289" t="s">
        <v>549</v>
      </c>
      <c r="D176" s="499"/>
      <c r="E176" s="95"/>
      <c r="G176" s="500"/>
      <c r="H176" s="499"/>
    </row>
    <row r="177" spans="1:8" ht="38.25">
      <c r="A177" s="289" t="s">
        <v>520</v>
      </c>
      <c r="B177" s="289" t="s">
        <v>521</v>
      </c>
      <c r="C177" s="289" t="s">
        <v>522</v>
      </c>
      <c r="D177" s="499"/>
      <c r="E177" s="504"/>
      <c r="G177" s="500"/>
      <c r="H177" s="499"/>
    </row>
    <row r="178" spans="1:8" ht="39.75" customHeight="1">
      <c r="A178" s="289" t="s">
        <v>520</v>
      </c>
      <c r="B178" s="289" t="s">
        <v>521</v>
      </c>
      <c r="C178" s="289" t="s">
        <v>522</v>
      </c>
      <c r="D178" s="499"/>
      <c r="E178" s="504"/>
      <c r="G178" s="500"/>
      <c r="H178" s="499"/>
    </row>
    <row r="179" spans="1:8" ht="63.75">
      <c r="A179" s="289" t="s">
        <v>550</v>
      </c>
      <c r="B179" s="289" t="s">
        <v>551</v>
      </c>
      <c r="C179" s="289" t="s">
        <v>552</v>
      </c>
      <c r="D179" s="499"/>
      <c r="E179" s="95"/>
      <c r="G179" s="111"/>
      <c r="H179" s="499"/>
    </row>
    <row r="180" spans="1:8" ht="76.5">
      <c r="A180" s="289" t="s">
        <v>553</v>
      </c>
      <c r="B180" s="289" t="s">
        <v>554</v>
      </c>
      <c r="C180" s="291" t="s">
        <v>555</v>
      </c>
      <c r="D180" s="499"/>
      <c r="E180" s="95"/>
      <c r="G180" s="500"/>
      <c r="H180" s="499"/>
    </row>
    <row r="181" spans="1:8">
      <c r="A181" s="289" t="s">
        <v>556</v>
      </c>
      <c r="B181" s="289" t="s">
        <v>557</v>
      </c>
      <c r="C181" s="289" t="s">
        <v>558</v>
      </c>
      <c r="D181" s="499"/>
      <c r="E181" s="95"/>
      <c r="G181" s="500"/>
      <c r="H181" s="499"/>
    </row>
    <row r="182" spans="1:8" ht="42" customHeight="1">
      <c r="A182" s="289" t="s">
        <v>559</v>
      </c>
      <c r="B182" s="289" t="s">
        <v>560</v>
      </c>
      <c r="C182" s="289" t="s">
        <v>561</v>
      </c>
      <c r="D182" s="499"/>
      <c r="E182" s="504"/>
      <c r="G182" s="500"/>
      <c r="H182" s="499"/>
    </row>
    <row r="183" spans="1:8" ht="38.25">
      <c r="A183" s="289" t="s">
        <v>562</v>
      </c>
      <c r="B183" s="289" t="s">
        <v>563</v>
      </c>
      <c r="C183" s="289" t="s">
        <v>564</v>
      </c>
      <c r="D183" s="499"/>
      <c r="E183" s="504"/>
      <c r="G183" s="500"/>
      <c r="H183" s="499"/>
    </row>
    <row r="184" spans="1:8" ht="38.25">
      <c r="A184" s="289" t="s">
        <v>565</v>
      </c>
      <c r="B184" s="289" t="s">
        <v>566</v>
      </c>
      <c r="C184" s="289" t="s">
        <v>567</v>
      </c>
      <c r="D184" s="499"/>
      <c r="E184" s="504"/>
      <c r="G184" s="500"/>
      <c r="H184" s="499"/>
    </row>
    <row r="185" spans="1:8" ht="38.25">
      <c r="A185" s="289" t="s">
        <v>568</v>
      </c>
      <c r="B185" s="289" t="s">
        <v>569</v>
      </c>
      <c r="C185" s="289" t="s">
        <v>570</v>
      </c>
      <c r="D185" s="499"/>
      <c r="E185" s="504"/>
      <c r="G185" s="500"/>
      <c r="H185" s="499"/>
    </row>
    <row r="186" spans="1:8" ht="51">
      <c r="A186" s="289" t="s">
        <v>571</v>
      </c>
      <c r="B186" s="289" t="s">
        <v>572</v>
      </c>
      <c r="C186" s="289" t="s">
        <v>573</v>
      </c>
      <c r="D186" s="499"/>
      <c r="E186" s="95"/>
      <c r="G186" s="500"/>
      <c r="H186" s="499"/>
    </row>
    <row r="187" spans="1:8" ht="63.75">
      <c r="A187" s="289" t="s">
        <v>574</v>
      </c>
      <c r="B187" s="289" t="s">
        <v>575</v>
      </c>
      <c r="C187" s="291" t="s">
        <v>576</v>
      </c>
      <c r="D187" s="499"/>
      <c r="E187" s="95"/>
      <c r="G187" s="500"/>
      <c r="H187" s="499"/>
    </row>
    <row r="188" spans="1:8" ht="89.25">
      <c r="A188" s="289" t="s">
        <v>577</v>
      </c>
      <c r="B188" s="289" t="s">
        <v>578</v>
      </c>
      <c r="C188" s="289" t="s">
        <v>579</v>
      </c>
      <c r="D188" s="499"/>
      <c r="E188" s="504"/>
      <c r="G188" s="500"/>
      <c r="H188" s="499"/>
    </row>
    <row r="189" spans="1:8" ht="89.25">
      <c r="A189" s="291" t="s">
        <v>580</v>
      </c>
      <c r="B189" s="658" t="s">
        <v>578</v>
      </c>
      <c r="C189" s="658" t="s">
        <v>579</v>
      </c>
      <c r="D189" s="499"/>
      <c r="E189" s="504"/>
      <c r="G189" s="500"/>
      <c r="H189" s="499"/>
    </row>
    <row r="190" spans="1:8" ht="76.5">
      <c r="A190" s="289" t="s">
        <v>581</v>
      </c>
      <c r="B190" s="289" t="s">
        <v>582</v>
      </c>
      <c r="C190" s="289" t="s">
        <v>583</v>
      </c>
      <c r="D190" s="499"/>
      <c r="E190" s="95"/>
      <c r="G190" s="500"/>
      <c r="H190" s="499"/>
    </row>
    <row r="191" spans="1:8" ht="76.5">
      <c r="A191" s="289" t="s">
        <v>584</v>
      </c>
      <c r="B191" s="289" t="s">
        <v>585</v>
      </c>
      <c r="C191" s="291" t="s">
        <v>586</v>
      </c>
      <c r="D191" s="499"/>
      <c r="E191" s="95"/>
      <c r="G191" s="500"/>
      <c r="H191" s="499"/>
    </row>
    <row r="192" spans="1:8">
      <c r="A192" s="289" t="s">
        <v>587</v>
      </c>
      <c r="B192" s="289" t="s">
        <v>588</v>
      </c>
      <c r="C192" s="289" t="s">
        <v>589</v>
      </c>
      <c r="D192" s="499"/>
      <c r="E192" s="95"/>
      <c r="G192" s="111"/>
      <c r="H192" s="499"/>
    </row>
    <row r="193" spans="1:8" ht="63.75">
      <c r="A193" s="289" t="s">
        <v>590</v>
      </c>
      <c r="B193" s="289" t="s">
        <v>591</v>
      </c>
      <c r="C193" s="289" t="s">
        <v>592</v>
      </c>
      <c r="D193" s="499"/>
      <c r="E193" s="505"/>
      <c r="G193" s="111"/>
      <c r="H193" s="499"/>
    </row>
    <row r="194" spans="1:8" ht="25.5">
      <c r="A194" s="289" t="s">
        <v>593</v>
      </c>
      <c r="B194" s="289" t="s">
        <v>594</v>
      </c>
      <c r="C194" s="289" t="s">
        <v>595</v>
      </c>
      <c r="D194" s="499"/>
      <c r="E194" s="505"/>
      <c r="G194" s="500"/>
      <c r="H194" s="499"/>
    </row>
    <row r="195" spans="1:8" ht="63.75">
      <c r="A195" s="496" t="s">
        <v>596</v>
      </c>
      <c r="B195" s="496" t="s">
        <v>597</v>
      </c>
      <c r="C195" s="496" t="s">
        <v>598</v>
      </c>
      <c r="E195" s="505"/>
      <c r="G195" s="500"/>
      <c r="H195" s="499"/>
    </row>
    <row r="196" spans="1:8" ht="25.5">
      <c r="A196" s="496" t="s">
        <v>599</v>
      </c>
      <c r="B196" s="496" t="s">
        <v>600</v>
      </c>
      <c r="C196" s="496" t="s">
        <v>601</v>
      </c>
      <c r="E196" s="95"/>
      <c r="G196" s="499"/>
      <c r="H196" s="499"/>
    </row>
    <row r="197" spans="1:8" ht="63.75">
      <c r="A197" s="496" t="s">
        <v>602</v>
      </c>
      <c r="B197" s="496" t="s">
        <v>603</v>
      </c>
      <c r="C197" s="496" t="s">
        <v>604</v>
      </c>
      <c r="E197" s="95"/>
      <c r="G197" s="500"/>
      <c r="H197" s="499"/>
    </row>
    <row r="198" spans="1:8" ht="25.5">
      <c r="A198" s="289" t="s">
        <v>605</v>
      </c>
      <c r="B198" s="289" t="s">
        <v>606</v>
      </c>
      <c r="C198" s="289" t="s">
        <v>607</v>
      </c>
      <c r="D198" s="499"/>
      <c r="E198" s="95"/>
      <c r="G198" s="500"/>
      <c r="H198" s="499"/>
    </row>
    <row r="199" spans="1:8" ht="63.75">
      <c r="A199" s="289" t="s">
        <v>608</v>
      </c>
      <c r="B199" s="289" t="s">
        <v>609</v>
      </c>
      <c r="C199" s="289" t="s">
        <v>610</v>
      </c>
      <c r="D199" s="499"/>
      <c r="E199" s="95"/>
      <c r="G199" s="500"/>
      <c r="H199" s="499"/>
    </row>
    <row r="200" spans="1:8">
      <c r="A200" s="289" t="s">
        <v>611</v>
      </c>
      <c r="B200" s="289" t="s">
        <v>612</v>
      </c>
      <c r="C200" s="289" t="s">
        <v>613</v>
      </c>
      <c r="D200" s="499"/>
      <c r="E200" s="95"/>
      <c r="G200" s="500"/>
      <c r="H200" s="499"/>
    </row>
    <row r="201" spans="1:8" ht="25.5">
      <c r="A201" s="289" t="s">
        <v>614</v>
      </c>
      <c r="B201" s="289" t="s">
        <v>615</v>
      </c>
      <c r="C201" s="289" t="s">
        <v>616</v>
      </c>
      <c r="D201" s="499"/>
      <c r="E201" s="95"/>
      <c r="G201" s="500"/>
      <c r="H201" s="499"/>
    </row>
    <row r="202" spans="1:8" ht="25.5">
      <c r="A202" s="289" t="s">
        <v>617</v>
      </c>
      <c r="B202" s="289" t="s">
        <v>618</v>
      </c>
      <c r="C202" s="289" t="s">
        <v>619</v>
      </c>
      <c r="D202" s="499"/>
      <c r="E202" s="95"/>
      <c r="G202" s="500"/>
      <c r="H202" s="499"/>
    </row>
    <row r="203" spans="1:8">
      <c r="A203" s="289" t="s">
        <v>620</v>
      </c>
      <c r="B203" s="289" t="s">
        <v>621</v>
      </c>
      <c r="C203" s="289" t="s">
        <v>622</v>
      </c>
      <c r="D203" s="499"/>
      <c r="E203" s="95"/>
      <c r="G203" s="500"/>
      <c r="H203" s="499"/>
    </row>
    <row r="204" spans="1:8" ht="38.25">
      <c r="A204" s="289" t="s">
        <v>623</v>
      </c>
      <c r="B204" s="289" t="s">
        <v>624</v>
      </c>
      <c r="C204" s="289" t="s">
        <v>625</v>
      </c>
      <c r="D204" s="499"/>
      <c r="E204" s="95"/>
      <c r="G204" s="500"/>
      <c r="H204" s="499"/>
    </row>
    <row r="205" spans="1:8" ht="102">
      <c r="A205" s="289" t="s">
        <v>626</v>
      </c>
      <c r="B205" s="289" t="s">
        <v>627</v>
      </c>
      <c r="C205" s="289" t="s">
        <v>628</v>
      </c>
      <c r="D205" s="499"/>
      <c r="E205" s="95"/>
      <c r="G205" s="500"/>
      <c r="H205" s="499"/>
    </row>
    <row r="206" spans="1:8" ht="51">
      <c r="A206" s="289" t="s">
        <v>629</v>
      </c>
      <c r="B206" s="289" t="s">
        <v>630</v>
      </c>
      <c r="C206" s="289" t="s">
        <v>631</v>
      </c>
      <c r="D206" s="499"/>
      <c r="E206" s="95"/>
      <c r="G206" s="506"/>
      <c r="H206" s="499"/>
    </row>
    <row r="207" spans="1:8" ht="23.25" customHeight="1">
      <c r="A207" s="289" t="s">
        <v>632</v>
      </c>
      <c r="B207" s="289" t="s">
        <v>633</v>
      </c>
      <c r="C207" s="289" t="s">
        <v>634</v>
      </c>
      <c r="D207" s="499"/>
      <c r="E207" s="95"/>
      <c r="G207" s="500"/>
      <c r="H207" s="499"/>
    </row>
    <row r="208" spans="1:8" ht="170.25" customHeight="1">
      <c r="A208" s="289" t="s">
        <v>635</v>
      </c>
      <c r="B208" s="289" t="s">
        <v>636</v>
      </c>
      <c r="C208" s="289" t="s">
        <v>637</v>
      </c>
      <c r="E208" s="95"/>
      <c r="G208" s="500"/>
      <c r="H208" s="499"/>
    </row>
    <row r="209" spans="1:8">
      <c r="A209" s="289" t="s">
        <v>638</v>
      </c>
      <c r="B209" s="289" t="s">
        <v>639</v>
      </c>
      <c r="C209" s="289" t="s">
        <v>640</v>
      </c>
      <c r="E209" s="95"/>
      <c r="G209" s="500"/>
      <c r="H209" s="500"/>
    </row>
    <row r="210" spans="1:8" ht="51">
      <c r="A210" s="289" t="s">
        <v>641</v>
      </c>
      <c r="B210" s="289" t="s">
        <v>642</v>
      </c>
      <c r="C210" s="289" t="s">
        <v>643</v>
      </c>
      <c r="D210" s="499"/>
      <c r="E210" s="95"/>
      <c r="G210" s="500"/>
      <c r="H210" s="500"/>
    </row>
    <row r="211" spans="1:8" ht="76.5">
      <c r="A211" s="289" t="s">
        <v>644</v>
      </c>
      <c r="B211" s="289" t="s">
        <v>645</v>
      </c>
      <c r="C211" s="289" t="s">
        <v>646</v>
      </c>
      <c r="D211" s="499"/>
      <c r="E211" s="95"/>
      <c r="G211" s="500"/>
      <c r="H211" s="499"/>
    </row>
    <row r="212" spans="1:8" ht="51">
      <c r="A212" s="289" t="s">
        <v>647</v>
      </c>
      <c r="B212" s="289" t="s">
        <v>648</v>
      </c>
      <c r="C212" s="289" t="s">
        <v>649</v>
      </c>
      <c r="D212" s="499"/>
      <c r="E212" s="95"/>
      <c r="G212" s="111"/>
      <c r="H212" s="499"/>
    </row>
    <row r="213" spans="1:8" ht="102">
      <c r="A213" s="289" t="s">
        <v>650</v>
      </c>
      <c r="B213" s="289" t="s">
        <v>651</v>
      </c>
      <c r="C213" s="289" t="s">
        <v>652</v>
      </c>
      <c r="D213" s="499"/>
      <c r="E213" s="95"/>
      <c r="G213" s="500"/>
      <c r="H213" s="499"/>
    </row>
    <row r="214" spans="1:8">
      <c r="A214" s="289" t="s">
        <v>653</v>
      </c>
      <c r="B214" s="289" t="s">
        <v>654</v>
      </c>
      <c r="C214" s="289" t="s">
        <v>655</v>
      </c>
      <c r="D214" s="499"/>
      <c r="E214" s="95"/>
      <c r="G214" s="500"/>
      <c r="H214" s="499"/>
    </row>
    <row r="215" spans="1:8" ht="38.25">
      <c r="A215" s="289" t="s">
        <v>656</v>
      </c>
      <c r="B215" s="289" t="s">
        <v>657</v>
      </c>
      <c r="C215" s="289" t="s">
        <v>658</v>
      </c>
      <c r="D215" s="499"/>
      <c r="E215" s="95"/>
      <c r="G215" s="500"/>
      <c r="H215" s="499"/>
    </row>
    <row r="216" spans="1:8" ht="89.25">
      <c r="A216" s="289" t="s">
        <v>659</v>
      </c>
      <c r="B216" s="289" t="s">
        <v>660</v>
      </c>
      <c r="C216" s="289" t="s">
        <v>661</v>
      </c>
      <c r="D216" s="499"/>
      <c r="E216" s="95"/>
      <c r="G216" s="500"/>
      <c r="H216" s="499"/>
    </row>
    <row r="217" spans="1:8" ht="51">
      <c r="A217" s="289" t="s">
        <v>662</v>
      </c>
      <c r="B217" s="289" t="s">
        <v>663</v>
      </c>
      <c r="C217" s="289" t="s">
        <v>664</v>
      </c>
      <c r="D217" s="499"/>
      <c r="E217" s="95"/>
      <c r="G217" s="500"/>
      <c r="H217" s="499"/>
    </row>
    <row r="218" spans="1:8" ht="38.25">
      <c r="A218" s="289" t="s">
        <v>665</v>
      </c>
      <c r="B218" s="289" t="s">
        <v>666</v>
      </c>
      <c r="C218" s="289" t="s">
        <v>667</v>
      </c>
      <c r="D218" s="499"/>
      <c r="E218" s="95"/>
      <c r="G218" s="500"/>
      <c r="H218" s="499"/>
    </row>
    <row r="219" spans="1:8" ht="38.25">
      <c r="A219" s="289" t="s">
        <v>668</v>
      </c>
      <c r="B219" s="289" t="s">
        <v>669</v>
      </c>
      <c r="C219" s="289" t="s">
        <v>670</v>
      </c>
      <c r="D219" s="499"/>
      <c r="E219" s="95"/>
      <c r="G219" s="500"/>
      <c r="H219" s="499"/>
    </row>
    <row r="220" spans="1:8" ht="89.25">
      <c r="A220" s="289" t="s">
        <v>671</v>
      </c>
      <c r="B220" s="289" t="s">
        <v>672</v>
      </c>
      <c r="C220" s="289" t="s">
        <v>673</v>
      </c>
      <c r="D220" s="499"/>
      <c r="E220" s="95"/>
      <c r="G220" s="500"/>
      <c r="H220" s="499"/>
    </row>
    <row r="221" spans="1:8" ht="114.75">
      <c r="A221" s="289" t="s">
        <v>674</v>
      </c>
      <c r="B221" s="289" t="s">
        <v>675</v>
      </c>
      <c r="C221" s="289" t="s">
        <v>676</v>
      </c>
      <c r="D221" s="499"/>
      <c r="E221" s="95"/>
      <c r="G221" s="500"/>
      <c r="H221" s="499"/>
    </row>
    <row r="222" spans="1:8" ht="38.25">
      <c r="A222" s="289" t="s">
        <v>677</v>
      </c>
      <c r="B222" s="289" t="s">
        <v>678</v>
      </c>
      <c r="C222" s="289" t="s">
        <v>679</v>
      </c>
      <c r="D222" s="499"/>
      <c r="E222" s="95"/>
      <c r="G222" s="111"/>
      <c r="H222" s="499"/>
    </row>
    <row r="223" spans="1:8" ht="63.75">
      <c r="A223" s="289" t="s">
        <v>680</v>
      </c>
      <c r="B223" s="289" t="s">
        <v>681</v>
      </c>
      <c r="C223" s="289" t="s">
        <v>682</v>
      </c>
      <c r="D223" s="499"/>
      <c r="E223" s="95"/>
      <c r="G223" s="500"/>
      <c r="H223" s="499"/>
    </row>
    <row r="224" spans="1:8" ht="76.5">
      <c r="A224" s="289" t="s">
        <v>683</v>
      </c>
      <c r="B224" s="289" t="s">
        <v>684</v>
      </c>
      <c r="C224" s="289" t="s">
        <v>685</v>
      </c>
      <c r="D224" s="499"/>
      <c r="E224" s="95"/>
      <c r="G224" s="500"/>
      <c r="H224" s="499"/>
    </row>
    <row r="225" spans="1:8" ht="102">
      <c r="A225" s="289" t="s">
        <v>686</v>
      </c>
      <c r="B225" s="289" t="s">
        <v>687</v>
      </c>
      <c r="C225" s="289" t="s">
        <v>688</v>
      </c>
      <c r="D225" s="499"/>
      <c r="E225" s="95"/>
      <c r="G225" s="500"/>
      <c r="H225" s="499"/>
    </row>
    <row r="226" spans="1:8" ht="89.25">
      <c r="A226" s="289" t="s">
        <v>689</v>
      </c>
      <c r="B226" s="289" t="s">
        <v>690</v>
      </c>
      <c r="C226" s="289" t="s">
        <v>691</v>
      </c>
      <c r="D226" s="499"/>
      <c r="E226" s="95"/>
      <c r="G226" s="500"/>
      <c r="H226" s="499"/>
    </row>
    <row r="227" spans="1:8" ht="51">
      <c r="A227" s="289" t="s">
        <v>692</v>
      </c>
      <c r="B227" s="289" t="s">
        <v>693</v>
      </c>
      <c r="C227" s="289" t="s">
        <v>694</v>
      </c>
      <c r="D227" s="499"/>
      <c r="E227" s="95"/>
      <c r="G227" s="500"/>
      <c r="H227" s="499"/>
    </row>
    <row r="228" spans="1:8">
      <c r="A228" s="289" t="s">
        <v>695</v>
      </c>
      <c r="B228" s="289" t="s">
        <v>696</v>
      </c>
      <c r="C228" s="289" t="s">
        <v>697</v>
      </c>
      <c r="D228" s="499"/>
      <c r="E228" s="95"/>
      <c r="G228" s="500"/>
      <c r="H228" s="499"/>
    </row>
    <row r="229" spans="1:8" ht="38.25">
      <c r="A229" s="289" t="s">
        <v>698</v>
      </c>
      <c r="B229" s="289" t="s">
        <v>699</v>
      </c>
      <c r="C229" s="289" t="s">
        <v>700</v>
      </c>
      <c r="D229" s="499"/>
      <c r="E229" s="95"/>
      <c r="G229" s="506"/>
      <c r="H229" s="499"/>
    </row>
    <row r="230" spans="1:8" ht="38.25">
      <c r="A230" s="291" t="s">
        <v>701</v>
      </c>
      <c r="B230" s="658" t="s">
        <v>699</v>
      </c>
      <c r="C230" s="658" t="s">
        <v>700</v>
      </c>
      <c r="D230" s="499"/>
      <c r="E230" s="95"/>
      <c r="G230" s="506"/>
      <c r="H230" s="499"/>
    </row>
    <row r="231" spans="1:8" ht="51">
      <c r="A231" s="289" t="s">
        <v>702</v>
      </c>
      <c r="B231" s="289" t="s">
        <v>703</v>
      </c>
      <c r="C231" s="289" t="s">
        <v>704</v>
      </c>
      <c r="D231" s="499"/>
      <c r="E231" s="95"/>
      <c r="G231" s="500"/>
      <c r="H231" s="499"/>
    </row>
    <row r="232" spans="1:8">
      <c r="A232" s="289" t="s">
        <v>705</v>
      </c>
      <c r="B232" s="289" t="s">
        <v>706</v>
      </c>
      <c r="C232" s="289" t="s">
        <v>707</v>
      </c>
      <c r="D232" s="499"/>
      <c r="E232" s="505"/>
      <c r="G232" s="500"/>
      <c r="H232" s="499"/>
    </row>
    <row r="233" spans="1:8" ht="38.25">
      <c r="A233" s="289" t="s">
        <v>708</v>
      </c>
      <c r="B233" s="289" t="s">
        <v>709</v>
      </c>
      <c r="C233" s="289" t="s">
        <v>710</v>
      </c>
      <c r="D233" s="499"/>
      <c r="E233" s="95"/>
      <c r="G233" s="500"/>
      <c r="H233" s="499"/>
    </row>
    <row r="234" spans="1:8" ht="51">
      <c r="A234" s="289" t="s">
        <v>711</v>
      </c>
      <c r="B234" s="496" t="s">
        <v>712</v>
      </c>
      <c r="C234" s="289" t="s">
        <v>713</v>
      </c>
      <c r="D234" s="499"/>
      <c r="E234" s="95"/>
      <c r="G234" s="500"/>
      <c r="H234" s="499"/>
    </row>
    <row r="235" spans="1:8" ht="76.5">
      <c r="A235" s="289" t="s">
        <v>714</v>
      </c>
      <c r="B235" s="496" t="s">
        <v>715</v>
      </c>
      <c r="C235" s="289" t="s">
        <v>716</v>
      </c>
      <c r="D235" s="499"/>
      <c r="E235" s="95"/>
      <c r="G235" s="500"/>
      <c r="H235" s="499"/>
    </row>
    <row r="236" spans="1:8" ht="76.5">
      <c r="A236" s="289" t="s">
        <v>717</v>
      </c>
      <c r="B236" s="289" t="s">
        <v>718</v>
      </c>
      <c r="C236" s="289" t="s">
        <v>719</v>
      </c>
      <c r="D236" s="499"/>
      <c r="E236" s="95"/>
      <c r="G236" s="500"/>
      <c r="H236" s="499"/>
    </row>
    <row r="237" spans="1:8" ht="25.5">
      <c r="A237" s="289" t="s">
        <v>720</v>
      </c>
      <c r="B237" s="289" t="s">
        <v>721</v>
      </c>
      <c r="C237" s="289" t="s">
        <v>722</v>
      </c>
      <c r="D237" s="499"/>
      <c r="E237" s="95"/>
      <c r="G237" s="500"/>
      <c r="H237" s="499"/>
    </row>
    <row r="238" spans="1:8" ht="127.5">
      <c r="A238" s="289" t="s">
        <v>723</v>
      </c>
      <c r="B238" s="289" t="s">
        <v>724</v>
      </c>
      <c r="C238" s="289" t="s">
        <v>725</v>
      </c>
      <c r="D238" s="499"/>
      <c r="E238" s="95"/>
      <c r="G238" s="500"/>
      <c r="H238" s="499"/>
    </row>
    <row r="239" spans="1:8" ht="25.5">
      <c r="A239" s="289" t="s">
        <v>726</v>
      </c>
      <c r="B239" s="289" t="s">
        <v>727</v>
      </c>
      <c r="C239" s="507" t="s">
        <v>728</v>
      </c>
      <c r="D239" s="499"/>
      <c r="E239" s="95"/>
      <c r="G239" s="500"/>
      <c r="H239" s="499"/>
    </row>
    <row r="240" spans="1:8" ht="63.75">
      <c r="A240" s="289" t="s">
        <v>729</v>
      </c>
      <c r="B240" s="289" t="s">
        <v>730</v>
      </c>
      <c r="C240" s="507" t="s">
        <v>731</v>
      </c>
      <c r="D240" s="499"/>
      <c r="E240" s="95"/>
      <c r="G240" s="500"/>
      <c r="H240" s="499"/>
    </row>
    <row r="241" spans="1:8" ht="63.75">
      <c r="A241" s="289" t="s">
        <v>732</v>
      </c>
      <c r="B241" s="658" t="s">
        <v>730</v>
      </c>
      <c r="C241" s="658" t="s">
        <v>731</v>
      </c>
      <c r="D241" s="499"/>
      <c r="E241" s="95"/>
      <c r="G241" s="500"/>
      <c r="H241" s="499"/>
    </row>
    <row r="242" spans="1:8" ht="102">
      <c r="A242" s="289" t="s">
        <v>733</v>
      </c>
      <c r="B242" s="289" t="s">
        <v>734</v>
      </c>
      <c r="C242" s="507" t="s">
        <v>735</v>
      </c>
      <c r="D242" s="499"/>
      <c r="E242" s="95"/>
      <c r="G242" s="500"/>
      <c r="H242" s="499"/>
    </row>
    <row r="243" spans="1:8" ht="127.5">
      <c r="A243" s="289" t="s">
        <v>736</v>
      </c>
      <c r="B243" s="289" t="s">
        <v>737</v>
      </c>
      <c r="C243" s="289" t="s">
        <v>738</v>
      </c>
      <c r="D243" s="499"/>
      <c r="E243" s="95"/>
      <c r="G243" s="500"/>
      <c r="H243" s="499"/>
    </row>
    <row r="244" spans="1:8" ht="114.75">
      <c r="A244" s="289" t="s">
        <v>739</v>
      </c>
      <c r="B244" s="289" t="s">
        <v>740</v>
      </c>
      <c r="C244" s="507" t="s">
        <v>741</v>
      </c>
      <c r="D244" s="499"/>
      <c r="G244" s="500"/>
      <c r="H244" s="499"/>
    </row>
    <row r="245" spans="1:8" ht="76.5">
      <c r="A245" s="289" t="s">
        <v>742</v>
      </c>
      <c r="B245" s="289" t="s">
        <v>743</v>
      </c>
      <c r="C245" s="507" t="s">
        <v>744</v>
      </c>
      <c r="D245" s="499"/>
      <c r="G245" s="499"/>
      <c r="H245" s="499"/>
    </row>
    <row r="246" spans="1:8" ht="25.5">
      <c r="A246" s="289" t="s">
        <v>745</v>
      </c>
      <c r="B246" s="289" t="s">
        <v>746</v>
      </c>
      <c r="C246" s="289" t="s">
        <v>747</v>
      </c>
      <c r="D246" s="499"/>
      <c r="G246" s="499"/>
      <c r="H246" s="499"/>
    </row>
    <row r="247" spans="1:8" ht="114.75">
      <c r="A247" s="289" t="s">
        <v>748</v>
      </c>
      <c r="B247" s="289" t="s">
        <v>749</v>
      </c>
      <c r="C247" s="501" t="s">
        <v>750</v>
      </c>
      <c r="D247" s="499"/>
      <c r="G247" s="499"/>
      <c r="H247" s="499"/>
    </row>
    <row r="248" spans="1:8" ht="114.75">
      <c r="A248" s="291" t="s">
        <v>751</v>
      </c>
      <c r="B248" s="658" t="s">
        <v>749</v>
      </c>
      <c r="C248" s="661" t="s">
        <v>750</v>
      </c>
      <c r="D248" s="499"/>
      <c r="G248" s="499"/>
      <c r="H248" s="499"/>
    </row>
    <row r="249" spans="1:8" ht="89.25">
      <c r="A249" s="289" t="s">
        <v>752</v>
      </c>
      <c r="B249" s="289" t="s">
        <v>753</v>
      </c>
      <c r="C249" s="501" t="s">
        <v>754</v>
      </c>
      <c r="D249" s="499"/>
      <c r="G249" s="499"/>
      <c r="H249" s="499"/>
    </row>
    <row r="250" spans="1:8" ht="89.25">
      <c r="A250" s="291" t="s">
        <v>755</v>
      </c>
      <c r="B250" s="658" t="s">
        <v>753</v>
      </c>
      <c r="C250" s="661" t="s">
        <v>754</v>
      </c>
      <c r="D250" s="499"/>
      <c r="G250" s="499"/>
      <c r="H250" s="499"/>
    </row>
    <row r="251" spans="1:8">
      <c r="A251" s="289" t="s">
        <v>756</v>
      </c>
      <c r="B251" s="289" t="s">
        <v>757</v>
      </c>
      <c r="C251" s="289" t="s">
        <v>758</v>
      </c>
      <c r="D251" s="499"/>
      <c r="G251" s="111"/>
      <c r="H251" s="499"/>
    </row>
    <row r="252" spans="1:8" ht="51">
      <c r="A252" s="289" t="s">
        <v>759</v>
      </c>
      <c r="B252" s="289" t="s">
        <v>760</v>
      </c>
      <c r="C252" s="289" t="s">
        <v>761</v>
      </c>
      <c r="D252" s="500"/>
      <c r="G252" s="500"/>
      <c r="H252" s="499"/>
    </row>
    <row r="253" spans="1:8" ht="25.5">
      <c r="A253" s="289" t="s">
        <v>762</v>
      </c>
      <c r="B253" s="289" t="s">
        <v>763</v>
      </c>
      <c r="C253" s="289" t="s">
        <v>764</v>
      </c>
      <c r="D253" s="500"/>
      <c r="G253" s="500"/>
      <c r="H253" s="499"/>
    </row>
    <row r="254" spans="1:8" ht="38.25">
      <c r="A254" s="289" t="s">
        <v>765</v>
      </c>
      <c r="B254" s="289" t="s">
        <v>766</v>
      </c>
      <c r="C254" s="289" t="s">
        <v>767</v>
      </c>
      <c r="D254" s="500"/>
      <c r="G254" s="500"/>
      <c r="H254" s="499"/>
    </row>
    <row r="255" spans="1:8" ht="38.25">
      <c r="A255" s="289" t="s">
        <v>768</v>
      </c>
      <c r="B255" s="289" t="s">
        <v>766</v>
      </c>
      <c r="C255" s="289" t="s">
        <v>767</v>
      </c>
      <c r="D255" s="499"/>
      <c r="E255" s="72"/>
      <c r="F255" s="72"/>
      <c r="G255" s="500"/>
      <c r="H255" s="500"/>
    </row>
    <row r="256" spans="1:8">
      <c r="A256" s="289" t="s">
        <v>769</v>
      </c>
      <c r="B256" s="289" t="s">
        <v>770</v>
      </c>
      <c r="C256" s="289" t="s">
        <v>771</v>
      </c>
      <c r="D256" s="499"/>
      <c r="E256" s="72"/>
      <c r="F256" s="72"/>
      <c r="G256" s="500"/>
      <c r="H256" s="499"/>
    </row>
    <row r="257" spans="1:8">
      <c r="A257" s="289" t="e">
        <f>IF(GA!#REF!="tak","Obsługę ksiąg rachunkowych za rok "&amp;rok&amp;" prowadziła spółka Roedl Outsourcing sp. z o. o. z siedzibą w Warszawie, Oddział "&amp;gdzie&amp;" "&amp;gdzie2&amp;".","Obsługę ksiąg rachunkowych za rok "&amp;rok&amp;" spółka prowadziła we własnym zakresie.")</f>
        <v>#REF!</v>
      </c>
      <c r="B257" s="289" t="e">
        <f>IF(GA!#REF!="tak","Die Handelsbücher für das Jahr "&amp;rok&amp;" wurden von der Roedl Outsourcing sp. z o. o. mit Sitz in Warschau, Niederlassung "&amp;GA!#REF!&amp;", geführt.","Die Handelsbücher für das Jahr "&amp;rok&amp;" hat die Gesellschafft selbst geführt.")</f>
        <v>#REF!</v>
      </c>
      <c r="C257" s="289" t="e">
        <f>IF(GA!#REF!="tak","The Company's books of account for "&amp;rok&amp;" were kept by Roedl Outsourcing sp. z o.o. with its registered office in Warsaw, branch office in "&amp;oddzial_eng&amp;".","The Company kept its books of account for "&amp;rok&amp;" by itself.")</f>
        <v>#REF!</v>
      </c>
      <c r="D257" s="499"/>
      <c r="E257" s="99"/>
      <c r="F257" s="99"/>
      <c r="G257" s="506"/>
      <c r="H257" s="499"/>
    </row>
    <row r="258" spans="1:8" ht="51">
      <c r="A258" s="289" t="s">
        <v>772</v>
      </c>
      <c r="B258" s="289" t="s">
        <v>773</v>
      </c>
      <c r="C258" s="289" t="s">
        <v>774</v>
      </c>
      <c r="D258" s="499"/>
      <c r="E258" s="99"/>
      <c r="F258" s="99"/>
      <c r="G258" s="506"/>
      <c r="H258" s="499"/>
    </row>
    <row r="259" spans="1:8" ht="25.5">
      <c r="A259" s="621" t="s">
        <v>775</v>
      </c>
      <c r="B259" s="621" t="s">
        <v>776</v>
      </c>
      <c r="C259" s="622" t="s">
        <v>777</v>
      </c>
      <c r="D259" s="499"/>
      <c r="E259" s="99"/>
      <c r="F259" s="99"/>
      <c r="G259" s="506"/>
      <c r="H259" s="499"/>
    </row>
    <row r="260" spans="1:8" ht="178.5">
      <c r="A260" s="621" t="s">
        <v>778</v>
      </c>
      <c r="B260" s="621" t="s">
        <v>779</v>
      </c>
      <c r="C260" s="621" t="s">
        <v>780</v>
      </c>
      <c r="D260" s="499"/>
      <c r="E260" s="99"/>
      <c r="F260" s="99"/>
      <c r="G260" s="506"/>
      <c r="H260" s="499"/>
    </row>
    <row r="261" spans="1:8" ht="178.5">
      <c r="A261" s="621" t="s">
        <v>778</v>
      </c>
      <c r="B261" s="621" t="s">
        <v>781</v>
      </c>
      <c r="C261" s="621" t="s">
        <v>780</v>
      </c>
      <c r="D261" s="499"/>
      <c r="E261" s="99"/>
      <c r="F261" s="99"/>
      <c r="G261" s="506"/>
      <c r="H261" s="499"/>
    </row>
    <row r="262" spans="1:8" ht="165.75">
      <c r="A262" s="621" t="s">
        <v>782</v>
      </c>
      <c r="B262" s="621" t="s">
        <v>783</v>
      </c>
      <c r="C262" s="621" t="s">
        <v>784</v>
      </c>
      <c r="D262" s="499"/>
      <c r="E262" s="99"/>
      <c r="F262" s="99"/>
      <c r="G262" s="506"/>
      <c r="H262" s="499"/>
    </row>
    <row r="263" spans="1:8" ht="165.75">
      <c r="A263" s="621" t="s">
        <v>782</v>
      </c>
      <c r="B263" s="621" t="s">
        <v>785</v>
      </c>
      <c r="C263" s="621" t="s">
        <v>784</v>
      </c>
      <c r="D263" s="499"/>
      <c r="E263" s="99"/>
      <c r="F263" s="99"/>
      <c r="G263" s="506"/>
      <c r="H263" s="499"/>
    </row>
    <row r="264" spans="1:8" ht="25.5">
      <c r="A264" s="623" t="s">
        <v>786</v>
      </c>
      <c r="B264" s="635" t="s">
        <v>787</v>
      </c>
      <c r="C264" s="626" t="s">
        <v>777</v>
      </c>
      <c r="D264" s="616"/>
      <c r="E264" s="99"/>
      <c r="F264" s="99"/>
      <c r="G264" s="506"/>
      <c r="H264" s="499"/>
    </row>
    <row r="265" spans="1:8" ht="178.5">
      <c r="A265" s="619" t="s">
        <v>788</v>
      </c>
      <c r="B265" s="637" t="s">
        <v>789</v>
      </c>
      <c r="C265" s="619" t="s">
        <v>790</v>
      </c>
      <c r="E265" s="99"/>
      <c r="F265" s="99"/>
      <c r="G265" s="506"/>
      <c r="H265" s="499"/>
    </row>
    <row r="266" spans="1:8" ht="178.5">
      <c r="A266" s="619" t="s">
        <v>788</v>
      </c>
      <c r="B266" s="637" t="s">
        <v>791</v>
      </c>
      <c r="C266" s="619" t="s">
        <v>790</v>
      </c>
      <c r="E266" s="99"/>
      <c r="F266" s="99"/>
      <c r="G266" s="506"/>
      <c r="H266" s="499"/>
    </row>
    <row r="267" spans="1:8" ht="165.75">
      <c r="A267" s="619" t="s">
        <v>792</v>
      </c>
      <c r="B267" s="637" t="s">
        <v>793</v>
      </c>
      <c r="C267" s="619" t="s">
        <v>794</v>
      </c>
      <c r="E267" s="99"/>
      <c r="F267" s="99"/>
      <c r="G267" s="506"/>
      <c r="H267" s="499"/>
    </row>
    <row r="268" spans="1:8" ht="165.75">
      <c r="A268" s="619" t="s">
        <v>792</v>
      </c>
      <c r="B268" s="637" t="s">
        <v>795</v>
      </c>
      <c r="C268" s="619" t="s">
        <v>794</v>
      </c>
      <c r="E268" s="99"/>
      <c r="F268" s="99"/>
      <c r="G268" s="506"/>
      <c r="H268" s="499"/>
    </row>
    <row r="269" spans="1:8" ht="38.25">
      <c r="A269" s="289" t="s">
        <v>796</v>
      </c>
      <c r="B269" s="289" t="s">
        <v>797</v>
      </c>
      <c r="C269" s="289" t="s">
        <v>798</v>
      </c>
      <c r="D269" s="499"/>
      <c r="E269" s="99"/>
      <c r="F269" s="99"/>
      <c r="G269" s="506"/>
      <c r="H269" s="499"/>
    </row>
    <row r="270" spans="1:8" ht="38.25">
      <c r="A270" s="289" t="s">
        <v>796</v>
      </c>
      <c r="B270" s="289" t="s">
        <v>799</v>
      </c>
      <c r="C270" s="289" t="s">
        <v>798</v>
      </c>
      <c r="D270" s="499"/>
      <c r="E270" s="99"/>
      <c r="F270" s="99"/>
      <c r="G270" s="506"/>
      <c r="H270" s="499"/>
    </row>
    <row r="271" spans="1:8">
      <c r="A271" s="289" t="s">
        <v>800</v>
      </c>
      <c r="B271" s="289" t="s">
        <v>801</v>
      </c>
      <c r="C271" s="289" t="s">
        <v>802</v>
      </c>
      <c r="D271" s="499"/>
      <c r="E271" s="99"/>
      <c r="F271" s="99"/>
      <c r="G271" s="506"/>
      <c r="H271" s="499"/>
    </row>
    <row r="272" spans="1:8" ht="38.25">
      <c r="A272" s="289" t="s">
        <v>803</v>
      </c>
      <c r="B272" s="289" t="s">
        <v>804</v>
      </c>
      <c r="C272" s="289" t="s">
        <v>805</v>
      </c>
      <c r="D272" s="499"/>
      <c r="E272" s="99"/>
      <c r="F272" s="99"/>
      <c r="G272" s="506"/>
      <c r="H272" s="499"/>
    </row>
    <row r="273" spans="1:11">
      <c r="A273" s="289" t="s">
        <v>806</v>
      </c>
      <c r="B273" s="289" t="s">
        <v>807</v>
      </c>
      <c r="C273" s="289" t="s">
        <v>808</v>
      </c>
      <c r="D273" s="499"/>
      <c r="E273" s="99"/>
      <c r="F273" s="99"/>
      <c r="G273" s="506"/>
      <c r="H273" s="499"/>
    </row>
    <row r="274" spans="1:11" ht="150" customHeight="1">
      <c r="A274" s="289" t="s">
        <v>809</v>
      </c>
      <c r="B274" s="289" t="s">
        <v>810</v>
      </c>
      <c r="C274" s="289" t="s">
        <v>811</v>
      </c>
      <c r="D274" s="99"/>
      <c r="E274" s="72"/>
      <c r="F274" s="72"/>
      <c r="G274" s="72"/>
      <c r="H274" s="72"/>
      <c r="I274" s="72"/>
      <c r="J274" s="72"/>
      <c r="K274" s="72"/>
    </row>
    <row r="275" spans="1:11" ht="150" customHeight="1">
      <c r="A275" s="289" t="s">
        <v>809</v>
      </c>
      <c r="B275" s="289" t="s">
        <v>812</v>
      </c>
      <c r="C275" s="289" t="s">
        <v>811</v>
      </c>
      <c r="D275" s="99"/>
      <c r="E275" s="72"/>
      <c r="F275" s="72"/>
      <c r="G275" s="72"/>
      <c r="H275" s="72"/>
      <c r="I275" s="72"/>
      <c r="J275" s="72"/>
      <c r="K275" s="72"/>
    </row>
    <row r="276" spans="1:11" ht="43.5" customHeight="1">
      <c r="A276" s="289" t="e">
        <f>"Na "&amp;dzb&amp;" Spółka wykazuje narastającą stratę w wysokości PLN "&amp;strata1&amp;" oraz ujemne kapitały własne."</f>
        <v>#REF!</v>
      </c>
      <c r="B276" s="289" t="e">
        <f>"Zum "&amp;dzb&amp;" weist die Gesellschaft kumulativ einen Verlust von "&amp;strata1&amp;" PLN und ein negatives Eigenkapital aus."</f>
        <v>#REF!</v>
      </c>
      <c r="C276" s="289" t="e">
        <f>"As of "&amp;dzb&amp;" the Company shows growing losses of PLN "&amp;strata1&amp;" and negative owners' equity."</f>
        <v>#REF!</v>
      </c>
      <c r="D276" s="99"/>
      <c r="E276" s="72"/>
      <c r="F276" s="72"/>
      <c r="G276" s="72"/>
      <c r="H276" s="72"/>
      <c r="I276" s="72"/>
      <c r="J276" s="72"/>
      <c r="K276" s="72"/>
    </row>
    <row r="277" spans="1:11" ht="43.5" customHeight="1">
      <c r="A277" s="289" t="e">
        <f>"Na "&amp;dzb&amp;" Spółka wykazuje narastającą stratę w wysokości PLN "&amp;strata1&amp;"."</f>
        <v>#REF!</v>
      </c>
      <c r="B277" s="289" t="e">
        <f>"Zum "&amp;dzb&amp;" weist die Gesellschaft kumulativ einen Verlust von "&amp;strata1&amp;" PLN aus."</f>
        <v>#REF!</v>
      </c>
      <c r="C277" s="289" t="e">
        <f>"As of "&amp;dzb&amp;" the Company shows growing losses of PLN "&amp;strata1&amp;"."</f>
        <v>#REF!</v>
      </c>
      <c r="D277" s="99"/>
      <c r="E277" s="72"/>
      <c r="F277" s="72"/>
      <c r="G277" s="72"/>
      <c r="H277" s="72"/>
      <c r="I277" s="72"/>
      <c r="J277" s="72"/>
      <c r="K277" s="72"/>
    </row>
    <row r="278" spans="1:11" ht="81.75" customHeight="1">
      <c r="A278" s="289" t="str">
        <f>"Ze względu na fakt, że w bilansie sporządzonym za rok obrotowy "&amp;rok&amp;" wykazano stratę przewyższającą sumę kapitałów zapasowego i rezerwowych oraz połowę kapitału zakładowego, Udziałowcy Spółki podejmą uchwałę, zgodnie z art. 233 ksh, co do dalszego istnienia spółki."</f>
        <v>Ze względu na fakt, że w bilansie sporządzonym za rok obrotowy 2024 wykazano stratę przewyższającą sumę kapitałów zapasowego i rezerwowych oraz połowę kapitału zakładowego, Udziałowcy Spółki podejmą uchwałę, zgodnie z art. 233 ksh, co do dalszego istnienia spółki.</v>
      </c>
      <c r="B278" s="289" t="str">
        <f>"Da in der Bilanz für das Geschäftsjahr "&amp;rok&amp;" ein Verlust ausgewiesen wurde, der die Summe der Kapitalrücklagen und sonstigen Rücklagen sowie die Hälfte des Stammkapitals übersteigt,"&amp;" werden die Gesellschafter den Beschluss über die Unternehmensfortführung gemäß Art. 233 des Gesetzbuches über die Handelsgesellschaften fassen."</f>
        <v>Da in der Bilanz für das Geschäftsjahr 2024 ein Verlust ausgewiesen wurde, der die Summe der Kapitalrücklagen und sonstigen Rücklagen sowie die Hälfte des Stammkapitals übersteigt, werden die Gesellschafter den Beschluss über die Unternehmensfortführung gemäß Art. 233 des Gesetzbuches über die Handelsgesellschaften fassen.</v>
      </c>
      <c r="C278" s="289" t="str">
        <f>"As the balance sheet prepared for the financial year "&amp;rok&amp;" shows a loss higher than the total of capital reserves and a half of the share capital, the Company's shareholders will adopt a resolution on further existence of the Company, as required under Article 233 of the Code of Commercial Companies."</f>
        <v>As the balance sheet prepared for the financial year 2024 shows a loss higher than the total of capital reserves and a half of the share capital, the Company's shareholders will adopt a resolution on further existence of the Company, as required under Article 233 of the Code of Commercial Companies.</v>
      </c>
      <c r="D278" s="388"/>
      <c r="E278" s="84"/>
      <c r="F278" s="84"/>
      <c r="G278" s="84"/>
      <c r="H278" s="84"/>
      <c r="I278" s="84"/>
      <c r="J278" s="84"/>
      <c r="K278" s="84"/>
    </row>
    <row r="279" spans="1:11" ht="93" customHeight="1">
      <c r="A279" s="289" t="s">
        <v>813</v>
      </c>
      <c r="B279" s="291" t="s">
        <v>814</v>
      </c>
      <c r="C279" s="289" t="s">
        <v>815</v>
      </c>
      <c r="D279" s="99"/>
      <c r="E279" s="72"/>
      <c r="F279" s="72"/>
      <c r="G279" s="72"/>
      <c r="H279" s="72"/>
      <c r="I279" s="72"/>
      <c r="J279" s="72"/>
      <c r="K279" s="72"/>
    </row>
    <row r="280" spans="1:11" ht="93" customHeight="1">
      <c r="A280" s="289" t="s">
        <v>813</v>
      </c>
      <c r="B280" s="291" t="s">
        <v>816</v>
      </c>
      <c r="C280" s="289" t="s">
        <v>815</v>
      </c>
      <c r="D280" s="99"/>
      <c r="E280" s="72"/>
      <c r="F280" s="72"/>
      <c r="G280" s="72"/>
      <c r="H280" s="72"/>
      <c r="I280" s="72"/>
      <c r="J280" s="72"/>
      <c r="K280" s="72"/>
    </row>
    <row r="281" spans="1:11" ht="12.75" customHeight="1">
      <c r="A281" s="289" t="s">
        <v>817</v>
      </c>
      <c r="B281" s="291" t="s">
        <v>818</v>
      </c>
      <c r="C281" s="289" t="s">
        <v>819</v>
      </c>
      <c r="D281" s="499"/>
      <c r="E281" s="99"/>
      <c r="F281" s="99"/>
      <c r="G281" s="506"/>
      <c r="H281" s="499"/>
    </row>
    <row r="282" spans="1:11" ht="12.75" customHeight="1">
      <c r="A282" s="289" t="s">
        <v>817</v>
      </c>
      <c r="B282" s="291" t="s">
        <v>820</v>
      </c>
      <c r="C282" s="289" t="s">
        <v>819</v>
      </c>
      <c r="D282" s="499"/>
      <c r="E282" s="99"/>
      <c r="F282" s="99"/>
      <c r="G282" s="506"/>
      <c r="H282" s="499"/>
    </row>
    <row r="283" spans="1:11">
      <c r="A283" s="289" t="s">
        <v>821</v>
      </c>
      <c r="B283" s="289" t="s">
        <v>822</v>
      </c>
      <c r="C283" s="289" t="s">
        <v>823</v>
      </c>
      <c r="D283" s="499"/>
      <c r="E283" s="99"/>
      <c r="F283" s="99"/>
      <c r="G283" s="506"/>
      <c r="H283" s="499"/>
    </row>
    <row r="284" spans="1:11">
      <c r="A284" s="289" t="s">
        <v>821</v>
      </c>
      <c r="B284" s="508" t="s">
        <v>824</v>
      </c>
      <c r="C284" s="289" t="s">
        <v>823</v>
      </c>
    </row>
    <row r="285" spans="1:11" ht="13.5" thickBot="1">
      <c r="A285" s="627"/>
      <c r="B285" s="629" t="s">
        <v>825</v>
      </c>
      <c r="C285" s="628"/>
    </row>
    <row r="286" spans="1:11">
      <c r="A286" s="481" t="str">
        <f>"Bilans na dzień " &amp;dzb</f>
        <v>Bilans na dzień 31.12.2024</v>
      </c>
      <c r="B286" s="291" t="str">
        <f>"Bilanz zum " &amp;dzb</f>
        <v>Bilanz zum 31.12.2024</v>
      </c>
      <c r="C286" s="481" t="str">
        <f>"Balance sheet as of " &amp;dzb</f>
        <v>Balance sheet as of 31.12.2024</v>
      </c>
    </row>
    <row r="287" spans="1:11">
      <c r="A287" s="481" t="s">
        <v>826</v>
      </c>
      <c r="B287" s="291" t="s">
        <v>827</v>
      </c>
      <c r="C287" s="481" t="s">
        <v>828</v>
      </c>
    </row>
    <row r="288" spans="1:11">
      <c r="A288" s="481" t="s">
        <v>829</v>
      </c>
      <c r="B288" s="291" t="s">
        <v>830</v>
      </c>
      <c r="C288" s="481" t="s">
        <v>831</v>
      </c>
    </row>
    <row r="289" spans="1:3">
      <c r="A289" s="481" t="s">
        <v>832</v>
      </c>
      <c r="B289" s="291" t="s">
        <v>833</v>
      </c>
      <c r="C289" s="289" t="s">
        <v>834</v>
      </c>
    </row>
    <row r="290" spans="1:3">
      <c r="A290" s="481" t="s">
        <v>835</v>
      </c>
      <c r="B290" s="291" t="s">
        <v>836</v>
      </c>
      <c r="C290" s="289" t="s">
        <v>837</v>
      </c>
    </row>
    <row r="291" spans="1:3">
      <c r="A291" s="481" t="s">
        <v>838</v>
      </c>
      <c r="B291" s="291" t="s">
        <v>839</v>
      </c>
      <c r="C291" s="289" t="s">
        <v>840</v>
      </c>
    </row>
    <row r="292" spans="1:3">
      <c r="A292" s="289" t="s">
        <v>841</v>
      </c>
      <c r="B292" s="291" t="s">
        <v>842</v>
      </c>
      <c r="C292" s="289" t="s">
        <v>843</v>
      </c>
    </row>
    <row r="293" spans="1:3">
      <c r="A293" s="289" t="s">
        <v>844</v>
      </c>
      <c r="B293" s="291" t="s">
        <v>845</v>
      </c>
      <c r="C293" s="289" t="s">
        <v>846</v>
      </c>
    </row>
    <row r="294" spans="1:3" ht="25.5">
      <c r="A294" s="289" t="s">
        <v>439</v>
      </c>
      <c r="B294" s="291" t="s">
        <v>440</v>
      </c>
      <c r="C294" s="289" t="s">
        <v>441</v>
      </c>
    </row>
    <row r="295" spans="1:3">
      <c r="A295" s="289" t="s">
        <v>243</v>
      </c>
      <c r="B295" s="291" t="s">
        <v>244</v>
      </c>
      <c r="C295" s="289" t="s">
        <v>245</v>
      </c>
    </row>
    <row r="296" spans="1:3">
      <c r="A296" s="289" t="s">
        <v>246</v>
      </c>
      <c r="B296" s="291" t="s">
        <v>247</v>
      </c>
      <c r="C296" s="289" t="s">
        <v>248</v>
      </c>
    </row>
    <row r="297" spans="1:3" ht="25.5">
      <c r="A297" s="289" t="s">
        <v>249</v>
      </c>
      <c r="B297" s="291" t="s">
        <v>250</v>
      </c>
      <c r="C297" s="289" t="s">
        <v>251</v>
      </c>
    </row>
    <row r="298" spans="1:3" ht="25.5">
      <c r="A298" s="289" t="s">
        <v>847</v>
      </c>
      <c r="B298" s="291" t="s">
        <v>848</v>
      </c>
      <c r="C298" s="289" t="s">
        <v>849</v>
      </c>
    </row>
    <row r="299" spans="1:3">
      <c r="A299" s="289" t="s">
        <v>850</v>
      </c>
      <c r="B299" s="291" t="s">
        <v>851</v>
      </c>
      <c r="C299" s="289" t="s">
        <v>852</v>
      </c>
    </row>
    <row r="300" spans="1:3">
      <c r="A300" s="289" t="s">
        <v>445</v>
      </c>
      <c r="B300" s="291" t="s">
        <v>446</v>
      </c>
      <c r="C300" s="289" t="s">
        <v>447</v>
      </c>
    </row>
    <row r="301" spans="1:3" ht="25.5">
      <c r="A301" s="289" t="s">
        <v>853</v>
      </c>
      <c r="B301" s="291" t="s">
        <v>854</v>
      </c>
      <c r="C301" s="289" t="s">
        <v>855</v>
      </c>
    </row>
    <row r="302" spans="1:3" ht="25.5">
      <c r="A302" s="289" t="s">
        <v>258</v>
      </c>
      <c r="B302" s="291" t="s">
        <v>856</v>
      </c>
      <c r="C302" s="289" t="s">
        <v>857</v>
      </c>
    </row>
    <row r="303" spans="1:3">
      <c r="A303" s="289" t="s">
        <v>261</v>
      </c>
      <c r="B303" s="291" t="s">
        <v>262</v>
      </c>
      <c r="C303" s="289" t="s">
        <v>263</v>
      </c>
    </row>
    <row r="304" spans="1:3">
      <c r="A304" s="289" t="s">
        <v>264</v>
      </c>
      <c r="B304" s="291" t="s">
        <v>265</v>
      </c>
      <c r="C304" s="289" t="s">
        <v>266</v>
      </c>
    </row>
    <row r="305" spans="1:4">
      <c r="A305" s="289" t="s">
        <v>267</v>
      </c>
      <c r="B305" s="291" t="s">
        <v>268</v>
      </c>
      <c r="C305" s="289" t="s">
        <v>269</v>
      </c>
    </row>
    <row r="306" spans="1:4">
      <c r="A306" s="289" t="s">
        <v>858</v>
      </c>
      <c r="B306" s="291" t="s">
        <v>859</v>
      </c>
      <c r="C306" s="289" t="s">
        <v>860</v>
      </c>
    </row>
    <row r="307" spans="1:4" ht="25.5">
      <c r="A307" s="289" t="s">
        <v>861</v>
      </c>
      <c r="B307" s="291" t="s">
        <v>862</v>
      </c>
      <c r="C307" s="289" t="s">
        <v>863</v>
      </c>
    </row>
    <row r="308" spans="1:4">
      <c r="A308" s="289" t="s">
        <v>864</v>
      </c>
      <c r="B308" s="291" t="s">
        <v>865</v>
      </c>
      <c r="C308" s="289" t="s">
        <v>866</v>
      </c>
    </row>
    <row r="309" spans="1:4">
      <c r="A309" s="289" t="s">
        <v>867</v>
      </c>
      <c r="B309" s="291" t="s">
        <v>868</v>
      </c>
      <c r="C309" s="289" t="s">
        <v>869</v>
      </c>
    </row>
    <row r="310" spans="1:4" ht="25.5">
      <c r="A310" s="289" t="s">
        <v>870</v>
      </c>
      <c r="B310" s="509" t="s">
        <v>871</v>
      </c>
      <c r="C310" s="291" t="s">
        <v>872</v>
      </c>
      <c r="D310" s="290"/>
    </row>
    <row r="311" spans="1:4">
      <c r="A311" s="289" t="s">
        <v>873</v>
      </c>
      <c r="B311" s="291" t="s">
        <v>874</v>
      </c>
      <c r="C311" s="289" t="s">
        <v>875</v>
      </c>
    </row>
    <row r="312" spans="1:4">
      <c r="A312" s="289" t="s">
        <v>653</v>
      </c>
      <c r="B312" s="291" t="s">
        <v>654</v>
      </c>
      <c r="C312" s="289" t="s">
        <v>655</v>
      </c>
    </row>
    <row r="313" spans="1:4">
      <c r="A313" s="289" t="s">
        <v>876</v>
      </c>
      <c r="B313" s="291" t="s">
        <v>877</v>
      </c>
      <c r="C313" s="289" t="s">
        <v>878</v>
      </c>
    </row>
    <row r="314" spans="1:4" ht="25.5">
      <c r="A314" s="289" t="s">
        <v>439</v>
      </c>
      <c r="B314" s="291" t="s">
        <v>440</v>
      </c>
      <c r="C314" s="289" t="s">
        <v>441</v>
      </c>
    </row>
    <row r="315" spans="1:4">
      <c r="A315" s="289" t="s">
        <v>879</v>
      </c>
      <c r="B315" s="291" t="s">
        <v>880</v>
      </c>
      <c r="C315" s="289" t="s">
        <v>881</v>
      </c>
    </row>
    <row r="316" spans="1:4">
      <c r="A316" s="289" t="s">
        <v>882</v>
      </c>
      <c r="B316" s="291" t="s">
        <v>883</v>
      </c>
      <c r="C316" s="289" t="s">
        <v>884</v>
      </c>
    </row>
    <row r="317" spans="1:4">
      <c r="A317" s="289" t="s">
        <v>885</v>
      </c>
      <c r="B317" s="291" t="s">
        <v>886</v>
      </c>
      <c r="C317" s="289" t="s">
        <v>887</v>
      </c>
    </row>
    <row r="318" spans="1:4">
      <c r="A318" s="289" t="s">
        <v>888</v>
      </c>
      <c r="B318" s="291" t="s">
        <v>889</v>
      </c>
      <c r="C318" s="289" t="s">
        <v>890</v>
      </c>
    </row>
    <row r="319" spans="1:4">
      <c r="A319" s="289" t="s">
        <v>891</v>
      </c>
      <c r="B319" s="291" t="s">
        <v>892</v>
      </c>
      <c r="C319" s="289" t="s">
        <v>893</v>
      </c>
    </row>
    <row r="320" spans="1:4" ht="25.5">
      <c r="A320" s="289" t="s">
        <v>894</v>
      </c>
      <c r="B320" s="291" t="s">
        <v>895</v>
      </c>
      <c r="C320" s="289" t="s">
        <v>896</v>
      </c>
    </row>
    <row r="321" spans="1:4">
      <c r="A321" s="289" t="s">
        <v>897</v>
      </c>
      <c r="B321" s="291" t="s">
        <v>898</v>
      </c>
      <c r="C321" s="289" t="s">
        <v>899</v>
      </c>
    </row>
    <row r="322" spans="1:4" ht="25.5">
      <c r="A322" s="289" t="s">
        <v>900</v>
      </c>
      <c r="B322" s="509" t="s">
        <v>901</v>
      </c>
      <c r="C322" s="291" t="s">
        <v>902</v>
      </c>
      <c r="D322" s="290"/>
    </row>
    <row r="323" spans="1:4">
      <c r="A323" s="289" t="s">
        <v>903</v>
      </c>
      <c r="B323" s="291" t="s">
        <v>904</v>
      </c>
      <c r="C323" s="289" t="s">
        <v>905</v>
      </c>
    </row>
    <row r="324" spans="1:4">
      <c r="A324" s="289" t="s">
        <v>906</v>
      </c>
      <c r="B324" s="291" t="s">
        <v>907</v>
      </c>
      <c r="C324" s="289" t="s">
        <v>908</v>
      </c>
    </row>
    <row r="325" spans="1:4" ht="25.5">
      <c r="A325" s="289" t="s">
        <v>909</v>
      </c>
      <c r="B325" s="291" t="s">
        <v>910</v>
      </c>
      <c r="C325" s="289" t="s">
        <v>911</v>
      </c>
    </row>
    <row r="326" spans="1:4">
      <c r="A326" s="289" t="s">
        <v>912</v>
      </c>
      <c r="B326" s="291" t="s">
        <v>913</v>
      </c>
      <c r="C326" s="289" t="s">
        <v>914</v>
      </c>
    </row>
    <row r="327" spans="1:4">
      <c r="A327" s="289" t="s">
        <v>915</v>
      </c>
      <c r="B327" s="291" t="s">
        <v>916</v>
      </c>
      <c r="C327" s="289" t="s">
        <v>917</v>
      </c>
    </row>
    <row r="328" spans="1:4">
      <c r="A328" s="289" t="s">
        <v>918</v>
      </c>
      <c r="B328" s="291" t="s">
        <v>919</v>
      </c>
      <c r="C328" s="289" t="s">
        <v>920</v>
      </c>
    </row>
    <row r="329" spans="1:4">
      <c r="A329" s="289" t="s">
        <v>499</v>
      </c>
      <c r="B329" s="291" t="s">
        <v>500</v>
      </c>
      <c r="C329" s="289" t="s">
        <v>921</v>
      </c>
    </row>
    <row r="330" spans="1:4">
      <c r="A330" s="289" t="s">
        <v>922</v>
      </c>
      <c r="B330" s="291" t="s">
        <v>923</v>
      </c>
      <c r="C330" s="289" t="s">
        <v>924</v>
      </c>
    </row>
    <row r="331" spans="1:4">
      <c r="A331" s="289" t="s">
        <v>925</v>
      </c>
      <c r="B331" s="291" t="s">
        <v>557</v>
      </c>
      <c r="C331" s="289" t="s">
        <v>558</v>
      </c>
    </row>
    <row r="332" spans="1:4">
      <c r="A332" s="289" t="s">
        <v>926</v>
      </c>
      <c r="B332" s="291" t="s">
        <v>927</v>
      </c>
      <c r="C332" s="289" t="s">
        <v>928</v>
      </c>
    </row>
    <row r="333" spans="1:4" ht="25.5">
      <c r="A333" s="289" t="s">
        <v>929</v>
      </c>
      <c r="B333" s="291" t="s">
        <v>930</v>
      </c>
      <c r="C333" s="289" t="s">
        <v>931</v>
      </c>
    </row>
    <row r="334" spans="1:4">
      <c r="A334" s="289" t="s">
        <v>932</v>
      </c>
      <c r="B334" s="291" t="s">
        <v>933</v>
      </c>
      <c r="C334" s="289" t="s">
        <v>934</v>
      </c>
    </row>
    <row r="335" spans="1:4">
      <c r="A335" s="289" t="s">
        <v>935</v>
      </c>
      <c r="B335" s="291" t="s">
        <v>936</v>
      </c>
      <c r="C335" s="289" t="s">
        <v>937</v>
      </c>
    </row>
    <row r="336" spans="1:4" ht="25.5">
      <c r="A336" s="289" t="s">
        <v>938</v>
      </c>
      <c r="B336" s="509" t="s">
        <v>939</v>
      </c>
      <c r="C336" s="291" t="s">
        <v>940</v>
      </c>
    </row>
    <row r="337" spans="1:3" ht="25.5">
      <c r="A337" s="289" t="s">
        <v>941</v>
      </c>
      <c r="B337" s="291" t="s">
        <v>942</v>
      </c>
      <c r="C337" s="289" t="s">
        <v>943</v>
      </c>
    </row>
    <row r="338" spans="1:3">
      <c r="A338" s="289" t="s">
        <v>944</v>
      </c>
      <c r="B338" s="291" t="s">
        <v>945</v>
      </c>
      <c r="C338" s="289" t="s">
        <v>946</v>
      </c>
    </row>
    <row r="339" spans="1:3">
      <c r="A339" s="289" t="s">
        <v>947</v>
      </c>
      <c r="B339" s="291" t="s">
        <v>948</v>
      </c>
      <c r="C339" s="289" t="s">
        <v>949</v>
      </c>
    </row>
    <row r="340" spans="1:3">
      <c r="A340" s="289" t="s">
        <v>950</v>
      </c>
      <c r="B340" s="291" t="s">
        <v>951</v>
      </c>
      <c r="C340" s="289" t="s">
        <v>952</v>
      </c>
    </row>
    <row r="341" spans="1:3">
      <c r="A341" s="289" t="s">
        <v>953</v>
      </c>
      <c r="B341" s="291" t="s">
        <v>954</v>
      </c>
      <c r="C341" s="289" t="s">
        <v>955</v>
      </c>
    </row>
    <row r="342" spans="1:3" ht="38.25">
      <c r="A342" s="289" t="s">
        <v>956</v>
      </c>
      <c r="B342" s="291" t="s">
        <v>957</v>
      </c>
      <c r="C342" s="289" t="s">
        <v>958</v>
      </c>
    </row>
    <row r="343" spans="1:3">
      <c r="A343" s="289" t="s">
        <v>950</v>
      </c>
      <c r="B343" s="291" t="s">
        <v>951</v>
      </c>
      <c r="C343" s="289" t="s">
        <v>959</v>
      </c>
    </row>
    <row r="344" spans="1:3">
      <c r="A344" s="289" t="s">
        <v>960</v>
      </c>
      <c r="B344" s="510" t="s">
        <v>961</v>
      </c>
      <c r="C344" s="289" t="s">
        <v>962</v>
      </c>
    </row>
    <row r="345" spans="1:3">
      <c r="A345" s="289" t="s">
        <v>638</v>
      </c>
      <c r="B345" s="291" t="s">
        <v>639</v>
      </c>
      <c r="C345" s="289" t="s">
        <v>640</v>
      </c>
    </row>
    <row r="346" spans="1:3">
      <c r="A346" s="289" t="s">
        <v>963</v>
      </c>
      <c r="B346" s="291" t="s">
        <v>964</v>
      </c>
      <c r="C346" s="289" t="s">
        <v>965</v>
      </c>
    </row>
    <row r="347" spans="1:3">
      <c r="A347" s="289" t="s">
        <v>882</v>
      </c>
      <c r="B347" s="291" t="s">
        <v>883</v>
      </c>
      <c r="C347" s="289" t="s">
        <v>884</v>
      </c>
    </row>
    <row r="348" spans="1:3">
      <c r="A348" s="289" t="s">
        <v>885</v>
      </c>
      <c r="B348" s="291" t="s">
        <v>886</v>
      </c>
      <c r="C348" s="289" t="s">
        <v>887</v>
      </c>
    </row>
    <row r="349" spans="1:3">
      <c r="A349" s="289" t="s">
        <v>888</v>
      </c>
      <c r="B349" s="291" t="s">
        <v>889</v>
      </c>
      <c r="C349" s="289" t="s">
        <v>890</v>
      </c>
    </row>
    <row r="350" spans="1:3">
      <c r="A350" s="289" t="s">
        <v>891</v>
      </c>
      <c r="B350" s="291" t="s">
        <v>892</v>
      </c>
      <c r="C350" s="289" t="s">
        <v>893</v>
      </c>
    </row>
    <row r="351" spans="1:3" ht="25.5">
      <c r="A351" s="289" t="s">
        <v>966</v>
      </c>
      <c r="B351" s="291" t="s">
        <v>967</v>
      </c>
      <c r="C351" s="289" t="s">
        <v>968</v>
      </c>
    </row>
    <row r="352" spans="1:3">
      <c r="A352" s="289" t="s">
        <v>897</v>
      </c>
      <c r="B352" s="291" t="s">
        <v>898</v>
      </c>
      <c r="C352" s="289" t="s">
        <v>899</v>
      </c>
    </row>
    <row r="353" spans="1:3" ht="25.5">
      <c r="A353" s="289" t="s">
        <v>969</v>
      </c>
      <c r="B353" s="291" t="s">
        <v>970</v>
      </c>
      <c r="C353" s="289" t="s">
        <v>971</v>
      </c>
    </row>
    <row r="354" spans="1:3">
      <c r="A354" s="289" t="s">
        <v>972</v>
      </c>
      <c r="B354" s="291" t="s">
        <v>973</v>
      </c>
      <c r="C354" s="289" t="s">
        <v>974</v>
      </c>
    </row>
    <row r="355" spans="1:3">
      <c r="A355" s="289" t="s">
        <v>975</v>
      </c>
      <c r="B355" s="291" t="s">
        <v>976</v>
      </c>
      <c r="C355" s="289" t="s">
        <v>977</v>
      </c>
    </row>
    <row r="356" spans="1:3">
      <c r="A356" s="289" t="s">
        <v>978</v>
      </c>
      <c r="B356" s="291" t="s">
        <v>979</v>
      </c>
      <c r="C356" s="289" t="s">
        <v>980</v>
      </c>
    </row>
    <row r="357" spans="1:3">
      <c r="A357" s="289" t="s">
        <v>981</v>
      </c>
      <c r="B357" s="291" t="s">
        <v>982</v>
      </c>
      <c r="C357" s="289" t="s">
        <v>983</v>
      </c>
    </row>
    <row r="358" spans="1:3">
      <c r="A358" s="289" t="s">
        <v>984</v>
      </c>
      <c r="B358" s="291" t="s">
        <v>985</v>
      </c>
      <c r="C358" s="289" t="s">
        <v>986</v>
      </c>
    </row>
    <row r="359" spans="1:3">
      <c r="A359" s="289" t="s">
        <v>987</v>
      </c>
      <c r="B359" s="291" t="s">
        <v>988</v>
      </c>
      <c r="C359" s="289" t="s">
        <v>989</v>
      </c>
    </row>
    <row r="360" spans="1:3">
      <c r="A360" s="289" t="s">
        <v>990</v>
      </c>
      <c r="B360" s="291" t="s">
        <v>991</v>
      </c>
      <c r="C360" s="289" t="s">
        <v>992</v>
      </c>
    </row>
    <row r="361" spans="1:3">
      <c r="A361" s="289" t="s">
        <v>993</v>
      </c>
      <c r="B361" s="291" t="s">
        <v>994</v>
      </c>
      <c r="C361" s="289" t="s">
        <v>995</v>
      </c>
    </row>
    <row r="362" spans="1:3">
      <c r="A362" s="289" t="s">
        <v>996</v>
      </c>
      <c r="B362" s="291" t="s">
        <v>997</v>
      </c>
      <c r="C362" s="289" t="s">
        <v>998</v>
      </c>
    </row>
    <row r="363" spans="1:3" ht="25.5">
      <c r="A363" s="289" t="s">
        <v>999</v>
      </c>
      <c r="B363" s="291" t="s">
        <v>1000</v>
      </c>
      <c r="C363" s="289" t="s">
        <v>1001</v>
      </c>
    </row>
    <row r="364" spans="1:3">
      <c r="A364" s="289" t="s">
        <v>1002</v>
      </c>
      <c r="B364" s="291" t="s">
        <v>1003</v>
      </c>
      <c r="C364" s="289" t="s">
        <v>1004</v>
      </c>
    </row>
    <row r="365" spans="1:3">
      <c r="A365" s="289" t="s">
        <v>1005</v>
      </c>
      <c r="B365" s="291" t="s">
        <v>1006</v>
      </c>
      <c r="C365" s="289" t="s">
        <v>1007</v>
      </c>
    </row>
    <row r="366" spans="1:3" ht="38.25">
      <c r="A366" s="289" t="s">
        <v>1008</v>
      </c>
      <c r="B366" s="289" t="s">
        <v>1009</v>
      </c>
      <c r="C366" s="289" t="s">
        <v>1010</v>
      </c>
    </row>
    <row r="367" spans="1:3">
      <c r="A367" s="289" t="s">
        <v>1011</v>
      </c>
      <c r="B367" s="291" t="s">
        <v>1012</v>
      </c>
      <c r="C367" s="289" t="s">
        <v>1013</v>
      </c>
    </row>
    <row r="368" spans="1:3" ht="25.5">
      <c r="A368" s="289" t="s">
        <v>1014</v>
      </c>
      <c r="B368" s="291" t="s">
        <v>1015</v>
      </c>
      <c r="C368" s="289" t="s">
        <v>1016</v>
      </c>
    </row>
    <row r="369" spans="1:4">
      <c r="A369" s="289" t="s">
        <v>1017</v>
      </c>
      <c r="B369" s="291" t="s">
        <v>1018</v>
      </c>
      <c r="C369" s="289" t="s">
        <v>1019</v>
      </c>
    </row>
    <row r="370" spans="1:4">
      <c r="A370" s="289" t="s">
        <v>1020</v>
      </c>
      <c r="B370" s="291" t="s">
        <v>1021</v>
      </c>
      <c r="C370" s="289" t="s">
        <v>1022</v>
      </c>
    </row>
    <row r="371" spans="1:4">
      <c r="A371" s="289" t="s">
        <v>1023</v>
      </c>
      <c r="B371" s="291" t="s">
        <v>1024</v>
      </c>
      <c r="C371" s="289" t="s">
        <v>1025</v>
      </c>
    </row>
    <row r="372" spans="1:4">
      <c r="A372" s="289" t="s">
        <v>1026</v>
      </c>
      <c r="B372" s="291" t="s">
        <v>1027</v>
      </c>
      <c r="C372" s="289" t="s">
        <v>1028</v>
      </c>
    </row>
    <row r="373" spans="1:4">
      <c r="A373" s="289" t="s">
        <v>1029</v>
      </c>
      <c r="B373" s="291" t="s">
        <v>1030</v>
      </c>
      <c r="C373" s="289" t="s">
        <v>1031</v>
      </c>
    </row>
    <row r="374" spans="1:4" ht="25.5">
      <c r="A374" s="289" t="s">
        <v>1032</v>
      </c>
      <c r="B374" s="291" t="s">
        <v>1033</v>
      </c>
      <c r="C374" s="289" t="s">
        <v>1034</v>
      </c>
    </row>
    <row r="375" spans="1:4" ht="25.5">
      <c r="A375" s="289" t="s">
        <v>1035</v>
      </c>
      <c r="B375" s="291" t="s">
        <v>1036</v>
      </c>
      <c r="C375" s="289" t="s">
        <v>1037</v>
      </c>
    </row>
    <row r="376" spans="1:4">
      <c r="A376" s="289" t="s">
        <v>1038</v>
      </c>
      <c r="B376" s="291" t="s">
        <v>1039</v>
      </c>
      <c r="C376" s="289" t="s">
        <v>1040</v>
      </c>
    </row>
    <row r="377" spans="1:4" ht="25.5">
      <c r="A377" s="289" t="s">
        <v>1041</v>
      </c>
      <c r="B377" s="291" t="s">
        <v>1042</v>
      </c>
      <c r="C377" s="289" t="s">
        <v>1043</v>
      </c>
    </row>
    <row r="378" spans="1:4" ht="25.5">
      <c r="A378" s="289" t="s">
        <v>1044</v>
      </c>
      <c r="B378" s="291" t="s">
        <v>1045</v>
      </c>
      <c r="C378" s="289" t="s">
        <v>1046</v>
      </c>
      <c r="D378" s="511"/>
    </row>
    <row r="379" spans="1:4">
      <c r="A379" s="289" t="s">
        <v>1047</v>
      </c>
      <c r="B379" s="291" t="s">
        <v>1048</v>
      </c>
      <c r="C379" s="289" t="s">
        <v>1049</v>
      </c>
      <c r="D379" s="511"/>
    </row>
    <row r="380" spans="1:4">
      <c r="A380" s="289" t="s">
        <v>1050</v>
      </c>
      <c r="B380" s="291" t="s">
        <v>1051</v>
      </c>
      <c r="C380" s="289" t="s">
        <v>1052</v>
      </c>
      <c r="D380" s="511"/>
    </row>
    <row r="381" spans="1:4">
      <c r="A381" s="289" t="s">
        <v>1053</v>
      </c>
      <c r="B381" s="291" t="s">
        <v>1054</v>
      </c>
      <c r="C381" s="289" t="s">
        <v>1055</v>
      </c>
      <c r="D381" s="511"/>
    </row>
    <row r="382" spans="1:4">
      <c r="A382" s="289" t="s">
        <v>1056</v>
      </c>
      <c r="B382" s="291" t="s">
        <v>1048</v>
      </c>
      <c r="C382" s="289" t="s">
        <v>1049</v>
      </c>
      <c r="D382" s="511"/>
    </row>
    <row r="383" spans="1:4">
      <c r="A383" s="289" t="s">
        <v>1057</v>
      </c>
      <c r="B383" s="291" t="s">
        <v>1051</v>
      </c>
      <c r="C383" s="289" t="s">
        <v>1052</v>
      </c>
      <c r="D383" s="511"/>
    </row>
    <row r="384" spans="1:4">
      <c r="A384" s="289" t="s">
        <v>1058</v>
      </c>
      <c r="B384" s="291" t="s">
        <v>1059</v>
      </c>
      <c r="C384" s="289" t="s">
        <v>1060</v>
      </c>
      <c r="D384" s="511"/>
    </row>
    <row r="385" spans="1:4">
      <c r="A385" s="289" t="s">
        <v>1061</v>
      </c>
      <c r="B385" s="291" t="s">
        <v>1062</v>
      </c>
      <c r="C385" s="289" t="s">
        <v>1063</v>
      </c>
      <c r="D385" s="511"/>
    </row>
    <row r="386" spans="1:4" ht="25.5">
      <c r="A386" s="289" t="s">
        <v>1064</v>
      </c>
      <c r="B386" s="510" t="s">
        <v>1065</v>
      </c>
      <c r="C386" s="289" t="s">
        <v>1066</v>
      </c>
      <c r="D386" s="511"/>
    </row>
    <row r="387" spans="1:4">
      <c r="A387" s="289" t="s">
        <v>1067</v>
      </c>
      <c r="B387" s="291" t="s">
        <v>1068</v>
      </c>
      <c r="C387" s="289" t="s">
        <v>1069</v>
      </c>
      <c r="D387" s="511"/>
    </row>
    <row r="388" spans="1:4">
      <c r="A388" s="289" t="s">
        <v>1070</v>
      </c>
      <c r="B388" s="291" t="s">
        <v>1071</v>
      </c>
      <c r="C388" s="289" t="s">
        <v>1072</v>
      </c>
      <c r="D388" s="511"/>
    </row>
    <row r="389" spans="1:4" ht="25.5">
      <c r="A389" s="289" t="s">
        <v>1073</v>
      </c>
      <c r="B389" s="291" t="s">
        <v>1074</v>
      </c>
      <c r="C389" s="289" t="s">
        <v>1075</v>
      </c>
      <c r="D389" s="511"/>
    </row>
    <row r="390" spans="1:4">
      <c r="A390" s="289" t="s">
        <v>1076</v>
      </c>
      <c r="B390" s="510" t="s">
        <v>1077</v>
      </c>
      <c r="C390" s="289" t="s">
        <v>1078</v>
      </c>
      <c r="D390" s="511"/>
    </row>
    <row r="391" spans="1:4">
      <c r="A391" s="289" t="s">
        <v>1079</v>
      </c>
      <c r="B391" s="291" t="s">
        <v>1080</v>
      </c>
      <c r="C391" s="289" t="s">
        <v>1081</v>
      </c>
      <c r="D391" s="511"/>
    </row>
    <row r="392" spans="1:4">
      <c r="A392" s="289" t="s">
        <v>950</v>
      </c>
      <c r="B392" s="291" t="s">
        <v>951</v>
      </c>
      <c r="C392" s="289" t="s">
        <v>952</v>
      </c>
      <c r="D392" s="511"/>
    </row>
    <row r="393" spans="1:4">
      <c r="A393" s="289" t="s">
        <v>1082</v>
      </c>
      <c r="B393" s="291" t="s">
        <v>1083</v>
      </c>
      <c r="C393" s="289" t="s">
        <v>1084</v>
      </c>
      <c r="D393" s="511"/>
    </row>
    <row r="394" spans="1:4" ht="25.5">
      <c r="A394" s="289" t="s">
        <v>1085</v>
      </c>
      <c r="B394" s="291" t="s">
        <v>1086</v>
      </c>
      <c r="C394" s="289" t="s">
        <v>1087</v>
      </c>
      <c r="D394" s="511"/>
    </row>
    <row r="395" spans="1:4" ht="38.25">
      <c r="A395" s="289" t="s">
        <v>1088</v>
      </c>
      <c r="B395" s="510" t="s">
        <v>1089</v>
      </c>
      <c r="C395" s="289" t="s">
        <v>1090</v>
      </c>
      <c r="D395" s="511"/>
    </row>
    <row r="396" spans="1:4" ht="25.5">
      <c r="A396" s="289" t="s">
        <v>1091</v>
      </c>
      <c r="B396" s="291" t="s">
        <v>942</v>
      </c>
      <c r="C396" s="289" t="s">
        <v>1092</v>
      </c>
      <c r="D396" s="511"/>
    </row>
    <row r="397" spans="1:4">
      <c r="A397" s="289" t="s">
        <v>944</v>
      </c>
      <c r="B397" s="291" t="s">
        <v>945</v>
      </c>
      <c r="C397" s="289" t="s">
        <v>946</v>
      </c>
      <c r="D397" s="511"/>
    </row>
    <row r="398" spans="1:4">
      <c r="A398" s="289" t="s">
        <v>947</v>
      </c>
      <c r="B398" s="291" t="s">
        <v>948</v>
      </c>
      <c r="C398" s="289" t="s">
        <v>949</v>
      </c>
      <c r="D398" s="511"/>
    </row>
    <row r="399" spans="1:4">
      <c r="A399" s="289" t="s">
        <v>950</v>
      </c>
      <c r="B399" s="291" t="s">
        <v>951</v>
      </c>
      <c r="C399" s="289" t="s">
        <v>1093</v>
      </c>
      <c r="D399" s="511"/>
    </row>
    <row r="400" spans="1:4" ht="25.5">
      <c r="A400" s="289" t="s">
        <v>1094</v>
      </c>
      <c r="B400" s="291" t="s">
        <v>1095</v>
      </c>
      <c r="C400" s="289" t="s">
        <v>1096</v>
      </c>
      <c r="D400" s="511"/>
    </row>
    <row r="401" spans="1:4" ht="25.5">
      <c r="A401" s="289" t="s">
        <v>1097</v>
      </c>
      <c r="B401" s="291" t="s">
        <v>1098</v>
      </c>
      <c r="C401" s="289" t="s">
        <v>1099</v>
      </c>
      <c r="D401" s="511"/>
    </row>
    <row r="402" spans="1:4">
      <c r="A402" s="289" t="s">
        <v>1079</v>
      </c>
      <c r="B402" s="291" t="s">
        <v>1080</v>
      </c>
      <c r="C402" s="289" t="s">
        <v>1081</v>
      </c>
      <c r="D402" s="511"/>
    </row>
    <row r="403" spans="1:4" ht="38.25">
      <c r="A403" s="289" t="s">
        <v>1100</v>
      </c>
      <c r="B403" s="291" t="s">
        <v>1101</v>
      </c>
      <c r="C403" s="289" t="s">
        <v>1102</v>
      </c>
      <c r="D403" s="511"/>
    </row>
    <row r="404" spans="1:4">
      <c r="A404" s="289" t="s">
        <v>1103</v>
      </c>
      <c r="B404" s="291" t="s">
        <v>1104</v>
      </c>
      <c r="C404" s="289" t="s">
        <v>1105</v>
      </c>
      <c r="D404" s="511"/>
    </row>
    <row r="405" spans="1:4">
      <c r="A405" s="289" t="s">
        <v>1106</v>
      </c>
      <c r="B405" s="291" t="s">
        <v>1107</v>
      </c>
      <c r="C405" s="289" t="s">
        <v>1108</v>
      </c>
      <c r="D405" s="511"/>
    </row>
    <row r="406" spans="1:4" ht="38.25">
      <c r="A406" s="289" t="s">
        <v>1109</v>
      </c>
      <c r="B406" s="291" t="s">
        <v>1110</v>
      </c>
      <c r="C406" s="289" t="s">
        <v>1111</v>
      </c>
      <c r="D406" s="511" t="s">
        <v>1112</v>
      </c>
    </row>
    <row r="407" spans="1:4">
      <c r="A407" s="289" t="s">
        <v>1113</v>
      </c>
      <c r="B407" s="291" t="s">
        <v>1114</v>
      </c>
      <c r="C407" s="289" t="s">
        <v>1115</v>
      </c>
      <c r="D407" s="511"/>
    </row>
    <row r="408" spans="1:4">
      <c r="A408" s="289" t="s">
        <v>912</v>
      </c>
      <c r="B408" s="291" t="s">
        <v>913</v>
      </c>
      <c r="C408" s="289" t="s">
        <v>1116</v>
      </c>
      <c r="D408" s="511"/>
    </row>
    <row r="409" spans="1:4">
      <c r="A409" s="289" t="s">
        <v>1056</v>
      </c>
      <c r="B409" s="291" t="s">
        <v>1048</v>
      </c>
      <c r="C409" s="289" t="s">
        <v>1049</v>
      </c>
      <c r="D409" s="511"/>
    </row>
    <row r="410" spans="1:4">
      <c r="A410" s="289" t="s">
        <v>1057</v>
      </c>
      <c r="B410" s="291" t="s">
        <v>1051</v>
      </c>
      <c r="C410" s="289" t="s">
        <v>1052</v>
      </c>
      <c r="D410" s="511"/>
    </row>
    <row r="411" spans="1:4">
      <c r="A411" s="289" t="s">
        <v>1117</v>
      </c>
      <c r="B411" s="291" t="s">
        <v>1118</v>
      </c>
      <c r="C411" s="289" t="s">
        <v>1119</v>
      </c>
      <c r="D411" s="511"/>
    </row>
    <row r="412" spans="1:4">
      <c r="A412" s="289" t="s">
        <v>1120</v>
      </c>
      <c r="B412" s="291" t="s">
        <v>1121</v>
      </c>
      <c r="C412" s="289" t="s">
        <v>1122</v>
      </c>
      <c r="D412" s="511"/>
    </row>
    <row r="413" spans="1:4">
      <c r="A413" s="289" t="s">
        <v>1123</v>
      </c>
      <c r="B413" s="291" t="s">
        <v>1124</v>
      </c>
      <c r="C413" s="289" t="s">
        <v>1125</v>
      </c>
      <c r="D413" s="511"/>
    </row>
    <row r="414" spans="1:4">
      <c r="A414" s="289" t="s">
        <v>1123</v>
      </c>
      <c r="B414" s="291" t="s">
        <v>1126</v>
      </c>
      <c r="C414" s="289" t="s">
        <v>1125</v>
      </c>
      <c r="D414" s="511"/>
    </row>
    <row r="415" spans="1:4" ht="26.25" thickBot="1">
      <c r="A415" s="686" t="s">
        <v>1127</v>
      </c>
      <c r="B415" s="686" t="s">
        <v>1128</v>
      </c>
      <c r="C415" s="686" t="s">
        <v>1129</v>
      </c>
      <c r="D415" s="511"/>
    </row>
    <row r="416" spans="1:4" ht="13.5" thickBot="1">
      <c r="A416" s="627" t="s">
        <v>1130</v>
      </c>
      <c r="B416" s="627" t="s">
        <v>1130</v>
      </c>
      <c r="C416" s="628"/>
      <c r="D416" s="511"/>
    </row>
    <row r="417" spans="1:4">
      <c r="A417" s="289" t="s">
        <v>1131</v>
      </c>
      <c r="B417" s="291" t="s">
        <v>1132</v>
      </c>
      <c r="C417" s="289" t="s">
        <v>1133</v>
      </c>
      <c r="D417" s="511"/>
    </row>
    <row r="418" spans="1:4" ht="25.5">
      <c r="A418" s="289" t="str">
        <f>"za rok obrotowy od " &amp;dzbo &amp;" do " &amp;dzb</f>
        <v>za rok obrotowy od 01.01.2024 do 31.12.2024</v>
      </c>
      <c r="B418" s="291" t="str">
        <f>"für das Geschäftsjahr vom " &amp;dzbo &amp;" bis zum " &amp;dzb</f>
        <v>für das Geschäftsjahr vom 01.01.2024 bis zum 31.12.2024</v>
      </c>
      <c r="C418" s="289" t="str">
        <f>"for the financial year from " &amp;dzbo &amp;" to " &amp;dzb</f>
        <v>for the financial year from 01.01.2024 to 31.12.2024</v>
      </c>
      <c r="D418" s="511"/>
    </row>
    <row r="419" spans="1:4">
      <c r="A419" s="289" t="s">
        <v>1134</v>
      </c>
      <c r="B419" s="291" t="s">
        <v>1135</v>
      </c>
      <c r="C419" s="289" t="s">
        <v>1136</v>
      </c>
      <c r="D419" s="511"/>
    </row>
    <row r="420" spans="1:4" ht="25.5">
      <c r="A420" s="289" t="s">
        <v>1137</v>
      </c>
      <c r="B420" s="291" t="s">
        <v>1138</v>
      </c>
      <c r="C420" s="289" t="s">
        <v>1139</v>
      </c>
      <c r="D420" s="511"/>
    </row>
    <row r="421" spans="1:4">
      <c r="A421" s="289" t="s">
        <v>1140</v>
      </c>
      <c r="B421" s="291" t="s">
        <v>1141</v>
      </c>
      <c r="C421" s="289" t="s">
        <v>1142</v>
      </c>
    </row>
    <row r="422" spans="1:4">
      <c r="A422" s="289" t="s">
        <v>1143</v>
      </c>
      <c r="B422" s="291" t="s">
        <v>1144</v>
      </c>
      <c r="C422" s="289" t="s">
        <v>1145</v>
      </c>
      <c r="D422" s="512"/>
    </row>
    <row r="423" spans="1:4" ht="25.5">
      <c r="A423" s="289" t="s">
        <v>1146</v>
      </c>
      <c r="B423" s="291" t="s">
        <v>1147</v>
      </c>
      <c r="C423" s="289" t="s">
        <v>1148</v>
      </c>
      <c r="D423" s="511"/>
    </row>
    <row r="424" spans="1:4" ht="25.5">
      <c r="A424" s="289" t="s">
        <v>1149</v>
      </c>
      <c r="B424" s="291" t="s">
        <v>1150</v>
      </c>
      <c r="C424" s="289" t="s">
        <v>1151</v>
      </c>
      <c r="D424" s="511"/>
    </row>
    <row r="425" spans="1:4">
      <c r="A425" s="521" t="s">
        <v>1152</v>
      </c>
      <c r="B425" s="291" t="s">
        <v>1144</v>
      </c>
      <c r="C425" s="289" t="s">
        <v>1153</v>
      </c>
      <c r="D425" s="513"/>
    </row>
    <row r="426" spans="1:4">
      <c r="A426" s="289" t="s">
        <v>1154</v>
      </c>
      <c r="B426" s="291" t="s">
        <v>1155</v>
      </c>
      <c r="C426" s="289" t="s">
        <v>1156</v>
      </c>
      <c r="D426" s="511"/>
    </row>
    <row r="427" spans="1:4">
      <c r="A427" s="289" t="s">
        <v>451</v>
      </c>
      <c r="B427" s="291" t="s">
        <v>452</v>
      </c>
      <c r="C427" s="289" t="s">
        <v>453</v>
      </c>
      <c r="D427" s="511"/>
    </row>
    <row r="428" spans="1:4" ht="25.5">
      <c r="A428" s="289" t="s">
        <v>1157</v>
      </c>
      <c r="B428" s="291" t="s">
        <v>1158</v>
      </c>
      <c r="C428" s="289" t="s">
        <v>1159</v>
      </c>
      <c r="D428" s="511"/>
    </row>
    <row r="429" spans="1:4">
      <c r="A429" s="289" t="s">
        <v>1160</v>
      </c>
      <c r="B429" s="291" t="s">
        <v>1161</v>
      </c>
      <c r="C429" s="289" t="s">
        <v>1162</v>
      </c>
      <c r="D429" s="511"/>
    </row>
    <row r="430" spans="1:4">
      <c r="A430" s="289" t="s">
        <v>1163</v>
      </c>
      <c r="B430" s="291" t="s">
        <v>1164</v>
      </c>
      <c r="C430" s="289" t="s">
        <v>1165</v>
      </c>
      <c r="D430" s="511"/>
    </row>
    <row r="431" spans="1:4">
      <c r="A431" s="289" t="s">
        <v>1166</v>
      </c>
      <c r="B431" s="291" t="s">
        <v>1167</v>
      </c>
      <c r="C431" s="289" t="s">
        <v>1168</v>
      </c>
      <c r="D431" s="511"/>
    </row>
    <row r="432" spans="1:4">
      <c r="A432" s="289" t="s">
        <v>1169</v>
      </c>
      <c r="B432" s="291" t="s">
        <v>1170</v>
      </c>
      <c r="C432" s="289" t="s">
        <v>1171</v>
      </c>
      <c r="D432" s="511"/>
    </row>
    <row r="433" spans="1:5" ht="25.5">
      <c r="A433" s="289" t="s">
        <v>1172</v>
      </c>
      <c r="B433" s="291" t="s">
        <v>1173</v>
      </c>
      <c r="C433" s="289" t="s">
        <v>1174</v>
      </c>
      <c r="D433" s="511"/>
    </row>
    <row r="434" spans="1:5">
      <c r="A434" s="289" t="s">
        <v>1175</v>
      </c>
      <c r="B434" s="291" t="s">
        <v>1176</v>
      </c>
      <c r="C434" s="289" t="s">
        <v>1177</v>
      </c>
      <c r="D434" s="511"/>
    </row>
    <row r="435" spans="1:5" ht="25.5">
      <c r="A435" s="289" t="s">
        <v>1178</v>
      </c>
      <c r="B435" s="291" t="s">
        <v>1179</v>
      </c>
      <c r="C435" s="289" t="s">
        <v>1180</v>
      </c>
      <c r="D435" s="511"/>
    </row>
    <row r="436" spans="1:5">
      <c r="A436" s="521" t="s">
        <v>1181</v>
      </c>
      <c r="B436" s="291" t="s">
        <v>1182</v>
      </c>
      <c r="C436" s="289" t="s">
        <v>1183</v>
      </c>
      <c r="D436" s="511"/>
    </row>
    <row r="437" spans="1:5">
      <c r="A437" s="289" t="s">
        <v>1184</v>
      </c>
      <c r="B437" s="291" t="s">
        <v>1185</v>
      </c>
      <c r="C437" s="289" t="s">
        <v>1186</v>
      </c>
      <c r="D437" s="511"/>
      <c r="E437" s="95"/>
    </row>
    <row r="438" spans="1:5">
      <c r="A438" s="289" t="s">
        <v>1187</v>
      </c>
      <c r="B438" s="291" t="s">
        <v>1188</v>
      </c>
      <c r="C438" s="289" t="s">
        <v>1189</v>
      </c>
      <c r="D438" s="511"/>
    </row>
    <row r="439" spans="1:5" ht="25.5">
      <c r="A439" s="289" t="s">
        <v>1190</v>
      </c>
      <c r="B439" s="291" t="s">
        <v>1191</v>
      </c>
      <c r="C439" s="289" t="s">
        <v>1192</v>
      </c>
      <c r="D439" s="511"/>
    </row>
    <row r="440" spans="1:5">
      <c r="A440" s="289" t="s">
        <v>1193</v>
      </c>
      <c r="B440" s="291" t="s">
        <v>1194</v>
      </c>
      <c r="C440" s="289" t="s">
        <v>1195</v>
      </c>
      <c r="D440" s="511"/>
    </row>
    <row r="441" spans="1:5" ht="25.5">
      <c r="A441" s="289" t="s">
        <v>1196</v>
      </c>
      <c r="B441" s="291" t="s">
        <v>1197</v>
      </c>
      <c r="C441" s="289" t="s">
        <v>1198</v>
      </c>
      <c r="D441" s="511"/>
    </row>
    <row r="442" spans="1:5">
      <c r="A442" s="289" t="s">
        <v>1199</v>
      </c>
      <c r="B442" s="291" t="s">
        <v>1200</v>
      </c>
      <c r="C442" s="289" t="s">
        <v>1189</v>
      </c>
      <c r="D442" s="511"/>
    </row>
    <row r="443" spans="1:5">
      <c r="A443" s="289" t="s">
        <v>1201</v>
      </c>
      <c r="B443" s="291" t="s">
        <v>1202</v>
      </c>
      <c r="C443" s="289" t="s">
        <v>1203</v>
      </c>
      <c r="D443" s="511"/>
    </row>
    <row r="444" spans="1:5" ht="25.5">
      <c r="A444" s="289" t="s">
        <v>1204</v>
      </c>
      <c r="B444" s="291" t="s">
        <v>1205</v>
      </c>
      <c r="C444" s="289" t="s">
        <v>1206</v>
      </c>
      <c r="D444" s="511"/>
    </row>
    <row r="445" spans="1:5" ht="25.5">
      <c r="A445" s="289" t="s">
        <v>1196</v>
      </c>
      <c r="B445" s="291" t="s">
        <v>1207</v>
      </c>
      <c r="C445" s="289" t="s">
        <v>1198</v>
      </c>
      <c r="D445" s="511"/>
    </row>
    <row r="446" spans="1:5">
      <c r="A446" s="289" t="s">
        <v>1208</v>
      </c>
      <c r="B446" s="291" t="s">
        <v>1209</v>
      </c>
      <c r="C446" s="289" t="s">
        <v>1203</v>
      </c>
      <c r="D446" s="511"/>
    </row>
    <row r="447" spans="1:5">
      <c r="A447" s="289" t="s">
        <v>1210</v>
      </c>
      <c r="B447" s="291" t="s">
        <v>1211</v>
      </c>
      <c r="C447" s="289" t="s">
        <v>1212</v>
      </c>
      <c r="D447" s="511"/>
    </row>
    <row r="448" spans="1:5">
      <c r="A448" s="289" t="s">
        <v>1213</v>
      </c>
      <c r="B448" s="291" t="s">
        <v>1214</v>
      </c>
      <c r="C448" s="289" t="s">
        <v>1215</v>
      </c>
      <c r="D448" s="511"/>
    </row>
    <row r="449" spans="1:4" ht="25.5">
      <c r="A449" s="289" t="s">
        <v>1216</v>
      </c>
      <c r="B449" s="291" t="s">
        <v>1217</v>
      </c>
      <c r="C449" s="289" t="s">
        <v>1218</v>
      </c>
      <c r="D449" s="511"/>
    </row>
    <row r="450" spans="1:4">
      <c r="A450" s="289" t="s">
        <v>1219</v>
      </c>
      <c r="B450" s="291" t="s">
        <v>1220</v>
      </c>
      <c r="C450" s="289" t="s">
        <v>1221</v>
      </c>
      <c r="D450" s="511"/>
    </row>
    <row r="451" spans="1:4" ht="25.5">
      <c r="A451" s="289" t="s">
        <v>1222</v>
      </c>
      <c r="B451" s="510" t="s">
        <v>1223</v>
      </c>
      <c r="C451" s="289" t="s">
        <v>1224</v>
      </c>
      <c r="D451" s="511"/>
    </row>
    <row r="452" spans="1:4">
      <c r="A452" s="289" t="s">
        <v>1225</v>
      </c>
      <c r="B452" s="291" t="s">
        <v>1226</v>
      </c>
      <c r="C452" s="289" t="s">
        <v>1227</v>
      </c>
      <c r="D452" s="511"/>
    </row>
    <row r="453" spans="1:4">
      <c r="A453" s="289" t="s">
        <v>1228</v>
      </c>
      <c r="B453" s="291" t="s">
        <v>1229</v>
      </c>
      <c r="C453" s="289" t="s">
        <v>1230</v>
      </c>
      <c r="D453" s="511"/>
    </row>
    <row r="454" spans="1:4" ht="25.5">
      <c r="A454" s="289" t="s">
        <v>1231</v>
      </c>
      <c r="B454" s="291" t="s">
        <v>1232</v>
      </c>
      <c r="C454" s="289" t="s">
        <v>1233</v>
      </c>
      <c r="D454" s="511"/>
    </row>
    <row r="455" spans="1:4">
      <c r="A455" s="289" t="s">
        <v>882</v>
      </c>
      <c r="B455" s="291" t="s">
        <v>883</v>
      </c>
      <c r="C455" s="289" t="s">
        <v>884</v>
      </c>
      <c r="D455" s="511"/>
    </row>
    <row r="456" spans="1:4">
      <c r="A456" s="289" t="s">
        <v>1234</v>
      </c>
      <c r="B456" s="291" t="s">
        <v>1235</v>
      </c>
      <c r="C456" s="289" t="s">
        <v>1236</v>
      </c>
      <c r="D456" s="511"/>
    </row>
    <row r="457" spans="1:4">
      <c r="A457" s="289" t="s">
        <v>1237</v>
      </c>
      <c r="B457" s="291" t="s">
        <v>321</v>
      </c>
      <c r="C457" s="289" t="s">
        <v>1238</v>
      </c>
      <c r="D457" s="511"/>
    </row>
    <row r="458" spans="1:4">
      <c r="A458" s="289" t="s">
        <v>1239</v>
      </c>
      <c r="B458" s="291" t="s">
        <v>1240</v>
      </c>
      <c r="C458" s="289" t="s">
        <v>1241</v>
      </c>
      <c r="D458" s="511"/>
    </row>
    <row r="459" spans="1:4">
      <c r="A459" s="289" t="s">
        <v>1228</v>
      </c>
      <c r="B459" s="291" t="s">
        <v>1229</v>
      </c>
      <c r="C459" s="289" t="s">
        <v>1230</v>
      </c>
      <c r="D459" s="511"/>
    </row>
    <row r="460" spans="1:4">
      <c r="A460" s="289" t="s">
        <v>1242</v>
      </c>
      <c r="B460" s="291" t="s">
        <v>1243</v>
      </c>
      <c r="C460" s="289" t="s">
        <v>1244</v>
      </c>
      <c r="D460" s="511"/>
    </row>
    <row r="461" spans="1:4" ht="25.5">
      <c r="A461" s="289" t="s">
        <v>1245</v>
      </c>
      <c r="B461" s="291" t="s">
        <v>1246</v>
      </c>
      <c r="C461" s="289" t="s">
        <v>1247</v>
      </c>
      <c r="D461" s="511"/>
    </row>
    <row r="462" spans="1:4">
      <c r="A462" s="289" t="s">
        <v>1234</v>
      </c>
      <c r="B462" s="291" t="s">
        <v>1235</v>
      </c>
      <c r="C462" s="289" t="s">
        <v>1236</v>
      </c>
      <c r="D462" s="511"/>
    </row>
    <row r="463" spans="1:4">
      <c r="A463" s="289" t="s">
        <v>1237</v>
      </c>
      <c r="B463" s="291" t="s">
        <v>321</v>
      </c>
      <c r="C463" s="289" t="s">
        <v>322</v>
      </c>
      <c r="D463" s="511"/>
    </row>
    <row r="464" spans="1:4">
      <c r="A464" s="289" t="s">
        <v>1248</v>
      </c>
      <c r="B464" s="291" t="s">
        <v>1249</v>
      </c>
      <c r="C464" s="289" t="s">
        <v>1250</v>
      </c>
      <c r="D464" s="511"/>
    </row>
    <row r="465" spans="1:4">
      <c r="A465" s="289" t="s">
        <v>1251</v>
      </c>
      <c r="B465" s="291" t="s">
        <v>1252</v>
      </c>
      <c r="C465" s="289" t="s">
        <v>1253</v>
      </c>
      <c r="D465" s="511"/>
    </row>
    <row r="466" spans="1:4">
      <c r="A466" s="289" t="s">
        <v>1254</v>
      </c>
      <c r="B466" s="291" t="s">
        <v>1255</v>
      </c>
      <c r="C466" s="289" t="s">
        <v>1256</v>
      </c>
      <c r="D466" s="511"/>
    </row>
    <row r="467" spans="1:4">
      <c r="A467" s="289" t="s">
        <v>1257</v>
      </c>
      <c r="B467" s="291" t="s">
        <v>1258</v>
      </c>
      <c r="C467" s="289" t="s">
        <v>1259</v>
      </c>
      <c r="D467" s="511"/>
    </row>
    <row r="468" spans="1:4">
      <c r="A468" s="289" t="s">
        <v>1248</v>
      </c>
      <c r="B468" s="291" t="s">
        <v>1249</v>
      </c>
      <c r="C468" s="289" t="s">
        <v>1260</v>
      </c>
      <c r="D468" s="511"/>
    </row>
    <row r="469" spans="1:4">
      <c r="A469" s="289" t="s">
        <v>1261</v>
      </c>
      <c r="B469" s="291" t="s">
        <v>1262</v>
      </c>
      <c r="C469" s="289" t="s">
        <v>1263</v>
      </c>
      <c r="D469" s="511"/>
    </row>
    <row r="470" spans="1:4" ht="25.5">
      <c r="A470" s="289" t="s">
        <v>1264</v>
      </c>
      <c r="B470" s="291" t="s">
        <v>1265</v>
      </c>
      <c r="C470" s="289" t="s">
        <v>1266</v>
      </c>
      <c r="D470" s="511"/>
    </row>
    <row r="471" spans="1:4">
      <c r="A471" s="289" t="s">
        <v>1029</v>
      </c>
      <c r="B471" s="291" t="s">
        <v>1030</v>
      </c>
      <c r="C471" s="289" t="s">
        <v>1031</v>
      </c>
      <c r="D471" s="511"/>
    </row>
    <row r="472" spans="1:4" ht="13.5" thickBot="1">
      <c r="A472" s="627" t="s">
        <v>1267</v>
      </c>
      <c r="B472" s="629"/>
      <c r="C472" s="628"/>
      <c r="D472" s="511"/>
    </row>
    <row r="473" spans="1:4">
      <c r="A473" s="289" t="s">
        <v>1131</v>
      </c>
      <c r="B473" s="291" t="s">
        <v>1132</v>
      </c>
      <c r="C473" s="289" t="s">
        <v>1133</v>
      </c>
      <c r="D473" s="511"/>
    </row>
    <row r="474" spans="1:4" ht="25.5">
      <c r="A474" s="289" t="str">
        <f>"za rok obrotowy od " &amp;dzbo &amp;" do " &amp;dzb</f>
        <v>za rok obrotowy od 01.01.2024 do 31.12.2024</v>
      </c>
      <c r="B474" s="291" t="str">
        <f>"für das Geschäftsjahr vom " &amp;dzbo &amp;" bis zum " &amp;dzb</f>
        <v>für das Geschäftsjahr vom 01.01.2024 bis zum 31.12.2024</v>
      </c>
      <c r="C474" s="289" t="str">
        <f>"for the financial year from " &amp;dzbo &amp;" to " &amp;dzb</f>
        <v>for the financial year from 01.01.2024 to 31.12.2024</v>
      </c>
      <c r="D474" s="511"/>
    </row>
    <row r="475" spans="1:4">
      <c r="A475" s="289" t="s">
        <v>1268</v>
      </c>
      <c r="B475" s="291" t="s">
        <v>1269</v>
      </c>
      <c r="C475" s="289" t="s">
        <v>1270</v>
      </c>
      <c r="D475" s="511"/>
    </row>
    <row r="476" spans="1:4">
      <c r="A476" s="289" t="s">
        <v>829</v>
      </c>
      <c r="B476" s="291" t="s">
        <v>830</v>
      </c>
      <c r="C476" s="289" t="s">
        <v>1271</v>
      </c>
      <c r="D476" s="511"/>
    </row>
    <row r="477" spans="1:4" ht="25.5">
      <c r="A477" s="521" t="s">
        <v>1272</v>
      </c>
      <c r="B477" s="291" t="s">
        <v>1273</v>
      </c>
      <c r="C477" s="289" t="s">
        <v>1274</v>
      </c>
      <c r="D477" s="511"/>
    </row>
    <row r="478" spans="1:4">
      <c r="A478" s="289" t="s">
        <v>1140</v>
      </c>
      <c r="B478" s="291" t="s">
        <v>1141</v>
      </c>
      <c r="C478" s="289" t="s">
        <v>1275</v>
      </c>
      <c r="D478" s="511"/>
    </row>
    <row r="479" spans="1:4">
      <c r="A479" s="521" t="s">
        <v>1143</v>
      </c>
      <c r="B479" s="291" t="s">
        <v>1144</v>
      </c>
      <c r="C479" s="289" t="s">
        <v>1276</v>
      </c>
      <c r="D479" s="511"/>
    </row>
    <row r="480" spans="1:4">
      <c r="A480" s="521" t="s">
        <v>1152</v>
      </c>
      <c r="B480" s="291" t="s">
        <v>1277</v>
      </c>
      <c r="C480" s="289" t="s">
        <v>1278</v>
      </c>
      <c r="D480" s="511"/>
    </row>
    <row r="481" spans="1:4" ht="25.5">
      <c r="A481" s="521" t="s">
        <v>1279</v>
      </c>
      <c r="B481" s="291" t="s">
        <v>1280</v>
      </c>
      <c r="C481" s="289" t="s">
        <v>1281</v>
      </c>
      <c r="D481" s="511"/>
    </row>
    <row r="482" spans="1:4">
      <c r="A482" s="289" t="s">
        <v>1282</v>
      </c>
      <c r="B482" s="291" t="s">
        <v>1243</v>
      </c>
      <c r="C482" s="289" t="s">
        <v>1283</v>
      </c>
      <c r="D482" s="511"/>
    </row>
    <row r="483" spans="1:4" ht="25.5">
      <c r="A483" s="289" t="s">
        <v>1284</v>
      </c>
      <c r="B483" s="291" t="s">
        <v>1285</v>
      </c>
      <c r="C483" s="289" t="s">
        <v>1286</v>
      </c>
      <c r="D483" s="511"/>
    </row>
    <row r="484" spans="1:4">
      <c r="A484" s="521" t="s">
        <v>1181</v>
      </c>
      <c r="B484" s="291" t="s">
        <v>1182</v>
      </c>
      <c r="C484" s="289" t="s">
        <v>1183</v>
      </c>
      <c r="D484" s="511"/>
    </row>
    <row r="485" spans="1:4">
      <c r="A485" s="289" t="s">
        <v>1287</v>
      </c>
      <c r="B485" s="291" t="s">
        <v>1288</v>
      </c>
      <c r="C485" s="289" t="s">
        <v>1289</v>
      </c>
      <c r="D485" s="511"/>
    </row>
    <row r="486" spans="1:4">
      <c r="A486" s="289" t="s">
        <v>1290</v>
      </c>
      <c r="B486" s="291" t="s">
        <v>1291</v>
      </c>
      <c r="C486" s="289" t="s">
        <v>1292</v>
      </c>
      <c r="D486" s="511"/>
    </row>
    <row r="487" spans="1:4">
      <c r="A487" s="289" t="s">
        <v>1293</v>
      </c>
      <c r="B487" s="291" t="s">
        <v>1294</v>
      </c>
      <c r="C487" s="289" t="s">
        <v>1295</v>
      </c>
      <c r="D487" s="511"/>
    </row>
    <row r="488" spans="1:4" ht="13.5" thickBot="1">
      <c r="A488" s="627" t="s">
        <v>1296</v>
      </c>
      <c r="B488" s="629"/>
      <c r="C488" s="628"/>
      <c r="D488" s="511"/>
    </row>
    <row r="489" spans="1:4">
      <c r="A489" s="289" t="s">
        <v>1297</v>
      </c>
      <c r="B489" s="291" t="s">
        <v>1298</v>
      </c>
      <c r="C489" s="289" t="s">
        <v>1299</v>
      </c>
      <c r="D489" s="511"/>
    </row>
    <row r="490" spans="1:4">
      <c r="A490" s="289" t="s">
        <v>1300</v>
      </c>
      <c r="B490" s="291" t="s">
        <v>1301</v>
      </c>
      <c r="C490" s="289" t="s">
        <v>1302</v>
      </c>
      <c r="D490" s="511"/>
    </row>
    <row r="491" spans="1:4" ht="25.5">
      <c r="A491" s="289" t="s">
        <v>1303</v>
      </c>
      <c r="B491" s="291" t="s">
        <v>1304</v>
      </c>
      <c r="C491" s="289" t="s">
        <v>1305</v>
      </c>
      <c r="D491" s="511"/>
    </row>
    <row r="492" spans="1:4">
      <c r="A492" s="289" t="s">
        <v>1029</v>
      </c>
      <c r="B492" s="291" t="s">
        <v>1030</v>
      </c>
      <c r="C492" s="289" t="s">
        <v>1306</v>
      </c>
      <c r="D492" s="511"/>
    </row>
    <row r="493" spans="1:4">
      <c r="A493" s="289" t="s">
        <v>1307</v>
      </c>
      <c r="B493" s="291" t="s">
        <v>1308</v>
      </c>
      <c r="C493" s="289" t="s">
        <v>1309</v>
      </c>
      <c r="D493" s="511"/>
    </row>
    <row r="494" spans="1:4">
      <c r="A494" s="289" t="s">
        <v>451</v>
      </c>
      <c r="B494" s="291" t="s">
        <v>452</v>
      </c>
      <c r="C494" s="289" t="s">
        <v>1310</v>
      </c>
      <c r="D494" s="511"/>
    </row>
    <row r="495" spans="1:4">
      <c r="A495" s="289" t="s">
        <v>1311</v>
      </c>
      <c r="B495" s="291" t="s">
        <v>1312</v>
      </c>
      <c r="C495" s="289" t="s">
        <v>1313</v>
      </c>
      <c r="D495" s="511"/>
    </row>
    <row r="496" spans="1:4">
      <c r="A496" s="289" t="s">
        <v>1314</v>
      </c>
      <c r="B496" s="291" t="s">
        <v>1315</v>
      </c>
      <c r="C496" s="289" t="s">
        <v>1316</v>
      </c>
      <c r="D496" s="511"/>
    </row>
    <row r="497" spans="1:4">
      <c r="A497" s="289" t="s">
        <v>1317</v>
      </c>
      <c r="B497" s="291" t="s">
        <v>1318</v>
      </c>
      <c r="C497" s="289" t="s">
        <v>1319</v>
      </c>
      <c r="D497" s="511"/>
    </row>
    <row r="498" spans="1:4" ht="25.5">
      <c r="A498" s="289" t="s">
        <v>1320</v>
      </c>
      <c r="B498" s="291" t="s">
        <v>1321</v>
      </c>
      <c r="C498" s="289" t="s">
        <v>1322</v>
      </c>
      <c r="D498" s="511"/>
    </row>
    <row r="499" spans="1:4">
      <c r="A499" s="289" t="s">
        <v>1323</v>
      </c>
      <c r="B499" s="291" t="s">
        <v>1324</v>
      </c>
      <c r="C499" s="289" t="s">
        <v>1325</v>
      </c>
      <c r="D499" s="511"/>
    </row>
    <row r="500" spans="1:4">
      <c r="A500" s="289" t="s">
        <v>1326</v>
      </c>
      <c r="B500" s="291" t="s">
        <v>1327</v>
      </c>
      <c r="C500" s="289" t="s">
        <v>1328</v>
      </c>
      <c r="D500" s="511"/>
    </row>
    <row r="501" spans="1:4" ht="25.5">
      <c r="A501" s="289" t="s">
        <v>1329</v>
      </c>
      <c r="B501" s="291" t="s">
        <v>1330</v>
      </c>
      <c r="C501" s="289" t="s">
        <v>1331</v>
      </c>
      <c r="D501" s="511"/>
    </row>
    <row r="502" spans="1:4" ht="25.5">
      <c r="A502" s="289" t="s">
        <v>1332</v>
      </c>
      <c r="B502" s="291" t="s">
        <v>1333</v>
      </c>
      <c r="C502" s="289" t="s">
        <v>1334</v>
      </c>
      <c r="D502" s="511"/>
    </row>
    <row r="503" spans="1:4">
      <c r="A503" s="289" t="s">
        <v>1335</v>
      </c>
      <c r="B503" s="291" t="s">
        <v>1336</v>
      </c>
      <c r="C503" s="289" t="s">
        <v>1337</v>
      </c>
      <c r="D503" s="511"/>
    </row>
    <row r="504" spans="1:4" ht="25.5">
      <c r="A504" s="289" t="s">
        <v>1338</v>
      </c>
      <c r="B504" s="291" t="s">
        <v>1339</v>
      </c>
      <c r="C504" s="289" t="s">
        <v>1340</v>
      </c>
      <c r="D504" s="511"/>
    </row>
    <row r="505" spans="1:4" ht="25.5">
      <c r="A505" s="289" t="s">
        <v>1341</v>
      </c>
      <c r="B505" s="514" t="s">
        <v>1342</v>
      </c>
      <c r="C505" s="289" t="s">
        <v>1343</v>
      </c>
      <c r="D505" s="511"/>
    </row>
    <row r="506" spans="1:4">
      <c r="A506" s="289" t="s">
        <v>1344</v>
      </c>
      <c r="B506" s="514" t="s">
        <v>1345</v>
      </c>
      <c r="C506" s="289" t="s">
        <v>1346</v>
      </c>
      <c r="D506" s="511"/>
    </row>
    <row r="507" spans="1:4" ht="38.25">
      <c r="A507" s="289" t="s">
        <v>1347</v>
      </c>
      <c r="B507" s="514" t="s">
        <v>1348</v>
      </c>
      <c r="C507" s="289" t="s">
        <v>1349</v>
      </c>
      <c r="D507" s="511"/>
    </row>
    <row r="508" spans="1:4" ht="38.25">
      <c r="A508" s="289" t="s">
        <v>1350</v>
      </c>
      <c r="B508" s="514" t="s">
        <v>1351</v>
      </c>
      <c r="C508" s="289" t="s">
        <v>1352</v>
      </c>
    </row>
    <row r="509" spans="1:4">
      <c r="A509" s="289" t="s">
        <v>1353</v>
      </c>
      <c r="B509" s="514" t="s">
        <v>1354</v>
      </c>
      <c r="C509" s="289" t="s">
        <v>1355</v>
      </c>
      <c r="D509" s="511"/>
    </row>
    <row r="510" spans="1:4">
      <c r="A510" s="289" t="s">
        <v>882</v>
      </c>
      <c r="B510" s="514" t="s">
        <v>883</v>
      </c>
      <c r="C510" s="289" t="s">
        <v>1356</v>
      </c>
      <c r="D510" s="511"/>
    </row>
    <row r="511" spans="1:4">
      <c r="A511" s="289" t="s">
        <v>897</v>
      </c>
      <c r="B511" s="514" t="s">
        <v>898</v>
      </c>
      <c r="C511" s="289" t="s">
        <v>1357</v>
      </c>
      <c r="D511" s="511"/>
    </row>
    <row r="512" spans="1:4">
      <c r="A512" s="289" t="s">
        <v>1358</v>
      </c>
      <c r="B512" s="291" t="s">
        <v>1359</v>
      </c>
      <c r="C512" s="289" t="s">
        <v>1360</v>
      </c>
      <c r="D512" s="511"/>
    </row>
    <row r="513" spans="1:4">
      <c r="A513" s="289" t="s">
        <v>1361</v>
      </c>
      <c r="B513" s="514" t="s">
        <v>1362</v>
      </c>
      <c r="C513" s="289" t="s">
        <v>1363</v>
      </c>
      <c r="D513" s="511"/>
    </row>
    <row r="514" spans="1:4">
      <c r="A514" s="289" t="s">
        <v>1364</v>
      </c>
      <c r="B514" s="514" t="s">
        <v>1365</v>
      </c>
      <c r="C514" s="289" t="s">
        <v>1366</v>
      </c>
      <c r="D514" s="511"/>
    </row>
    <row r="515" spans="1:4">
      <c r="A515" s="289" t="s">
        <v>1367</v>
      </c>
      <c r="B515" s="514" t="s">
        <v>1368</v>
      </c>
      <c r="C515" s="289" t="s">
        <v>1369</v>
      </c>
      <c r="D515" s="511"/>
    </row>
    <row r="516" spans="1:4" ht="25.5">
      <c r="A516" s="289" t="s">
        <v>1370</v>
      </c>
      <c r="B516" s="291" t="s">
        <v>1371</v>
      </c>
      <c r="C516" s="289" t="s">
        <v>1372</v>
      </c>
      <c r="D516" s="511"/>
    </row>
    <row r="517" spans="1:4" ht="25.5">
      <c r="A517" s="289" t="s">
        <v>1373</v>
      </c>
      <c r="B517" s="291" t="s">
        <v>1374</v>
      </c>
      <c r="C517" s="289" t="s">
        <v>1375</v>
      </c>
      <c r="D517" s="511"/>
    </row>
    <row r="518" spans="1:4">
      <c r="A518" s="289" t="s">
        <v>1376</v>
      </c>
      <c r="B518" s="291" t="s">
        <v>1377</v>
      </c>
      <c r="C518" s="289" t="s">
        <v>1378</v>
      </c>
      <c r="D518" s="511"/>
    </row>
    <row r="519" spans="1:4" ht="38.25">
      <c r="A519" s="289" t="s">
        <v>1379</v>
      </c>
      <c r="B519" s="514" t="s">
        <v>1380</v>
      </c>
      <c r="C519" s="289" t="s">
        <v>1381</v>
      </c>
      <c r="D519" s="511"/>
    </row>
    <row r="520" spans="1:4" ht="25.5">
      <c r="A520" s="289" t="s">
        <v>1382</v>
      </c>
      <c r="B520" s="514" t="s">
        <v>1383</v>
      </c>
      <c r="C520" s="289" t="s">
        <v>1384</v>
      </c>
      <c r="D520" s="511"/>
    </row>
    <row r="521" spans="1:4">
      <c r="A521" s="289" t="s">
        <v>1385</v>
      </c>
      <c r="B521" s="514" t="s">
        <v>1386</v>
      </c>
      <c r="C521" s="289" t="s">
        <v>1387</v>
      </c>
      <c r="D521" s="511"/>
    </row>
    <row r="522" spans="1:4">
      <c r="A522" s="289" t="s">
        <v>1388</v>
      </c>
      <c r="B522" s="291" t="s">
        <v>1389</v>
      </c>
      <c r="C522" s="289" t="s">
        <v>1390</v>
      </c>
      <c r="D522" s="511"/>
    </row>
    <row r="523" spans="1:4">
      <c r="A523" s="289" t="s">
        <v>1391</v>
      </c>
      <c r="B523" s="514" t="s">
        <v>1392</v>
      </c>
      <c r="C523" s="289" t="s">
        <v>1393</v>
      </c>
      <c r="D523" s="511"/>
    </row>
    <row r="524" spans="1:4" ht="25.5">
      <c r="A524" s="289" t="s">
        <v>1394</v>
      </c>
      <c r="B524" s="291" t="s">
        <v>1395</v>
      </c>
      <c r="C524" s="289" t="s">
        <v>1396</v>
      </c>
      <c r="D524" s="511"/>
    </row>
    <row r="525" spans="1:4" ht="25.5">
      <c r="A525" s="289" t="s">
        <v>1397</v>
      </c>
      <c r="B525" s="514" t="s">
        <v>1398</v>
      </c>
      <c r="C525" s="289" t="s">
        <v>1399</v>
      </c>
      <c r="D525" s="511"/>
    </row>
    <row r="526" spans="1:4" ht="25.5">
      <c r="A526" s="289" t="s">
        <v>1400</v>
      </c>
      <c r="B526" s="514" t="s">
        <v>1401</v>
      </c>
      <c r="C526" s="289" t="s">
        <v>1402</v>
      </c>
      <c r="D526" s="511"/>
    </row>
    <row r="527" spans="1:4" ht="51">
      <c r="A527" s="289" t="s">
        <v>1403</v>
      </c>
      <c r="B527" s="291" t="s">
        <v>1404</v>
      </c>
      <c r="C527" s="289" t="s">
        <v>1405</v>
      </c>
      <c r="D527" s="511"/>
    </row>
    <row r="528" spans="1:4">
      <c r="A528" s="289" t="s">
        <v>1406</v>
      </c>
      <c r="B528" s="514" t="s">
        <v>1071</v>
      </c>
      <c r="C528" s="289" t="s">
        <v>1407</v>
      </c>
      <c r="D528" s="511"/>
    </row>
    <row r="529" spans="1:4">
      <c r="A529" s="289" t="s">
        <v>1408</v>
      </c>
      <c r="B529" s="514" t="s">
        <v>1409</v>
      </c>
      <c r="C529" s="289" t="s">
        <v>1410</v>
      </c>
      <c r="D529" s="511"/>
    </row>
    <row r="530" spans="1:4" ht="25.5">
      <c r="A530" s="289" t="s">
        <v>1411</v>
      </c>
      <c r="B530" s="514" t="s">
        <v>1412</v>
      </c>
      <c r="C530" s="289" t="s">
        <v>1413</v>
      </c>
      <c r="D530" s="511"/>
    </row>
    <row r="531" spans="1:4">
      <c r="A531" s="289" t="s">
        <v>1414</v>
      </c>
      <c r="B531" s="514" t="s">
        <v>1415</v>
      </c>
      <c r="C531" s="289" t="s">
        <v>1416</v>
      </c>
      <c r="D531" s="511"/>
    </row>
    <row r="532" spans="1:4" ht="25.5">
      <c r="A532" s="289" t="s">
        <v>1417</v>
      </c>
      <c r="B532" s="514" t="s">
        <v>1418</v>
      </c>
      <c r="C532" s="289" t="s">
        <v>1419</v>
      </c>
      <c r="D532" s="511"/>
    </row>
    <row r="533" spans="1:4" ht="25.5">
      <c r="A533" s="289" t="s">
        <v>1420</v>
      </c>
      <c r="B533" s="514" t="s">
        <v>1421</v>
      </c>
      <c r="C533" s="289" t="s">
        <v>1422</v>
      </c>
      <c r="D533" s="511"/>
    </row>
    <row r="534" spans="1:4">
      <c r="A534" s="289" t="s">
        <v>1423</v>
      </c>
      <c r="B534" s="514" t="s">
        <v>1424</v>
      </c>
      <c r="C534" s="289" t="s">
        <v>1425</v>
      </c>
      <c r="D534" s="511"/>
    </row>
    <row r="535" spans="1:4">
      <c r="A535" s="289" t="s">
        <v>1426</v>
      </c>
      <c r="B535" s="291" t="s">
        <v>1427</v>
      </c>
      <c r="C535" s="289" t="s">
        <v>1428</v>
      </c>
      <c r="D535" s="511"/>
    </row>
    <row r="536" spans="1:4">
      <c r="A536" s="289" t="s">
        <v>1429</v>
      </c>
      <c r="B536" s="291" t="s">
        <v>1430</v>
      </c>
      <c r="C536" s="289" t="s">
        <v>1431</v>
      </c>
      <c r="D536" s="511"/>
    </row>
    <row r="537" spans="1:4" ht="25.5">
      <c r="A537" s="289" t="s">
        <v>1432</v>
      </c>
      <c r="B537" s="514" t="s">
        <v>1433</v>
      </c>
      <c r="C537" s="289" t="s">
        <v>1434</v>
      </c>
      <c r="D537" s="511"/>
    </row>
    <row r="538" spans="1:4">
      <c r="A538" s="289" t="s">
        <v>1435</v>
      </c>
      <c r="B538" s="291" t="s">
        <v>1368</v>
      </c>
      <c r="C538" s="289" t="s">
        <v>1436</v>
      </c>
      <c r="D538" s="511"/>
    </row>
    <row r="539" spans="1:4" ht="25.5">
      <c r="A539" s="289" t="s">
        <v>1437</v>
      </c>
      <c r="B539" s="514" t="s">
        <v>1438</v>
      </c>
      <c r="C539" s="289" t="s">
        <v>1439</v>
      </c>
      <c r="D539" s="511"/>
    </row>
    <row r="540" spans="1:4" ht="25.5">
      <c r="A540" s="289" t="s">
        <v>1440</v>
      </c>
      <c r="B540" s="514" t="s">
        <v>1441</v>
      </c>
      <c r="C540" s="289" t="s">
        <v>1442</v>
      </c>
      <c r="D540" s="511"/>
    </row>
    <row r="541" spans="1:4">
      <c r="A541" s="289" t="s">
        <v>1443</v>
      </c>
      <c r="B541" s="291" t="s">
        <v>1444</v>
      </c>
      <c r="C541" s="289" t="s">
        <v>1445</v>
      </c>
      <c r="D541" s="511"/>
    </row>
    <row r="542" spans="1:4" ht="25.5">
      <c r="A542" s="289" t="s">
        <v>1446</v>
      </c>
      <c r="B542" s="291" t="s">
        <v>1447</v>
      </c>
      <c r="C542" s="289" t="s">
        <v>1448</v>
      </c>
      <c r="D542" s="511"/>
    </row>
    <row r="543" spans="1:4" ht="25.5">
      <c r="A543" s="289" t="s">
        <v>1449</v>
      </c>
      <c r="B543" s="291" t="s">
        <v>1450</v>
      </c>
      <c r="C543" s="289" t="s">
        <v>1451</v>
      </c>
      <c r="D543" s="511"/>
    </row>
    <row r="544" spans="1:4" ht="25.5">
      <c r="A544" s="289" t="s">
        <v>1452</v>
      </c>
      <c r="B544" s="514" t="s">
        <v>1453</v>
      </c>
      <c r="C544" s="289" t="s">
        <v>1454</v>
      </c>
      <c r="D544" s="511"/>
    </row>
    <row r="545" spans="1:4" ht="25.5">
      <c r="A545" s="289" t="s">
        <v>1455</v>
      </c>
      <c r="B545" s="514" t="s">
        <v>1456</v>
      </c>
      <c r="C545" s="289" t="s">
        <v>1457</v>
      </c>
      <c r="D545" s="511"/>
    </row>
    <row r="546" spans="1:4">
      <c r="A546" s="289" t="s">
        <v>1458</v>
      </c>
      <c r="B546" s="291" t="s">
        <v>1459</v>
      </c>
      <c r="C546" s="289" t="s">
        <v>1460</v>
      </c>
      <c r="D546" s="511"/>
    </row>
    <row r="547" spans="1:4" ht="13.5" thickBot="1">
      <c r="A547" s="627" t="s">
        <v>1461</v>
      </c>
      <c r="B547" s="629"/>
      <c r="C547" s="628"/>
      <c r="D547" s="511"/>
    </row>
    <row r="548" spans="1:4">
      <c r="A548" s="289" t="s">
        <v>1462</v>
      </c>
      <c r="B548" s="291" t="s">
        <v>1463</v>
      </c>
      <c r="C548" s="289" t="s">
        <v>1464</v>
      </c>
      <c r="D548" s="511"/>
    </row>
    <row r="549" spans="1:4">
      <c r="A549" s="289" t="s">
        <v>1465</v>
      </c>
      <c r="B549" s="291" t="s">
        <v>1466</v>
      </c>
      <c r="C549" s="289" t="s">
        <v>1467</v>
      </c>
      <c r="D549" s="511"/>
    </row>
    <row r="550" spans="1:4" ht="25.5">
      <c r="A550" s="289" t="s">
        <v>1468</v>
      </c>
      <c r="B550" s="291" t="s">
        <v>1469</v>
      </c>
      <c r="C550" s="289" t="s">
        <v>1470</v>
      </c>
      <c r="D550" s="511"/>
    </row>
    <row r="551" spans="1:4">
      <c r="A551" s="289" t="s">
        <v>1471</v>
      </c>
      <c r="B551" s="291" t="s">
        <v>1472</v>
      </c>
      <c r="C551" s="289" t="s">
        <v>1473</v>
      </c>
      <c r="D551" s="511"/>
    </row>
    <row r="552" spans="1:4">
      <c r="A552" s="289" t="s">
        <v>1474</v>
      </c>
      <c r="B552" s="291" t="s">
        <v>1475</v>
      </c>
      <c r="C552" s="289" t="s">
        <v>1476</v>
      </c>
      <c r="D552" s="511"/>
    </row>
    <row r="553" spans="1:4" ht="25.5">
      <c r="A553" s="289" t="s">
        <v>1477</v>
      </c>
      <c r="B553" s="291" t="s">
        <v>1478</v>
      </c>
      <c r="C553" s="289" t="s">
        <v>1479</v>
      </c>
      <c r="D553" s="511"/>
    </row>
    <row r="554" spans="1:4">
      <c r="A554" s="289" t="s">
        <v>1480</v>
      </c>
      <c r="B554" s="291" t="s">
        <v>1481</v>
      </c>
      <c r="C554" s="289" t="s">
        <v>1482</v>
      </c>
      <c r="D554" s="511"/>
    </row>
    <row r="555" spans="1:4" ht="25.5">
      <c r="A555" s="289" t="s">
        <v>1483</v>
      </c>
      <c r="B555" s="291" t="s">
        <v>1484</v>
      </c>
      <c r="C555" s="289" t="s">
        <v>1485</v>
      </c>
      <c r="D555" s="511"/>
    </row>
    <row r="556" spans="1:4" ht="13.5" thickBot="1">
      <c r="A556" s="627" t="s">
        <v>1486</v>
      </c>
      <c r="B556" s="629"/>
      <c r="C556" s="628"/>
      <c r="D556" s="511"/>
    </row>
    <row r="557" spans="1:4" ht="25.5">
      <c r="A557" s="289" t="s">
        <v>1487</v>
      </c>
      <c r="B557" s="291" t="s">
        <v>1488</v>
      </c>
      <c r="C557" s="289" t="s">
        <v>1489</v>
      </c>
      <c r="D557" s="511"/>
    </row>
    <row r="558" spans="1:4" ht="25.5">
      <c r="A558" s="289" t="s">
        <v>1490</v>
      </c>
      <c r="B558" s="291" t="s">
        <v>1491</v>
      </c>
      <c r="C558" s="289" t="s">
        <v>1492</v>
      </c>
      <c r="D558" s="511"/>
    </row>
    <row r="559" spans="1:4" ht="25.5">
      <c r="A559" s="289" t="s">
        <v>1493</v>
      </c>
      <c r="B559" s="291" t="s">
        <v>1494</v>
      </c>
      <c r="C559" s="289" t="s">
        <v>1495</v>
      </c>
      <c r="D559" s="511"/>
    </row>
    <row r="560" spans="1:4">
      <c r="A560" s="289" t="s">
        <v>1496</v>
      </c>
      <c r="B560" s="291" t="s">
        <v>1497</v>
      </c>
      <c r="C560" s="289" t="s">
        <v>1498</v>
      </c>
      <c r="D560" s="511"/>
    </row>
    <row r="561" spans="1:4" ht="25.5">
      <c r="A561" s="289" t="s">
        <v>1499</v>
      </c>
      <c r="B561" s="291" t="s">
        <v>1500</v>
      </c>
      <c r="C561" s="289" t="s">
        <v>1501</v>
      </c>
      <c r="D561" s="511"/>
    </row>
    <row r="562" spans="1:4" ht="25.5">
      <c r="A562" s="289" t="s">
        <v>1502</v>
      </c>
      <c r="B562" s="291" t="s">
        <v>1503</v>
      </c>
      <c r="C562" s="289" t="s">
        <v>1504</v>
      </c>
      <c r="D562" s="511"/>
    </row>
    <row r="563" spans="1:4">
      <c r="A563" s="289" t="s">
        <v>1505</v>
      </c>
      <c r="B563" s="291" t="s">
        <v>1506</v>
      </c>
      <c r="C563" s="289" t="s">
        <v>1507</v>
      </c>
      <c r="D563" s="511"/>
    </row>
    <row r="564" spans="1:4">
      <c r="A564" s="289" t="s">
        <v>1508</v>
      </c>
      <c r="B564" s="291" t="s">
        <v>1509</v>
      </c>
      <c r="C564" s="289" t="s">
        <v>1510</v>
      </c>
      <c r="D564" s="511"/>
    </row>
    <row r="565" spans="1:4" ht="25.5">
      <c r="A565" s="289" t="s">
        <v>1511</v>
      </c>
      <c r="B565" s="291" t="s">
        <v>1512</v>
      </c>
      <c r="C565" s="289" t="s">
        <v>1513</v>
      </c>
      <c r="D565" s="511"/>
    </row>
    <row r="566" spans="1:4">
      <c r="A566" s="289" t="s">
        <v>1514</v>
      </c>
      <c r="B566" s="291" t="s">
        <v>1515</v>
      </c>
      <c r="C566" s="289" t="s">
        <v>1516</v>
      </c>
    </row>
    <row r="567" spans="1:4">
      <c r="A567" s="289" t="s">
        <v>1517</v>
      </c>
      <c r="B567" s="291" t="s">
        <v>1518</v>
      </c>
      <c r="C567" s="289" t="s">
        <v>1519</v>
      </c>
    </row>
    <row r="568" spans="1:4">
      <c r="A568" s="289" t="s">
        <v>1520</v>
      </c>
      <c r="B568" s="291" t="s">
        <v>1521</v>
      </c>
      <c r="C568" s="289" t="s">
        <v>1522</v>
      </c>
      <c r="D568" s="95"/>
    </row>
    <row r="569" spans="1:4" ht="25.5">
      <c r="A569" s="289" t="s">
        <v>1523</v>
      </c>
      <c r="B569" s="291" t="s">
        <v>1524</v>
      </c>
      <c r="C569" s="289" t="s">
        <v>1525</v>
      </c>
      <c r="D569" s="95"/>
    </row>
    <row r="570" spans="1:4" ht="25.5">
      <c r="A570" s="289" t="s">
        <v>1526</v>
      </c>
      <c r="B570" s="291" t="s">
        <v>1527</v>
      </c>
      <c r="C570" s="289" t="s">
        <v>1528</v>
      </c>
      <c r="D570" s="95"/>
    </row>
    <row r="571" spans="1:4" ht="25.5">
      <c r="A571" s="289" t="s">
        <v>1529</v>
      </c>
      <c r="B571" s="291" t="s">
        <v>1530</v>
      </c>
      <c r="C571" s="289" t="s">
        <v>1531</v>
      </c>
      <c r="D571" s="95"/>
    </row>
    <row r="572" spans="1:4" ht="25.5">
      <c r="A572" s="289" t="s">
        <v>1532</v>
      </c>
      <c r="B572" s="291" t="s">
        <v>1533</v>
      </c>
      <c r="C572" s="289" t="s">
        <v>1534</v>
      </c>
      <c r="D572" s="95"/>
    </row>
    <row r="573" spans="1:4">
      <c r="A573" s="289" t="s">
        <v>1535</v>
      </c>
      <c r="B573" s="291" t="s">
        <v>1536</v>
      </c>
      <c r="C573" s="289" t="s">
        <v>1537</v>
      </c>
      <c r="D573" s="95"/>
    </row>
    <row r="574" spans="1:4">
      <c r="A574" s="289" t="s">
        <v>1538</v>
      </c>
      <c r="B574" s="291" t="s">
        <v>1539</v>
      </c>
      <c r="C574" s="289" t="s">
        <v>1540</v>
      </c>
      <c r="D574" s="95"/>
    </row>
    <row r="575" spans="1:4">
      <c r="A575" s="289" t="s">
        <v>1541</v>
      </c>
      <c r="B575" s="291" t="s">
        <v>1542</v>
      </c>
      <c r="C575" s="289" t="s">
        <v>1543</v>
      </c>
      <c r="D575" s="95"/>
    </row>
    <row r="576" spans="1:4">
      <c r="A576" s="289" t="s">
        <v>1544</v>
      </c>
      <c r="B576" s="291" t="s">
        <v>1545</v>
      </c>
      <c r="C576" s="289" t="s">
        <v>1546</v>
      </c>
      <c r="D576" s="95"/>
    </row>
    <row r="577" spans="1:4">
      <c r="A577" s="289" t="s">
        <v>1547</v>
      </c>
      <c r="B577" s="291" t="s">
        <v>1548</v>
      </c>
      <c r="C577" s="289" t="s">
        <v>1549</v>
      </c>
      <c r="D577" s="95"/>
    </row>
    <row r="578" spans="1:4">
      <c r="A578" s="289" t="s">
        <v>1550</v>
      </c>
      <c r="B578" s="291" t="s">
        <v>1551</v>
      </c>
      <c r="C578" s="289" t="s">
        <v>1552</v>
      </c>
      <c r="D578" s="95"/>
    </row>
    <row r="579" spans="1:4">
      <c r="A579" s="289" t="s">
        <v>1553</v>
      </c>
      <c r="B579" s="291" t="s">
        <v>1554</v>
      </c>
      <c r="C579" s="289" t="s">
        <v>1555</v>
      </c>
      <c r="D579" s="95"/>
    </row>
    <row r="580" spans="1:4" ht="25.5">
      <c r="A580" s="289" t="s">
        <v>1556</v>
      </c>
      <c r="B580" s="291" t="s">
        <v>1557</v>
      </c>
      <c r="C580" s="289" t="s">
        <v>1558</v>
      </c>
      <c r="D580" s="95"/>
    </row>
    <row r="581" spans="1:4">
      <c r="A581" s="289" t="s">
        <v>1559</v>
      </c>
      <c r="B581" s="291" t="s">
        <v>1560</v>
      </c>
      <c r="C581" s="289" t="s">
        <v>1561</v>
      </c>
      <c r="D581" s="95"/>
    </row>
    <row r="582" spans="1:4">
      <c r="A582" s="289" t="s">
        <v>1562</v>
      </c>
      <c r="B582" s="291" t="s">
        <v>1563</v>
      </c>
      <c r="C582" s="289" t="s">
        <v>1564</v>
      </c>
    </row>
    <row r="583" spans="1:4" ht="25.5">
      <c r="A583" s="289" t="s">
        <v>1565</v>
      </c>
      <c r="B583" s="291" t="s">
        <v>1566</v>
      </c>
      <c r="C583" s="289" t="s">
        <v>1567</v>
      </c>
    </row>
    <row r="584" spans="1:4" ht="38.25">
      <c r="A584" s="289" t="s">
        <v>1568</v>
      </c>
      <c r="B584" s="291" t="s">
        <v>1569</v>
      </c>
      <c r="C584" s="289" t="s">
        <v>1570</v>
      </c>
    </row>
    <row r="585" spans="1:4">
      <c r="A585" s="289" t="s">
        <v>1571</v>
      </c>
      <c r="B585" s="291" t="s">
        <v>1572</v>
      </c>
      <c r="C585" s="289" t="s">
        <v>1573</v>
      </c>
      <c r="D585" s="95"/>
    </row>
    <row r="586" spans="1:4">
      <c r="A586" s="289" t="s">
        <v>1574</v>
      </c>
      <c r="B586" s="291" t="s">
        <v>1575</v>
      </c>
      <c r="C586" s="289" t="s">
        <v>1576</v>
      </c>
    </row>
    <row r="587" spans="1:4" ht="25.5">
      <c r="A587" s="289" t="s">
        <v>1577</v>
      </c>
      <c r="B587" s="291" t="s">
        <v>1578</v>
      </c>
      <c r="C587" s="289" t="s">
        <v>1579</v>
      </c>
      <c r="D587" s="95"/>
    </row>
    <row r="588" spans="1:4" ht="25.5">
      <c r="A588" s="289" t="s">
        <v>1580</v>
      </c>
      <c r="B588" s="291" t="s">
        <v>1581</v>
      </c>
      <c r="C588" s="289" t="s">
        <v>1582</v>
      </c>
    </row>
    <row r="589" spans="1:4" ht="25.5">
      <c r="A589" s="289" t="s">
        <v>1583</v>
      </c>
      <c r="B589" s="291" t="s">
        <v>1584</v>
      </c>
      <c r="C589" s="289" t="s">
        <v>1585</v>
      </c>
      <c r="D589" s="95"/>
    </row>
    <row r="590" spans="1:4" ht="25.5">
      <c r="A590" s="289" t="s">
        <v>1586</v>
      </c>
      <c r="B590" s="291" t="s">
        <v>1587</v>
      </c>
      <c r="C590" s="289" t="s">
        <v>1588</v>
      </c>
      <c r="D590" s="95"/>
    </row>
    <row r="591" spans="1:4" ht="25.5">
      <c r="A591" s="289" t="s">
        <v>1589</v>
      </c>
      <c r="B591" s="291" t="s">
        <v>1590</v>
      </c>
      <c r="C591" s="289" t="s">
        <v>1591</v>
      </c>
      <c r="D591" s="95"/>
    </row>
    <row r="592" spans="1:4" ht="25.5">
      <c r="A592" s="289" t="s">
        <v>1592</v>
      </c>
      <c r="B592" s="291" t="s">
        <v>1593</v>
      </c>
      <c r="C592" s="289" t="s">
        <v>1594</v>
      </c>
      <c r="D592" s="95"/>
    </row>
    <row r="593" spans="1:4">
      <c r="A593" s="289" t="s">
        <v>1496</v>
      </c>
      <c r="B593" s="291" t="s">
        <v>1497</v>
      </c>
      <c r="C593" s="289" t="s">
        <v>1498</v>
      </c>
      <c r="D593" s="95"/>
    </row>
    <row r="594" spans="1:4" ht="25.5">
      <c r="A594" s="289" t="s">
        <v>1595</v>
      </c>
      <c r="B594" s="291" t="s">
        <v>1596</v>
      </c>
      <c r="C594" s="289" t="s">
        <v>1597</v>
      </c>
      <c r="D594" s="95"/>
    </row>
    <row r="595" spans="1:4">
      <c r="A595" s="289" t="s">
        <v>1598</v>
      </c>
      <c r="B595" s="291" t="s">
        <v>1599</v>
      </c>
      <c r="C595" s="289" t="s">
        <v>1600</v>
      </c>
      <c r="D595" s="95"/>
    </row>
    <row r="596" spans="1:4">
      <c r="A596" s="515" t="s">
        <v>1601</v>
      </c>
      <c r="B596" s="515" t="s">
        <v>1602</v>
      </c>
      <c r="C596" s="515" t="s">
        <v>1603</v>
      </c>
      <c r="D596" s="95"/>
    </row>
    <row r="597" spans="1:4" ht="25.5">
      <c r="A597" s="289" t="s">
        <v>1604</v>
      </c>
      <c r="B597" s="291" t="s">
        <v>1605</v>
      </c>
      <c r="C597" s="289" t="s">
        <v>1606</v>
      </c>
      <c r="D597" s="95"/>
    </row>
    <row r="598" spans="1:4" ht="25.5">
      <c r="A598" s="289" t="s">
        <v>1607</v>
      </c>
      <c r="B598" s="291" t="s">
        <v>1608</v>
      </c>
      <c r="C598" s="289" t="s">
        <v>1609</v>
      </c>
      <c r="D598" s="95"/>
    </row>
    <row r="599" spans="1:4" ht="25.5">
      <c r="A599" s="289" t="s">
        <v>1610</v>
      </c>
      <c r="B599" s="291" t="s">
        <v>1611</v>
      </c>
      <c r="C599" s="289" t="s">
        <v>1612</v>
      </c>
      <c r="D599" s="95"/>
    </row>
    <row r="600" spans="1:4">
      <c r="A600" s="289" t="s">
        <v>1496</v>
      </c>
      <c r="B600" s="291" t="s">
        <v>1497</v>
      </c>
      <c r="C600" s="289" t="s">
        <v>1498</v>
      </c>
      <c r="D600" s="95"/>
    </row>
    <row r="601" spans="1:4" ht="25.5">
      <c r="A601" s="289" t="s">
        <v>1613</v>
      </c>
      <c r="B601" s="291" t="s">
        <v>1614</v>
      </c>
      <c r="C601" s="289" t="s">
        <v>1615</v>
      </c>
      <c r="D601" s="95"/>
    </row>
    <row r="602" spans="1:4">
      <c r="A602" s="289" t="s">
        <v>1616</v>
      </c>
      <c r="B602" s="291" t="s">
        <v>1617</v>
      </c>
      <c r="C602" s="289" t="s">
        <v>1618</v>
      </c>
      <c r="D602" s="95"/>
    </row>
    <row r="603" spans="1:4">
      <c r="A603" s="289" t="s">
        <v>1619</v>
      </c>
      <c r="B603" s="291" t="s">
        <v>1620</v>
      </c>
      <c r="C603" s="289" t="s">
        <v>1621</v>
      </c>
      <c r="D603" s="95"/>
    </row>
    <row r="604" spans="1:4" ht="25.5">
      <c r="A604" s="289" t="s">
        <v>1622</v>
      </c>
      <c r="B604" s="291" t="s">
        <v>1623</v>
      </c>
      <c r="C604" s="289" t="s">
        <v>1624</v>
      </c>
      <c r="D604" s="95"/>
    </row>
    <row r="605" spans="1:4" ht="25.5">
      <c r="A605" s="289" t="s">
        <v>1625</v>
      </c>
      <c r="B605" s="291" t="s">
        <v>1626</v>
      </c>
      <c r="C605" s="289" t="s">
        <v>1627</v>
      </c>
      <c r="D605" s="95"/>
    </row>
    <row r="606" spans="1:4">
      <c r="A606" s="289" t="s">
        <v>1628</v>
      </c>
      <c r="B606" s="291" t="s">
        <v>1030</v>
      </c>
      <c r="C606" s="289" t="s">
        <v>1031</v>
      </c>
      <c r="D606" s="95"/>
    </row>
    <row r="607" spans="1:4">
      <c r="A607" s="289" t="s">
        <v>1629</v>
      </c>
      <c r="B607" s="291" t="s">
        <v>1630</v>
      </c>
      <c r="C607" s="289" t="s">
        <v>1631</v>
      </c>
      <c r="D607" s="95"/>
    </row>
    <row r="608" spans="1:4">
      <c r="A608" s="289" t="s">
        <v>1632</v>
      </c>
      <c r="B608" s="291" t="s">
        <v>1633</v>
      </c>
      <c r="C608" s="289" t="s">
        <v>1634</v>
      </c>
      <c r="D608" s="95"/>
    </row>
    <row r="609" spans="1:5">
      <c r="A609" s="289" t="s">
        <v>1635</v>
      </c>
      <c r="B609" s="291" t="s">
        <v>1636</v>
      </c>
      <c r="C609" s="289" t="s">
        <v>1637</v>
      </c>
      <c r="D609" s="95"/>
    </row>
    <row r="610" spans="1:5">
      <c r="A610" s="289" t="s">
        <v>1638</v>
      </c>
      <c r="B610" s="291" t="s">
        <v>1639</v>
      </c>
      <c r="C610" s="289" t="s">
        <v>1640</v>
      </c>
      <c r="D610" s="95"/>
    </row>
    <row r="611" spans="1:5" ht="38.25">
      <c r="A611" s="289" t="s">
        <v>1641</v>
      </c>
      <c r="B611" s="291" t="s">
        <v>1642</v>
      </c>
      <c r="C611" s="289" t="s">
        <v>1643</v>
      </c>
      <c r="D611" s="95"/>
    </row>
    <row r="612" spans="1:5">
      <c r="B612" s="291"/>
      <c r="D612" s="95"/>
    </row>
    <row r="613" spans="1:5">
      <c r="A613" s="289" t="s">
        <v>1644</v>
      </c>
      <c r="B613" s="291" t="s">
        <v>1645</v>
      </c>
      <c r="C613" s="289" t="s">
        <v>1646</v>
      </c>
      <c r="D613" s="95"/>
    </row>
    <row r="614" spans="1:5" ht="13.5" thickBot="1">
      <c r="A614" s="627" t="s">
        <v>1647</v>
      </c>
      <c r="B614" s="629"/>
      <c r="C614" s="628"/>
      <c r="D614" s="95"/>
    </row>
    <row r="615" spans="1:5" ht="25.5">
      <c r="A615" s="289" t="s">
        <v>1648</v>
      </c>
      <c r="B615" s="291" t="s">
        <v>1649</v>
      </c>
      <c r="C615" s="289" t="s">
        <v>1650</v>
      </c>
      <c r="D615" s="95"/>
    </row>
    <row r="616" spans="1:5">
      <c r="A616" s="289" t="str">
        <f>"Rok obrotowy "&amp;ro</f>
        <v>Rok obrotowy 2024</v>
      </c>
      <c r="B616" s="289" t="str">
        <f>"Geschäftsjahr "&amp;ro</f>
        <v>Geschäftsjahr 2024</v>
      </c>
      <c r="C616" s="491" t="str">
        <f>"Financial year "&amp;ro</f>
        <v>Financial year 2024</v>
      </c>
      <c r="D616" s="95"/>
    </row>
    <row r="617" spans="1:5">
      <c r="A617" s="289" t="str">
        <f>"Rok obrotowy "&amp;IF(LEN(ro)&gt;4,_xlfn.TEXTBEFORE(ro,"/")-1&amp;"/"&amp;_xlfn.TEXTAFTER(ro,"/")-1,ro-1)</f>
        <v>Rok obrotowy 2023</v>
      </c>
      <c r="B617" s="289" t="str">
        <f>"Geschäftsjahr "&amp;IF(LEN(ro)&gt;4,_xlfn.TEXTBEFORE(ro,"/")-1&amp;"/"&amp;_xlfn.TEXTAFTER(ro,"/")-1,ro-1)</f>
        <v>Geschäftsjahr 2023</v>
      </c>
      <c r="C617" s="491" t="str">
        <f>"Financial year "&amp;IF(LEN(ro)&gt;4,_xlfn.TEXTBEFORE(ro,"/")-1&amp;"/"&amp;_xlfn.TEXTAFTER(ro,"/")-1,ro-1)</f>
        <v>Financial year 2023</v>
      </c>
      <c r="D617" s="516"/>
    </row>
    <row r="618" spans="1:5">
      <c r="A618" s="289" t="s">
        <v>1651</v>
      </c>
      <c r="B618" s="291" t="s">
        <v>1652</v>
      </c>
      <c r="C618" s="289" t="s">
        <v>1653</v>
      </c>
      <c r="D618" s="95"/>
    </row>
    <row r="619" spans="1:5" ht="25.5">
      <c r="A619" s="289" t="s">
        <v>243</v>
      </c>
      <c r="B619" s="291" t="s">
        <v>244</v>
      </c>
      <c r="C619" s="491" t="s">
        <v>1654</v>
      </c>
      <c r="D619" s="95"/>
    </row>
    <row r="620" spans="1:5">
      <c r="A620" s="289" t="s">
        <v>246</v>
      </c>
      <c r="B620" s="291" t="s">
        <v>247</v>
      </c>
      <c r="C620" s="289" t="s">
        <v>248</v>
      </c>
      <c r="D620" s="95"/>
    </row>
    <row r="621" spans="1:5" ht="25.5">
      <c r="A621" s="289" t="s">
        <v>249</v>
      </c>
      <c r="B621" s="291" t="s">
        <v>250</v>
      </c>
      <c r="C621" s="289" t="s">
        <v>251</v>
      </c>
      <c r="D621" s="95"/>
    </row>
    <row r="622" spans="1:5" ht="25.5">
      <c r="A622" s="289" t="s">
        <v>847</v>
      </c>
      <c r="B622" s="291" t="s">
        <v>848</v>
      </c>
      <c r="C622" s="289" t="s">
        <v>849</v>
      </c>
      <c r="D622" s="95"/>
    </row>
    <row r="623" spans="1:5">
      <c r="A623" s="289" t="s">
        <v>1655</v>
      </c>
      <c r="B623" s="291" t="s">
        <v>1656</v>
      </c>
      <c r="C623" s="289" t="s">
        <v>1657</v>
      </c>
      <c r="D623" s="95"/>
    </row>
    <row r="624" spans="1:5">
      <c r="A624" s="289" t="s">
        <v>1658</v>
      </c>
      <c r="B624" s="291" t="s">
        <v>1659</v>
      </c>
      <c r="C624" s="289" t="s">
        <v>1660</v>
      </c>
      <c r="D624" s="95"/>
      <c r="E624" s="513"/>
    </row>
    <row r="625" spans="1:5">
      <c r="A625" s="289" t="s">
        <v>1661</v>
      </c>
      <c r="B625" s="291" t="s">
        <v>1662</v>
      </c>
      <c r="C625" s="289" t="s">
        <v>1663</v>
      </c>
      <c r="D625" s="95"/>
      <c r="E625" s="513"/>
    </row>
    <row r="626" spans="1:5" ht="25.5">
      <c r="A626" s="289" t="str">
        <f>"Stan na 
"&amp;dzbo</f>
        <v>Stan na 
01.01.2024</v>
      </c>
      <c r="B626" s="289" t="str">
        <f>"Stand zum 
"&amp;dzbo</f>
        <v>Stand zum 
01.01.2024</v>
      </c>
      <c r="C626" s="289" t="str">
        <f>"Balance as of 
"&amp;dzbo</f>
        <v>Balance as of 
01.01.2024</v>
      </c>
      <c r="D626" s="95"/>
      <c r="E626" s="513"/>
    </row>
    <row r="627" spans="1:5" ht="25.5">
      <c r="A627" s="289" t="str">
        <f>"Stan na 
"&amp;pdzo</f>
        <v>Stan na 
01.01.2023</v>
      </c>
      <c r="B627" s="289" t="str">
        <f>"Stand zum 
"&amp;pdzo</f>
        <v>Stand zum 
01.01.2023</v>
      </c>
      <c r="C627" s="289" t="str">
        <f>"Balance as of 
"&amp;pdzo</f>
        <v>Balance as of 
01.01.2023</v>
      </c>
      <c r="D627" s="95"/>
      <c r="E627" s="513"/>
    </row>
    <row r="628" spans="1:5">
      <c r="A628" s="289" t="s">
        <v>1664</v>
      </c>
      <c r="B628" s="291" t="s">
        <v>1665</v>
      </c>
      <c r="C628" s="501" t="s">
        <v>1666</v>
      </c>
      <c r="D628" s="95"/>
      <c r="E628" s="513"/>
    </row>
    <row r="629" spans="1:5">
      <c r="A629" s="289" t="s">
        <v>1667</v>
      </c>
      <c r="B629" s="291" t="s">
        <v>1668</v>
      </c>
      <c r="C629" s="289" t="s">
        <v>1669</v>
      </c>
      <c r="D629" s="95"/>
      <c r="E629" s="513"/>
    </row>
    <row r="630" spans="1:5">
      <c r="A630" s="289" t="s">
        <v>1670</v>
      </c>
      <c r="B630" s="291" t="s">
        <v>1671</v>
      </c>
      <c r="C630" s="289" t="s">
        <v>1672</v>
      </c>
      <c r="D630" s="95"/>
      <c r="E630" s="513"/>
    </row>
    <row r="631" spans="1:5">
      <c r="B631" s="291"/>
      <c r="D631" s="95"/>
      <c r="E631" s="513"/>
    </row>
    <row r="632" spans="1:5" ht="25.5">
      <c r="A632" s="289" t="s">
        <v>1673</v>
      </c>
      <c r="B632" s="291" t="s">
        <v>1674</v>
      </c>
      <c r="C632" s="289" t="s">
        <v>1675</v>
      </c>
      <c r="D632" s="95"/>
      <c r="E632" s="513"/>
    </row>
    <row r="633" spans="1:5">
      <c r="A633" s="289" t="s">
        <v>1676</v>
      </c>
      <c r="B633" s="291" t="s">
        <v>1677</v>
      </c>
      <c r="C633" s="501" t="s">
        <v>1678</v>
      </c>
      <c r="D633" s="95"/>
      <c r="E633" s="513"/>
    </row>
    <row r="634" spans="1:5" ht="25.5">
      <c r="A634" s="289" t="s">
        <v>1679</v>
      </c>
      <c r="B634" s="291" t="s">
        <v>1680</v>
      </c>
      <c r="C634" s="501" t="s">
        <v>1681</v>
      </c>
      <c r="D634" s="95"/>
      <c r="E634" s="513"/>
    </row>
    <row r="635" spans="1:5">
      <c r="A635" s="289" t="s">
        <v>1667</v>
      </c>
      <c r="B635" s="291" t="s">
        <v>1668</v>
      </c>
      <c r="C635" s="289" t="s">
        <v>1669</v>
      </c>
      <c r="D635" s="95"/>
      <c r="E635" s="513"/>
    </row>
    <row r="636" spans="1:5">
      <c r="A636" s="289" t="s">
        <v>1676</v>
      </c>
      <c r="B636" s="291" t="s">
        <v>1677</v>
      </c>
      <c r="C636" s="289" t="s">
        <v>1682</v>
      </c>
      <c r="D636" s="95"/>
    </row>
    <row r="637" spans="1:5">
      <c r="A637" s="289" t="s">
        <v>1683</v>
      </c>
      <c r="B637" s="291" t="s">
        <v>1684</v>
      </c>
      <c r="C637" s="289" t="s">
        <v>1685</v>
      </c>
      <c r="D637" s="95"/>
    </row>
    <row r="638" spans="1:5" ht="25.5">
      <c r="A638" s="289" t="str">
        <f>"Stan na 
"&amp;pdz</f>
        <v>Stan na 
31.12.2023</v>
      </c>
      <c r="B638" s="289" t="str">
        <f>"Stand zum 
"&amp;pdz</f>
        <v>Stand zum 
31.12.2023</v>
      </c>
      <c r="C638" s="289" t="str">
        <f>"Balance as of 
"&amp;pdz</f>
        <v>Balance as of 
31.12.2023</v>
      </c>
      <c r="D638" s="95"/>
    </row>
    <row r="639" spans="1:5" ht="25.5">
      <c r="A639" s="289" t="str">
        <f>"Stan na 
"&amp;dzb</f>
        <v>Stan na 
31.12.2024</v>
      </c>
      <c r="B639" s="289" t="str">
        <f>"Stand zum 
"&amp;dzb</f>
        <v>Stand zum 
31.12.2024</v>
      </c>
      <c r="C639" s="289" t="str">
        <f>"Balance as of 
"&amp;dzb</f>
        <v>Balance as of 
31.12.2024</v>
      </c>
      <c r="D639" s="95"/>
    </row>
    <row r="640" spans="1:5">
      <c r="A640" s="289" t="s">
        <v>1686</v>
      </c>
      <c r="B640" s="291" t="s">
        <v>1687</v>
      </c>
      <c r="C640" s="289" t="s">
        <v>1688</v>
      </c>
      <c r="D640" s="95"/>
    </row>
    <row r="641" spans="1:4" ht="31.5" customHeight="1">
      <c r="A641" s="289" t="s">
        <v>1686</v>
      </c>
      <c r="B641" s="291" t="s">
        <v>1687</v>
      </c>
      <c r="C641" s="289" t="s">
        <v>1689</v>
      </c>
      <c r="D641" s="95"/>
    </row>
    <row r="642" spans="1:4">
      <c r="A642" s="289" t="s">
        <v>1690</v>
      </c>
      <c r="B642" s="291" t="s">
        <v>1691</v>
      </c>
      <c r="C642" s="289" t="s">
        <v>1692</v>
      </c>
      <c r="D642" s="95"/>
    </row>
    <row r="643" spans="1:4" ht="25.5">
      <c r="A643" s="289" t="str">
        <f>"Pozycja nie wystąpiła zarówno w roku obrotowym "&amp;ro&amp;", jak i w roku poprzednim."</f>
        <v>Pozycja nie wystąpiła zarówno w roku obrotowym 2024, jak i w roku poprzednim.</v>
      </c>
      <c r="B643" s="289" t="str">
        <f>"Diese Position wurde weder "&amp;ro&amp;" noch im Vorjahr ausgewiesen."</f>
        <v>Diese Position wurde weder 2024 noch im Vorjahr ausgewiesen.</v>
      </c>
      <c r="C643" s="289" t="str">
        <f>"There was no such item either in the FY "&amp;ro&amp;" or in the preceding year."</f>
        <v>There was no such item either in the FY 2024 or in the preceding year.</v>
      </c>
      <c r="D643" s="95"/>
    </row>
    <row r="644" spans="1:4" ht="25.5">
      <c r="A644" s="289" t="str">
        <f>"Pozycja nie wystąpiła w bieżącym roku obrotowym."</f>
        <v>Pozycja nie wystąpiła w bieżącym roku obrotowym.</v>
      </c>
      <c r="B644" s="289" t="str">
        <f>"Diese Position wurde im Geschäftsjahr "&amp;ro&amp;" nicht ausgewiesen."</f>
        <v>Diese Position wurde im Geschäftsjahr 2024 nicht ausgewiesen.</v>
      </c>
      <c r="C644" s="289" t="str">
        <f>"There was no such item in the FY "&amp;ro&amp;"."</f>
        <v>There was no such item in the FY 2024.</v>
      </c>
      <c r="D644" s="95"/>
    </row>
    <row r="645" spans="1:4" ht="13.5" thickBot="1">
      <c r="A645" s="627" t="s">
        <v>9</v>
      </c>
      <c r="B645" s="629"/>
      <c r="C645" s="628"/>
      <c r="D645" s="95"/>
    </row>
    <row r="646" spans="1:4" ht="25.5">
      <c r="A646" s="289" t="s">
        <v>1693</v>
      </c>
      <c r="B646" s="291" t="s">
        <v>1694</v>
      </c>
      <c r="C646" s="289" t="s">
        <v>1695</v>
      </c>
      <c r="D646" s="95"/>
    </row>
    <row r="647" spans="1:4" ht="25.5">
      <c r="A647" s="517" t="s">
        <v>1696</v>
      </c>
      <c r="B647" s="291" t="s">
        <v>854</v>
      </c>
      <c r="C647" s="289" t="s">
        <v>1697</v>
      </c>
      <c r="D647" s="95"/>
    </row>
    <row r="648" spans="1:4" ht="25.5">
      <c r="A648" s="289" t="s">
        <v>1698</v>
      </c>
      <c r="B648" s="291" t="s">
        <v>259</v>
      </c>
      <c r="C648" s="289" t="s">
        <v>1699</v>
      </c>
      <c r="D648" s="95"/>
    </row>
    <row r="649" spans="1:4">
      <c r="A649" s="289" t="s">
        <v>1700</v>
      </c>
      <c r="B649" s="291" t="s">
        <v>1701</v>
      </c>
      <c r="C649" s="289" t="s">
        <v>1702</v>
      </c>
      <c r="D649" s="95"/>
    </row>
    <row r="650" spans="1:4">
      <c r="A650" s="289" t="s">
        <v>1703</v>
      </c>
      <c r="B650" s="291" t="s">
        <v>265</v>
      </c>
      <c r="C650" s="289" t="s">
        <v>1704</v>
      </c>
      <c r="D650" s="95"/>
    </row>
    <row r="651" spans="1:4">
      <c r="A651" s="289" t="s">
        <v>1705</v>
      </c>
      <c r="B651" s="291" t="s">
        <v>1706</v>
      </c>
      <c r="C651" s="289" t="s">
        <v>1707</v>
      </c>
      <c r="D651" s="95"/>
    </row>
    <row r="652" spans="1:4">
      <c r="A652" s="289" t="s">
        <v>858</v>
      </c>
      <c r="B652" s="291" t="s">
        <v>859</v>
      </c>
      <c r="C652" s="289" t="s">
        <v>860</v>
      </c>
      <c r="D652" s="95"/>
    </row>
    <row r="653" spans="1:4">
      <c r="A653" s="289" t="s">
        <v>861</v>
      </c>
      <c r="B653" s="291" t="s">
        <v>862</v>
      </c>
      <c r="C653" s="289" t="s">
        <v>1708</v>
      </c>
      <c r="D653" s="95"/>
    </row>
    <row r="654" spans="1:4" ht="13.5" thickBot="1">
      <c r="A654" s="627" t="s">
        <v>12</v>
      </c>
      <c r="B654" s="629"/>
      <c r="C654" s="628"/>
      <c r="D654" s="95"/>
    </row>
    <row r="655" spans="1:4" ht="25.5">
      <c r="A655" s="289" t="s">
        <v>1709</v>
      </c>
      <c r="B655" s="291" t="s">
        <v>1710</v>
      </c>
      <c r="C655" s="289" t="s">
        <v>1711</v>
      </c>
      <c r="D655" s="95"/>
    </row>
    <row r="656" spans="1:4">
      <c r="A656" s="289" t="s">
        <v>876</v>
      </c>
      <c r="B656" s="291" t="s">
        <v>877</v>
      </c>
      <c r="C656" s="289" t="s">
        <v>1712</v>
      </c>
      <c r="D656" s="95"/>
    </row>
    <row r="657" spans="1:10" ht="25.5">
      <c r="A657" s="289" t="s">
        <v>439</v>
      </c>
      <c r="B657" s="291" t="s">
        <v>440</v>
      </c>
      <c r="C657" s="289" t="s">
        <v>441</v>
      </c>
      <c r="D657" s="95"/>
    </row>
    <row r="658" spans="1:10">
      <c r="A658" s="289" t="s">
        <v>879</v>
      </c>
      <c r="B658" s="291" t="s">
        <v>880</v>
      </c>
      <c r="C658" s="289" t="s">
        <v>881</v>
      </c>
      <c r="D658" s="95"/>
    </row>
    <row r="659" spans="1:10">
      <c r="A659" s="289" t="s">
        <v>903</v>
      </c>
      <c r="B659" s="291" t="s">
        <v>904</v>
      </c>
      <c r="C659" s="289" t="s">
        <v>905</v>
      </c>
      <c r="D659" s="95"/>
    </row>
    <row r="660" spans="1:10" ht="25.5">
      <c r="A660" s="289" t="s">
        <v>1713</v>
      </c>
      <c r="B660" s="291" t="s">
        <v>1714</v>
      </c>
      <c r="C660" s="289" t="s">
        <v>1715</v>
      </c>
      <c r="D660" s="95"/>
    </row>
    <row r="661" spans="1:10" ht="13.5" thickBot="1">
      <c r="A661" s="627" t="s">
        <v>1716</v>
      </c>
      <c r="B661" s="629"/>
      <c r="C661" s="628"/>
      <c r="D661" s="516"/>
      <c r="E661" s="513"/>
    </row>
    <row r="662" spans="1:10" ht="63.75">
      <c r="A662" s="481" t="s">
        <v>1717</v>
      </c>
      <c r="B662" s="481" t="s">
        <v>1718</v>
      </c>
      <c r="C662" s="481" t="s">
        <v>1719</v>
      </c>
      <c r="D662" s="516"/>
      <c r="E662" s="513"/>
    </row>
    <row r="663" spans="1:10">
      <c r="A663" s="289" t="s">
        <v>1720</v>
      </c>
      <c r="B663" s="518" t="s">
        <v>1721</v>
      </c>
      <c r="C663" s="289" t="s">
        <v>1722</v>
      </c>
      <c r="D663" s="516"/>
      <c r="E663" s="513"/>
    </row>
    <row r="664" spans="1:10" ht="25.5">
      <c r="A664" s="289" t="s">
        <v>1723</v>
      </c>
      <c r="B664" s="518" t="s">
        <v>1724</v>
      </c>
      <c r="C664" s="289" t="s">
        <v>1725</v>
      </c>
      <c r="D664" s="516"/>
      <c r="E664" s="513"/>
    </row>
    <row r="665" spans="1:10" ht="25.5">
      <c r="A665" s="291" t="s">
        <v>1726</v>
      </c>
      <c r="B665" s="660" t="s">
        <v>1724</v>
      </c>
      <c r="C665" s="658" t="s">
        <v>1725</v>
      </c>
      <c r="D665" s="516"/>
      <c r="E665" s="513"/>
    </row>
    <row r="666" spans="1:10" ht="51" customHeight="1">
      <c r="A666" s="289" t="s">
        <v>1727</v>
      </c>
      <c r="B666" s="518" t="s">
        <v>1728</v>
      </c>
      <c r="C666" s="289" t="s">
        <v>1722</v>
      </c>
      <c r="E666" s="519"/>
      <c r="F666" s="519"/>
      <c r="G666" s="519"/>
      <c r="H666" s="519"/>
      <c r="I666" s="519"/>
      <c r="J666" s="519"/>
    </row>
    <row r="667" spans="1:10">
      <c r="A667" s="289" t="s">
        <v>1729</v>
      </c>
      <c r="B667" s="518" t="s">
        <v>1730</v>
      </c>
      <c r="C667" s="289" t="s">
        <v>1731</v>
      </c>
      <c r="D667" s="520"/>
      <c r="E667" s="520"/>
      <c r="F667" s="520"/>
      <c r="G667" s="520"/>
      <c r="H667" s="520"/>
      <c r="I667" s="520"/>
      <c r="J667" s="520"/>
    </row>
    <row r="668" spans="1:10" ht="51">
      <c r="A668" s="289" t="s">
        <v>1732</v>
      </c>
      <c r="B668" s="291" t="s">
        <v>1733</v>
      </c>
      <c r="C668" s="289" t="s">
        <v>1734</v>
      </c>
      <c r="D668" s="520"/>
      <c r="E668" s="520"/>
      <c r="F668" s="520"/>
      <c r="G668" s="520"/>
      <c r="H668" s="520"/>
      <c r="I668" s="520"/>
      <c r="J668" s="520"/>
    </row>
    <row r="669" spans="1:10" ht="51">
      <c r="A669" s="289" t="s">
        <v>1735</v>
      </c>
      <c r="B669" s="291" t="s">
        <v>1736</v>
      </c>
      <c r="C669" s="289" t="s">
        <v>1737</v>
      </c>
      <c r="D669" s="520"/>
      <c r="E669" s="520"/>
      <c r="F669" s="520"/>
      <c r="G669" s="520"/>
      <c r="H669" s="520"/>
      <c r="I669" s="520"/>
      <c r="J669" s="520"/>
    </row>
    <row r="670" spans="1:10" ht="51">
      <c r="A670" s="291" t="s">
        <v>1738</v>
      </c>
      <c r="B670" s="659" t="s">
        <v>1736</v>
      </c>
      <c r="C670" s="658" t="s">
        <v>1737</v>
      </c>
      <c r="D670" s="520"/>
      <c r="E670" s="520"/>
      <c r="F670" s="520"/>
      <c r="G670" s="520"/>
      <c r="H670" s="520"/>
      <c r="I670" s="520"/>
      <c r="J670" s="520"/>
    </row>
    <row r="671" spans="1:10" ht="38.25">
      <c r="A671" s="289" t="s">
        <v>1739</v>
      </c>
      <c r="B671" s="291" t="s">
        <v>1740</v>
      </c>
      <c r="C671" s="289" t="s">
        <v>1741</v>
      </c>
      <c r="D671" s="520"/>
      <c r="E671" s="520"/>
      <c r="F671" s="520"/>
      <c r="G671" s="520"/>
      <c r="H671" s="520"/>
      <c r="I671" s="520"/>
      <c r="J671" s="520"/>
    </row>
    <row r="672" spans="1:10">
      <c r="A672" s="289" t="s">
        <v>1742</v>
      </c>
      <c r="B672" s="291" t="s">
        <v>1743</v>
      </c>
      <c r="C672" s="289" t="s">
        <v>1744</v>
      </c>
      <c r="D672" s="95"/>
    </row>
    <row r="673" spans="1:5" ht="25.5">
      <c r="A673" s="289" t="s">
        <v>1745</v>
      </c>
      <c r="B673" s="291" t="s">
        <v>1746</v>
      </c>
      <c r="C673" s="289" t="s">
        <v>1747</v>
      </c>
      <c r="D673" s="95"/>
    </row>
    <row r="674" spans="1:5" ht="76.5">
      <c r="A674" s="289" t="s">
        <v>1748</v>
      </c>
      <c r="B674" s="291" t="s">
        <v>1749</v>
      </c>
      <c r="C674" s="289" t="s">
        <v>1750</v>
      </c>
      <c r="D674" s="516"/>
      <c r="E674" s="486"/>
    </row>
    <row r="675" spans="1:5" ht="51">
      <c r="A675" s="289" t="s">
        <v>1751</v>
      </c>
      <c r="B675" s="291" t="s">
        <v>1752</v>
      </c>
      <c r="C675" s="289" t="s">
        <v>1753</v>
      </c>
      <c r="D675" s="95"/>
    </row>
    <row r="676" spans="1:5" ht="51">
      <c r="A676" s="289" t="s">
        <v>1754</v>
      </c>
      <c r="B676" s="291" t="s">
        <v>1755</v>
      </c>
      <c r="C676" s="289" t="s">
        <v>1756</v>
      </c>
      <c r="D676" s="516"/>
      <c r="E676" s="513"/>
    </row>
    <row r="677" spans="1:5" ht="25.5">
      <c r="A677" s="289" t="s">
        <v>1757</v>
      </c>
      <c r="B677" s="291" t="s">
        <v>1758</v>
      </c>
      <c r="C677" s="289" t="s">
        <v>1759</v>
      </c>
      <c r="D677" s="516"/>
      <c r="E677" s="516"/>
    </row>
    <row r="678" spans="1:5">
      <c r="A678" s="289" t="s">
        <v>1760</v>
      </c>
      <c r="B678" s="291" t="s">
        <v>1761</v>
      </c>
      <c r="C678" s="289" t="s">
        <v>1762</v>
      </c>
      <c r="D678" s="95"/>
      <c r="E678" s="516"/>
    </row>
    <row r="679" spans="1:5">
      <c r="A679" s="289" t="s">
        <v>1763</v>
      </c>
      <c r="B679" s="291" t="s">
        <v>1764</v>
      </c>
      <c r="C679" s="289" t="s">
        <v>1765</v>
      </c>
      <c r="D679" s="95"/>
      <c r="E679" s="516"/>
    </row>
    <row r="680" spans="1:5">
      <c r="A680" s="289" t="s">
        <v>1766</v>
      </c>
      <c r="B680" s="291" t="s">
        <v>1767</v>
      </c>
      <c r="C680" s="289" t="s">
        <v>1768</v>
      </c>
      <c r="D680" s="95"/>
      <c r="E680" s="516"/>
    </row>
    <row r="681" spans="1:5">
      <c r="A681" s="289" t="s">
        <v>1769</v>
      </c>
      <c r="B681" s="291" t="s">
        <v>1770</v>
      </c>
      <c r="C681" s="289" t="s">
        <v>1771</v>
      </c>
      <c r="D681" s="95"/>
      <c r="E681" s="516"/>
    </row>
    <row r="682" spans="1:5" ht="25.5">
      <c r="A682" s="289" t="s">
        <v>1772</v>
      </c>
      <c r="B682" s="291" t="s">
        <v>1773</v>
      </c>
      <c r="C682" s="289" t="s">
        <v>1759</v>
      </c>
      <c r="D682" s="95"/>
      <c r="E682" s="516"/>
    </row>
    <row r="683" spans="1:5">
      <c r="A683" s="289" t="s">
        <v>1774</v>
      </c>
      <c r="B683" s="291" t="s">
        <v>1775</v>
      </c>
      <c r="C683" s="289" t="s">
        <v>1762</v>
      </c>
      <c r="D683" s="95"/>
      <c r="E683" s="516"/>
    </row>
    <row r="684" spans="1:5">
      <c r="A684" s="289" t="s">
        <v>1776</v>
      </c>
      <c r="B684" s="291" t="s">
        <v>1777</v>
      </c>
      <c r="C684" s="289" t="s">
        <v>1765</v>
      </c>
      <c r="D684" s="95"/>
      <c r="E684" s="516"/>
    </row>
    <row r="685" spans="1:5">
      <c r="A685" s="289" t="s">
        <v>1778</v>
      </c>
      <c r="B685" s="291" t="s">
        <v>1779</v>
      </c>
      <c r="C685" s="289" t="s">
        <v>1768</v>
      </c>
      <c r="D685" s="95"/>
      <c r="E685" s="516"/>
    </row>
    <row r="686" spans="1:5">
      <c r="A686" s="289" t="s">
        <v>1769</v>
      </c>
      <c r="B686" s="291" t="s">
        <v>1780</v>
      </c>
      <c r="C686" s="289" t="s">
        <v>1771</v>
      </c>
      <c r="D686" s="95"/>
    </row>
    <row r="687" spans="1:5" ht="51">
      <c r="A687" s="289" t="str">
        <f>"W ciągu roku obrotowego "&amp;ro&amp;", ani do dnia sporządzenia sprawozdania finansowego, nie wystąpiły zmiany w strukturze własności kapitału podstawowego."</f>
        <v>W ciągu roku obrotowego 2024, ani do dnia sporządzenia sprawozdania finansowego, nie wystąpiły zmiany w strukturze własności kapitału podstawowego.</v>
      </c>
      <c r="B687" s="289" t="str">
        <f>"Im Laufe des Geschäftsjahres "&amp;ro&amp;" änderte sich die Eigentumsstruktur des gezeichneten Kapitals nicht."</f>
        <v>Im Laufe des Geschäftsjahres 2024 änderte sich die Eigentumsstruktur des gezeichneten Kapitals nicht.</v>
      </c>
      <c r="C687" s="289" t="str">
        <f>"The share capital ownership structure did not change in the financial year "&amp;ro&amp;"."</f>
        <v>The share capital ownership structure did not change in the financial year 2024.</v>
      </c>
      <c r="D687" s="95"/>
    </row>
    <row r="688" spans="1:5" ht="51">
      <c r="A688" s="289" t="s">
        <v>1781</v>
      </c>
      <c r="B688" s="289" t="s">
        <v>1782</v>
      </c>
      <c r="C688" s="289" t="s">
        <v>1783</v>
      </c>
      <c r="D688" s="95"/>
    </row>
    <row r="689" spans="1:4" ht="63.75">
      <c r="A689" s="289" t="s">
        <v>1784</v>
      </c>
      <c r="B689" s="291" t="s">
        <v>1785</v>
      </c>
      <c r="C689" s="289" t="s">
        <v>1786</v>
      </c>
      <c r="D689" s="95"/>
    </row>
    <row r="690" spans="1:4" ht="25.5">
      <c r="A690" s="289" t="s">
        <v>1787</v>
      </c>
      <c r="B690" s="291" t="s">
        <v>1788</v>
      </c>
      <c r="C690" s="289" t="s">
        <v>1789</v>
      </c>
      <c r="D690" s="95"/>
    </row>
    <row r="691" spans="1:4">
      <c r="A691" s="289" t="s">
        <v>996</v>
      </c>
      <c r="B691" s="291" t="s">
        <v>997</v>
      </c>
      <c r="C691" s="289" t="s">
        <v>998</v>
      </c>
      <c r="D691" s="95"/>
    </row>
    <row r="692" spans="1:4">
      <c r="A692" s="289" t="s">
        <v>1790</v>
      </c>
      <c r="B692" s="291" t="s">
        <v>1791</v>
      </c>
      <c r="C692" s="289" t="s">
        <v>1792</v>
      </c>
      <c r="D692" s="95"/>
    </row>
    <row r="693" spans="1:4">
      <c r="A693" s="289" t="s">
        <v>1793</v>
      </c>
      <c r="B693" s="291" t="s">
        <v>1794</v>
      </c>
      <c r="C693" s="289" t="s">
        <v>1795</v>
      </c>
      <c r="D693" s="95"/>
    </row>
    <row r="694" spans="1:4">
      <c r="A694" s="289" t="s">
        <v>1796</v>
      </c>
      <c r="B694" s="291" t="s">
        <v>1797</v>
      </c>
      <c r="C694" s="289" t="s">
        <v>1798</v>
      </c>
      <c r="D694" s="95"/>
    </row>
    <row r="695" spans="1:4">
      <c r="A695" s="289" t="s">
        <v>1026</v>
      </c>
      <c r="B695" s="291" t="s">
        <v>1027</v>
      </c>
      <c r="C695" s="289" t="s">
        <v>1799</v>
      </c>
      <c r="D695" s="95"/>
    </row>
    <row r="696" spans="1:4">
      <c r="A696" s="289" t="s">
        <v>1029</v>
      </c>
      <c r="B696" s="291" t="s">
        <v>1030</v>
      </c>
      <c r="C696" s="289" t="s">
        <v>1306</v>
      </c>
      <c r="D696" s="95"/>
    </row>
    <row r="697" spans="1:4">
      <c r="A697" s="289" t="s">
        <v>1661</v>
      </c>
      <c r="B697" s="291" t="s">
        <v>1662</v>
      </c>
      <c r="C697" s="289" t="s">
        <v>1663</v>
      </c>
      <c r="D697" s="95"/>
    </row>
    <row r="698" spans="1:4">
      <c r="A698" s="289" t="s">
        <v>1800</v>
      </c>
      <c r="B698" s="291" t="s">
        <v>1497</v>
      </c>
      <c r="C698" s="289" t="s">
        <v>1801</v>
      </c>
      <c r="D698" s="95"/>
    </row>
    <row r="699" spans="1:4" ht="25.5">
      <c r="A699" s="289" t="s">
        <v>1802</v>
      </c>
      <c r="B699" s="291" t="s">
        <v>1803</v>
      </c>
      <c r="C699" s="289" t="s">
        <v>1804</v>
      </c>
      <c r="D699" s="95"/>
    </row>
    <row r="700" spans="1:4">
      <c r="A700" s="289" t="str">
        <f>"Stan na "&amp;dzbo&amp;" po korektach"</f>
        <v>Stan na 01.01.2024 po korektach</v>
      </c>
      <c r="B700" s="289" t="str">
        <f>"Stand zum "&amp;dzbo&amp;" nach Korrekturen"</f>
        <v>Stand zum 01.01.2024 nach Korrekturen</v>
      </c>
      <c r="C700" s="289" t="str">
        <f>"Balance as of "&amp;dzbo&amp;" after corrections"</f>
        <v>Balance as of 01.01.2024 after corrections</v>
      </c>
      <c r="D700" s="95"/>
    </row>
    <row r="701" spans="1:4">
      <c r="A701" s="289" t="str">
        <f>"Stan na "&amp;pdzo&amp;" po korektach"</f>
        <v>Stan na 01.01.2023 po korektach</v>
      </c>
      <c r="B701" s="289" t="str">
        <f>"Stand zum "&amp;pdzo&amp;" nach Korrekturen"</f>
        <v>Stand zum 01.01.2023 nach Korrekturen</v>
      </c>
      <c r="C701" s="289" t="str">
        <f>"Balance as of "&amp;pdzo&amp;" after corrections"</f>
        <v>Balance as of 01.01.2023 after corrections</v>
      </c>
      <c r="D701" s="95"/>
    </row>
    <row r="702" spans="1:4">
      <c r="A702" s="289" t="s">
        <v>1805</v>
      </c>
      <c r="B702" s="291" t="s">
        <v>1806</v>
      </c>
      <c r="C702" s="289" t="s">
        <v>1807</v>
      </c>
      <c r="D702" s="95"/>
    </row>
    <row r="703" spans="1:4">
      <c r="A703" s="289" t="s">
        <v>1808</v>
      </c>
      <c r="B703" s="291" t="s">
        <v>1809</v>
      </c>
      <c r="C703" s="289" t="s">
        <v>1810</v>
      </c>
      <c r="D703" s="95"/>
    </row>
    <row r="704" spans="1:4">
      <c r="A704" s="289" t="s">
        <v>1683</v>
      </c>
      <c r="B704" s="291" t="s">
        <v>1684</v>
      </c>
      <c r="C704" s="289" t="s">
        <v>1747</v>
      </c>
      <c r="D704" s="95"/>
    </row>
    <row r="705" spans="1:4" ht="25.5">
      <c r="A705" s="289" t="s">
        <v>1811</v>
      </c>
      <c r="B705" s="291" t="s">
        <v>1812</v>
      </c>
      <c r="C705" s="289" t="s">
        <v>1813</v>
      </c>
      <c r="D705" s="486"/>
    </row>
    <row r="706" spans="1:4" ht="13.5" thickBot="1">
      <c r="A706" s="627" t="s">
        <v>21</v>
      </c>
      <c r="B706" s="629"/>
      <c r="C706" s="628"/>
      <c r="D706" s="95"/>
    </row>
    <row r="707" spans="1:4">
      <c r="A707" s="289" t="s">
        <v>1038</v>
      </c>
      <c r="B707" s="291" t="s">
        <v>1039</v>
      </c>
      <c r="C707" s="289" t="s">
        <v>1040</v>
      </c>
      <c r="D707" s="95"/>
    </row>
    <row r="708" spans="1:4">
      <c r="A708" s="289" t="s">
        <v>1814</v>
      </c>
      <c r="B708" s="291" t="s">
        <v>1815</v>
      </c>
      <c r="C708" s="289" t="s">
        <v>1816</v>
      </c>
      <c r="D708" s="95"/>
    </row>
    <row r="709" spans="1:4">
      <c r="A709" s="289" t="s">
        <v>1661</v>
      </c>
      <c r="B709" s="291" t="s">
        <v>1662</v>
      </c>
      <c r="C709" s="289" t="s">
        <v>1663</v>
      </c>
      <c r="D709" s="95"/>
    </row>
    <row r="710" spans="1:4">
      <c r="A710" s="289" t="s">
        <v>1805</v>
      </c>
      <c r="B710" s="291" t="s">
        <v>1806</v>
      </c>
      <c r="C710" s="289" t="s">
        <v>1807</v>
      </c>
      <c r="D710" s="95"/>
    </row>
    <row r="711" spans="1:4" ht="25.5">
      <c r="A711" s="289" t="s">
        <v>1817</v>
      </c>
      <c r="B711" s="291" t="s">
        <v>1818</v>
      </c>
      <c r="C711" s="289" t="s">
        <v>1819</v>
      </c>
      <c r="D711" s="95"/>
    </row>
    <row r="712" spans="1:4">
      <c r="A712" s="289" t="s">
        <v>1820</v>
      </c>
      <c r="B712" s="291" t="s">
        <v>1821</v>
      </c>
      <c r="C712" s="289" t="s">
        <v>1822</v>
      </c>
      <c r="D712" s="95"/>
    </row>
    <row r="713" spans="1:4">
      <c r="A713" s="289" t="s">
        <v>1683</v>
      </c>
      <c r="B713" s="291" t="s">
        <v>1684</v>
      </c>
      <c r="C713" s="289" t="s">
        <v>1747</v>
      </c>
      <c r="D713" s="95"/>
    </row>
    <row r="714" spans="1:4">
      <c r="A714" s="289" t="s">
        <v>1655</v>
      </c>
      <c r="B714" s="291" t="s">
        <v>1656</v>
      </c>
      <c r="C714" s="289" t="s">
        <v>1657</v>
      </c>
      <c r="D714" s="95"/>
    </row>
    <row r="715" spans="1:4">
      <c r="A715" s="289" t="str">
        <f>"Stan na "&amp;dzbo</f>
        <v>Stan na 01.01.2024</v>
      </c>
      <c r="B715" s="289" t="str">
        <f>"Stand zum "&amp;dzbo</f>
        <v>Stand zum 01.01.2024</v>
      </c>
      <c r="C715" s="289" t="str">
        <f>"Balance as of "&amp;dzbo</f>
        <v>Balance as of 01.01.2024</v>
      </c>
      <c r="D715" s="95"/>
    </row>
    <row r="716" spans="1:4">
      <c r="A716" s="289" t="str">
        <f>"Stan na "&amp;dzb</f>
        <v>Stan na 31.12.2024</v>
      </c>
      <c r="B716" s="289" t="str">
        <f>"Stand zum "&amp;dzb</f>
        <v>Stand zum 31.12.2024</v>
      </c>
      <c r="C716" s="289" t="str">
        <f>"Balance as of "&amp;dzb</f>
        <v>Balance as of 31.12.2024</v>
      </c>
      <c r="D716" s="95"/>
    </row>
    <row r="717" spans="1:4">
      <c r="A717" s="289" t="str">
        <f>"Stan na "&amp;pdzo</f>
        <v>Stan na 01.01.2023</v>
      </c>
      <c r="B717" s="289" t="str">
        <f>"Stand zum "&amp;pdzo</f>
        <v>Stand zum 01.01.2023</v>
      </c>
      <c r="C717" s="289" t="str">
        <f>"Balance as of "&amp;pdzo</f>
        <v>Balance as of 01.01.2023</v>
      </c>
      <c r="D717" s="95"/>
    </row>
    <row r="718" spans="1:4">
      <c r="A718" s="289" t="str">
        <f>"Stan na "&amp;pdz</f>
        <v>Stan na 31.12.2023</v>
      </c>
      <c r="B718" s="289" t="str">
        <f>"Stand zum "&amp;pdz</f>
        <v>Stand zum 31.12.2023</v>
      </c>
      <c r="C718" s="289" t="str">
        <f>"Balance as of "&amp;pdz</f>
        <v>Balance as of 31.12.2023</v>
      </c>
      <c r="D718" s="95"/>
    </row>
    <row r="719" spans="1:4">
      <c r="A719" s="289" t="s">
        <v>1823</v>
      </c>
      <c r="B719" s="168" t="s">
        <v>1042</v>
      </c>
      <c r="C719" s="508" t="s">
        <v>1043</v>
      </c>
      <c r="D719" s="95"/>
    </row>
    <row r="720" spans="1:4" ht="25.5">
      <c r="A720" s="289" t="s">
        <v>1824</v>
      </c>
      <c r="B720" s="289" t="s">
        <v>1045</v>
      </c>
      <c r="C720" s="289" t="s">
        <v>1825</v>
      </c>
      <c r="D720" s="95"/>
    </row>
    <row r="721" spans="1:4">
      <c r="A721" s="289" t="s">
        <v>1826</v>
      </c>
      <c r="B721" s="289" t="s">
        <v>1827</v>
      </c>
      <c r="C721" s="289" t="s">
        <v>1828</v>
      </c>
      <c r="D721" s="95"/>
    </row>
    <row r="722" spans="1:4" ht="25.5">
      <c r="A722" s="289" t="s">
        <v>1829</v>
      </c>
      <c r="B722" s="289" t="s">
        <v>1830</v>
      </c>
      <c r="C722" s="289" t="s">
        <v>1831</v>
      </c>
      <c r="D722" s="95"/>
    </row>
    <row r="723" spans="1:4" ht="25.5">
      <c r="A723" s="289" t="s">
        <v>1832</v>
      </c>
      <c r="B723" s="289" t="s">
        <v>1833</v>
      </c>
      <c r="C723" s="289" t="s">
        <v>1834</v>
      </c>
      <c r="D723" s="95"/>
    </row>
    <row r="724" spans="1:4" ht="25.5">
      <c r="A724" s="289" t="s">
        <v>1835</v>
      </c>
      <c r="B724" s="289" t="s">
        <v>1836</v>
      </c>
      <c r="C724" s="289" t="s">
        <v>1837</v>
      </c>
      <c r="D724" s="95"/>
    </row>
    <row r="725" spans="1:4">
      <c r="A725" s="289" t="s">
        <v>1838</v>
      </c>
      <c r="B725" s="289" t="s">
        <v>1839</v>
      </c>
      <c r="C725" s="289" t="s">
        <v>1840</v>
      </c>
      <c r="D725" s="95"/>
    </row>
    <row r="726" spans="1:4">
      <c r="A726" s="289" t="s">
        <v>1053</v>
      </c>
      <c r="B726" s="289" t="s">
        <v>1841</v>
      </c>
      <c r="C726" s="289" t="s">
        <v>1055</v>
      </c>
      <c r="D726" s="95"/>
    </row>
    <row r="727" spans="1:4">
      <c r="B727" s="291"/>
      <c r="D727" s="95"/>
    </row>
    <row r="728" spans="1:4">
      <c r="B728" s="291"/>
      <c r="D728" s="95"/>
    </row>
    <row r="729" spans="1:4">
      <c r="B729" s="291"/>
      <c r="D729" s="95"/>
    </row>
    <row r="730" spans="1:4" ht="13.5" thickBot="1">
      <c r="A730" s="627" t="s">
        <v>1842</v>
      </c>
      <c r="B730" s="629"/>
      <c r="C730" s="628"/>
      <c r="D730" s="95"/>
    </row>
    <row r="731" spans="1:4" ht="38.25">
      <c r="A731" s="289" t="s">
        <v>1843</v>
      </c>
      <c r="B731" s="291" t="s">
        <v>1844</v>
      </c>
      <c r="C731" s="289" t="s">
        <v>1845</v>
      </c>
      <c r="D731" s="95"/>
    </row>
    <row r="732" spans="1:4">
      <c r="B732" s="291"/>
      <c r="D732" s="95"/>
    </row>
    <row r="733" spans="1:4">
      <c r="A733" s="289" t="s">
        <v>1846</v>
      </c>
      <c r="B733" s="291" t="s">
        <v>1847</v>
      </c>
      <c r="C733" s="289" t="s">
        <v>1848</v>
      </c>
      <c r="D733" s="95"/>
    </row>
    <row r="734" spans="1:4">
      <c r="A734" s="289" t="s">
        <v>1849</v>
      </c>
      <c r="B734" s="291" t="s">
        <v>1850</v>
      </c>
      <c r="C734" s="289" t="s">
        <v>1851</v>
      </c>
      <c r="D734" s="95" t="s">
        <v>1852</v>
      </c>
    </row>
    <row r="735" spans="1:4">
      <c r="A735" s="289" t="s">
        <v>1853</v>
      </c>
      <c r="B735" s="291" t="s">
        <v>1854</v>
      </c>
      <c r="C735" s="289" t="s">
        <v>1855</v>
      </c>
      <c r="D735" s="95"/>
    </row>
    <row r="736" spans="1:4">
      <c r="A736" s="289" t="s">
        <v>1856</v>
      </c>
      <c r="B736" s="291" t="s">
        <v>1857</v>
      </c>
      <c r="C736" s="289" t="s">
        <v>1858</v>
      </c>
      <c r="D736" s="95"/>
    </row>
    <row r="737" spans="1:4" ht="25.5">
      <c r="A737" s="289" t="str">
        <f>"Należności z tytułu dostaw i usług – krótkoterminowe – stan na " &amp;dzb</f>
        <v>Należności z tytułu dostaw i usług – krótkoterminowe – stan na 31.12.2024</v>
      </c>
      <c r="B737" s="291" t="str">
        <f>"Forderungen aus Lieferungen und Leistungen – kurzfristig – Stand zum " &amp;dzb</f>
        <v>Forderungen aus Lieferungen und Leistungen – kurzfristig – Stand zum 31.12.2024</v>
      </c>
      <c r="C737" s="289" t="str">
        <f>"Trade receivables – current – as of " &amp;dzb</f>
        <v>Trade receivables – current – as of 31.12.2024</v>
      </c>
      <c r="D737" s="95"/>
    </row>
    <row r="738" spans="1:4">
      <c r="A738" s="289" t="s">
        <v>1859</v>
      </c>
      <c r="B738" s="291" t="s">
        <v>1860</v>
      </c>
      <c r="C738" s="289" t="s">
        <v>1861</v>
      </c>
      <c r="D738" s="95"/>
    </row>
    <row r="739" spans="1:4">
      <c r="A739" s="289" t="s">
        <v>1859</v>
      </c>
      <c r="B739" s="291" t="s">
        <v>1862</v>
      </c>
      <c r="C739" s="291" t="s">
        <v>1861</v>
      </c>
      <c r="D739" s="95"/>
    </row>
    <row r="740" spans="1:4">
      <c r="A740" s="289" t="s">
        <v>1863</v>
      </c>
      <c r="B740" s="291" t="s">
        <v>1864</v>
      </c>
      <c r="C740" s="289" t="s">
        <v>1865</v>
      </c>
      <c r="D740" s="95"/>
    </row>
    <row r="741" spans="1:4">
      <c r="A741" s="289" t="s">
        <v>1863</v>
      </c>
      <c r="B741" s="291" t="s">
        <v>1866</v>
      </c>
      <c r="C741" s="291" t="s">
        <v>1865</v>
      </c>
      <c r="D741" s="95"/>
    </row>
    <row r="742" spans="1:4">
      <c r="A742" s="289" t="s">
        <v>1867</v>
      </c>
      <c r="B742" s="291" t="s">
        <v>1868</v>
      </c>
      <c r="C742" s="289" t="s">
        <v>1869</v>
      </c>
      <c r="D742" s="95"/>
    </row>
    <row r="743" spans="1:4">
      <c r="A743" s="289" t="s">
        <v>1870</v>
      </c>
      <c r="B743" s="291" t="s">
        <v>1871</v>
      </c>
      <c r="C743" s="289" t="s">
        <v>1872</v>
      </c>
      <c r="D743" s="95"/>
    </row>
    <row r="744" spans="1:4">
      <c r="A744" s="289" t="s">
        <v>1873</v>
      </c>
      <c r="B744" s="291" t="s">
        <v>1874</v>
      </c>
      <c r="C744" s="289" t="s">
        <v>1875</v>
      </c>
      <c r="D744" s="95"/>
    </row>
    <row r="745" spans="1:4">
      <c r="A745" s="289" t="s">
        <v>1876</v>
      </c>
      <c r="B745" s="291" t="s">
        <v>1877</v>
      </c>
      <c r="C745" s="289" t="s">
        <v>1878</v>
      </c>
      <c r="D745" s="95"/>
    </row>
    <row r="746" spans="1:4">
      <c r="A746" s="289" t="s">
        <v>1879</v>
      </c>
      <c r="B746" s="291" t="s">
        <v>1880</v>
      </c>
      <c r="C746" s="289" t="s">
        <v>1881</v>
      </c>
      <c r="D746" s="95"/>
    </row>
    <row r="747" spans="1:4" ht="25.5">
      <c r="A747" s="289" t="s">
        <v>1882</v>
      </c>
      <c r="B747" s="291" t="s">
        <v>1883</v>
      </c>
      <c r="C747" s="289" t="s">
        <v>1884</v>
      </c>
      <c r="D747" s="95"/>
    </row>
    <row r="748" spans="1:4" ht="38.25">
      <c r="A748" s="289" t="s">
        <v>1885</v>
      </c>
      <c r="B748" s="291" t="s">
        <v>1886</v>
      </c>
      <c r="C748" s="289" t="s">
        <v>1887</v>
      </c>
      <c r="D748" s="95"/>
    </row>
    <row r="749" spans="1:4" ht="51">
      <c r="A749" s="289" t="s">
        <v>1885</v>
      </c>
      <c r="B749" s="291" t="s">
        <v>1888</v>
      </c>
      <c r="C749" s="291" t="s">
        <v>1889</v>
      </c>
      <c r="D749" s="290"/>
    </row>
    <row r="750" spans="1:4">
      <c r="A750" s="289" t="s">
        <v>1890</v>
      </c>
      <c r="B750" s="291" t="s">
        <v>1891</v>
      </c>
      <c r="C750" s="289" t="s">
        <v>1892</v>
      </c>
      <c r="D750" s="95"/>
    </row>
    <row r="751" spans="1:4" ht="25.5">
      <c r="A751" s="289" t="s">
        <v>1893</v>
      </c>
      <c r="B751" s="509" t="s">
        <v>1894</v>
      </c>
      <c r="C751" s="291" t="s">
        <v>1895</v>
      </c>
      <c r="D751" s="95"/>
    </row>
    <row r="752" spans="1:4">
      <c r="A752" s="289" t="s">
        <v>1896</v>
      </c>
      <c r="B752" s="291" t="s">
        <v>1897</v>
      </c>
      <c r="C752" s="289" t="s">
        <v>1898</v>
      </c>
      <c r="D752" s="95"/>
    </row>
    <row r="753" spans="1:4">
      <c r="A753" s="289" t="s">
        <v>1655</v>
      </c>
      <c r="B753" s="291" t="s">
        <v>1656</v>
      </c>
      <c r="C753" s="289" t="s">
        <v>1657</v>
      </c>
      <c r="D753" s="95"/>
    </row>
    <row r="754" spans="1:4">
      <c r="A754" s="289" t="s">
        <v>1899</v>
      </c>
      <c r="B754" s="291" t="s">
        <v>1900</v>
      </c>
      <c r="C754" s="289" t="s">
        <v>1901</v>
      </c>
      <c r="D754" s="516"/>
    </row>
    <row r="755" spans="1:4">
      <c r="A755" s="289" t="s">
        <v>1902</v>
      </c>
      <c r="B755" s="291" t="s">
        <v>1903</v>
      </c>
      <c r="C755" s="289" t="s">
        <v>1904</v>
      </c>
      <c r="D755" s="516"/>
    </row>
    <row r="756" spans="1:4" ht="38.25">
      <c r="A756" s="289" t="s">
        <v>1905</v>
      </c>
      <c r="B756" s="291" t="s">
        <v>1906</v>
      </c>
      <c r="C756" s="289" t="s">
        <v>1907</v>
      </c>
      <c r="D756" s="516"/>
    </row>
    <row r="757" spans="1:4" ht="25.5">
      <c r="A757" s="289" t="s">
        <v>1908</v>
      </c>
      <c r="B757" s="291" t="s">
        <v>1909</v>
      </c>
      <c r="C757" s="289" t="s">
        <v>1910</v>
      </c>
      <c r="D757" s="516"/>
    </row>
    <row r="758" spans="1:4" ht="25.5">
      <c r="A758" s="289" t="s">
        <v>1911</v>
      </c>
      <c r="B758" s="291" t="s">
        <v>1912</v>
      </c>
      <c r="C758" s="289" t="s">
        <v>1913</v>
      </c>
      <c r="D758" s="516"/>
    </row>
    <row r="759" spans="1:4" ht="25.5">
      <c r="A759" s="289" t="s">
        <v>1914</v>
      </c>
      <c r="B759" s="291" t="s">
        <v>1915</v>
      </c>
      <c r="C759" s="289" t="s">
        <v>1916</v>
      </c>
      <c r="D759" s="516"/>
    </row>
    <row r="760" spans="1:4" ht="38.25">
      <c r="A760" s="289" t="str">
        <f>"Zmiany stanu odpisów aktualizujących należności w ciągu roku obrotowego "&amp;ro</f>
        <v>Zmiany stanu odpisów aktualizujących należności w ciągu roku obrotowego 2024</v>
      </c>
      <c r="B760" s="289" t="str">
        <f>"Änderungen bei den Wertberichtigungen auf Forderungen im Laufe des Geschäftsjahres "&amp;ro</f>
        <v>Änderungen bei den Wertberichtigungen auf Forderungen im Laufe des Geschäftsjahres 2024</v>
      </c>
      <c r="C760" s="289" t="str">
        <f>"Movements in value adjustment write-downs of receivables during the FY "&amp;ro</f>
        <v>Movements in value adjustment write-downs of receivables during the FY 2024</v>
      </c>
      <c r="D760" s="95"/>
    </row>
    <row r="761" spans="1:4" ht="38.25">
      <c r="A761" s="289" t="str">
        <f>"Zmiany stanu odpisów aktualizujących należności w ciągu roku obrotowego "&amp;IF(LEN(ro)&gt;4,_xlfn.TEXTBEFORE(ro,"/")-1&amp;"/"&amp;_xlfn.TEXTAFTER(ro,"/")-1,ro-1)</f>
        <v>Zmiany stanu odpisów aktualizujących należności w ciągu roku obrotowego 2023</v>
      </c>
      <c r="B761" s="289" t="str">
        <f>"Änderungen bei den Wertberichtigungen auf Forderungen im Laufe des Geschäftsjahres "&amp;IF(LEN(ro)&gt;4,_xlfn.TEXTBEFORE(ro,"/")-1&amp;"/"&amp;_xlfn.TEXTAFTER(ro,"/")-1,ro-1)</f>
        <v>Änderungen bei den Wertberichtigungen auf Forderungen im Laufe des Geschäftsjahres 2023</v>
      </c>
      <c r="C761" s="501" t="str">
        <f>"Movements in value adjustment write-downs of receivables during the FY "&amp;IF(LEN(ro)&gt;4,_xlfn.TEXTBEFORE(ro,"/")-1&amp;"/"&amp;_xlfn.TEXTAFTER(ro,"/")-1,ro-1)</f>
        <v>Movements in value adjustment write-downs of receivables during the FY 2023</v>
      </c>
      <c r="D761" s="95"/>
    </row>
    <row r="762" spans="1:4">
      <c r="A762" s="289" t="s">
        <v>1917</v>
      </c>
      <c r="B762" s="291" t="s">
        <v>1918</v>
      </c>
      <c r="C762" s="289" t="s">
        <v>1919</v>
      </c>
      <c r="D762" s="95"/>
    </row>
    <row r="763" spans="1:4">
      <c r="A763" s="289" t="s">
        <v>1661</v>
      </c>
      <c r="B763" s="291" t="s">
        <v>1662</v>
      </c>
      <c r="C763" s="289" t="s">
        <v>1663</v>
      </c>
      <c r="D763" s="95"/>
    </row>
    <row r="764" spans="1:4">
      <c r="A764" s="289" t="s">
        <v>1805</v>
      </c>
      <c r="B764" s="291" t="s">
        <v>1806</v>
      </c>
      <c r="C764" s="289" t="s">
        <v>1807</v>
      </c>
      <c r="D764" s="95"/>
    </row>
    <row r="765" spans="1:4">
      <c r="A765" s="289" t="s">
        <v>1817</v>
      </c>
      <c r="B765" s="291" t="s">
        <v>1920</v>
      </c>
      <c r="C765" s="289" t="s">
        <v>1819</v>
      </c>
      <c r="D765" s="95"/>
    </row>
    <row r="766" spans="1:4">
      <c r="A766" s="289" t="s">
        <v>1820</v>
      </c>
      <c r="B766" s="291" t="s">
        <v>1821</v>
      </c>
      <c r="C766" s="289" t="s">
        <v>1822</v>
      </c>
      <c r="D766" s="95"/>
    </row>
    <row r="767" spans="1:4">
      <c r="A767" s="289" t="s">
        <v>1683</v>
      </c>
      <c r="B767" s="291" t="s">
        <v>1684</v>
      </c>
      <c r="C767" s="289" t="s">
        <v>1747</v>
      </c>
      <c r="D767" s="95"/>
    </row>
    <row r="768" spans="1:4">
      <c r="A768" s="289" t="s">
        <v>1655</v>
      </c>
      <c r="B768" s="291" t="s">
        <v>1656</v>
      </c>
      <c r="C768" s="289" t="s">
        <v>1657</v>
      </c>
      <c r="D768" s="95"/>
    </row>
    <row r="769" spans="1:5">
      <c r="A769" s="289" t="s">
        <v>1921</v>
      </c>
      <c r="B769" s="291" t="s">
        <v>1922</v>
      </c>
      <c r="C769" s="289" t="s">
        <v>1923</v>
      </c>
      <c r="D769" s="95"/>
    </row>
    <row r="770" spans="1:5">
      <c r="A770" s="289" t="s">
        <v>1924</v>
      </c>
      <c r="B770" s="291" t="s">
        <v>1925</v>
      </c>
      <c r="C770" s="289" t="s">
        <v>1926</v>
      </c>
      <c r="D770" s="95"/>
    </row>
    <row r="771" spans="1:5" ht="13.5" thickBot="1">
      <c r="A771" s="627" t="s">
        <v>1927</v>
      </c>
      <c r="B771" s="629"/>
      <c r="C771" s="628"/>
      <c r="D771" s="95"/>
    </row>
    <row r="772" spans="1:5" ht="25.5">
      <c r="A772" s="289" t="s">
        <v>1928</v>
      </c>
      <c r="B772" s="291" t="s">
        <v>1929</v>
      </c>
      <c r="C772" s="289" t="s">
        <v>1930</v>
      </c>
      <c r="D772" s="95"/>
    </row>
    <row r="773" spans="1:5" ht="38.25">
      <c r="A773" s="289" t="str">
        <f>"Zobowiązania z tytułu dostaw i usług – krótkoterminowe – stan na " &amp;dzb</f>
        <v>Zobowiązania z tytułu dostaw i usług – krótkoterminowe – stan na 31.12.2024</v>
      </c>
      <c r="B773" s="291" t="str">
        <f>"Verbindlichkeiten aus Lieferungen und Leistungen – kurzfristig – Stand zum " &amp;dzb</f>
        <v>Verbindlichkeiten aus Lieferungen und Leistungen – kurzfristig – Stand zum 31.12.2024</v>
      </c>
      <c r="C773" s="289" t="str">
        <f>"Trade liabilities – current – as of " &amp;dzb</f>
        <v>Trade liabilities – current – as of 31.12.2024</v>
      </c>
      <c r="D773" s="95"/>
    </row>
    <row r="774" spans="1:5">
      <c r="A774" s="289" t="s">
        <v>1931</v>
      </c>
      <c r="B774" s="291" t="s">
        <v>1932</v>
      </c>
      <c r="C774" s="289" t="s">
        <v>1933</v>
      </c>
      <c r="D774" s="95"/>
    </row>
    <row r="775" spans="1:5">
      <c r="A775" s="289" t="s">
        <v>1058</v>
      </c>
      <c r="B775" s="291" t="s">
        <v>1059</v>
      </c>
      <c r="C775" s="491" t="s">
        <v>1060</v>
      </c>
      <c r="D775" s="516"/>
    </row>
    <row r="776" spans="1:5" ht="25.5">
      <c r="A776" s="289" t="s">
        <v>1934</v>
      </c>
      <c r="B776" s="291" t="s">
        <v>1935</v>
      </c>
      <c r="C776" s="289" t="s">
        <v>1936</v>
      </c>
      <c r="D776" s="516"/>
    </row>
    <row r="777" spans="1:5">
      <c r="A777" s="289" t="s">
        <v>1061</v>
      </c>
      <c r="B777" s="291" t="s">
        <v>1062</v>
      </c>
      <c r="C777" s="289" t="s">
        <v>1063</v>
      </c>
      <c r="D777" s="516"/>
      <c r="E777" s="516"/>
    </row>
    <row r="778" spans="1:5">
      <c r="A778" s="289" t="s">
        <v>1067</v>
      </c>
      <c r="B778" s="291" t="s">
        <v>1068</v>
      </c>
      <c r="C778" s="289" t="s">
        <v>1069</v>
      </c>
      <c r="D778" s="516"/>
      <c r="E778" s="516"/>
    </row>
    <row r="779" spans="1:5">
      <c r="A779" s="289" t="s">
        <v>1406</v>
      </c>
      <c r="B779" s="291" t="s">
        <v>1071</v>
      </c>
      <c r="C779" s="521" t="s">
        <v>1072</v>
      </c>
      <c r="D779" s="516"/>
      <c r="E779" s="513"/>
    </row>
    <row r="780" spans="1:5" ht="38.25">
      <c r="A780" s="289" t="s">
        <v>1937</v>
      </c>
      <c r="B780" s="291" t="s">
        <v>1938</v>
      </c>
      <c r="C780" s="289" t="s">
        <v>1939</v>
      </c>
      <c r="D780" s="516"/>
      <c r="E780" s="513"/>
    </row>
    <row r="781" spans="1:5" ht="25.5">
      <c r="A781" s="289" t="s">
        <v>1940</v>
      </c>
      <c r="B781" s="510" t="s">
        <v>1941</v>
      </c>
      <c r="C781" s="289" t="s">
        <v>1431</v>
      </c>
      <c r="D781" s="516"/>
      <c r="E781" s="513"/>
    </row>
    <row r="782" spans="1:5" ht="25.5">
      <c r="A782" s="289" t="s">
        <v>1942</v>
      </c>
      <c r="B782" s="291" t="s">
        <v>1080</v>
      </c>
      <c r="C782" s="289" t="s">
        <v>1943</v>
      </c>
      <c r="D782" s="95"/>
    </row>
    <row r="783" spans="1:5">
      <c r="A783" s="289" t="s">
        <v>1237</v>
      </c>
      <c r="B783" s="291" t="s">
        <v>321</v>
      </c>
      <c r="C783" s="289" t="s">
        <v>322</v>
      </c>
      <c r="D783" s="95"/>
    </row>
    <row r="784" spans="1:5">
      <c r="A784" s="289" t="s">
        <v>1944</v>
      </c>
      <c r="B784" s="291" t="s">
        <v>1945</v>
      </c>
      <c r="C784" s="289" t="s">
        <v>1657</v>
      </c>
      <c r="D784" s="95"/>
    </row>
    <row r="785" spans="1:4">
      <c r="A785" s="289" t="s">
        <v>1946</v>
      </c>
      <c r="B785" s="291" t="s">
        <v>1947</v>
      </c>
      <c r="C785" s="289" t="s">
        <v>1948</v>
      </c>
      <c r="D785" s="95"/>
    </row>
    <row r="786" spans="1:4" ht="25.5">
      <c r="A786" s="289" t="s">
        <v>1949</v>
      </c>
      <c r="B786" s="291" t="str">
        <f>"bis zu 1 Jahr
(Rückzahlung im folgenden Geschäftsjahr)"</f>
        <v>bis zu 1 Jahr
(Rückzahlung im folgenden Geschäftsjahr)</v>
      </c>
      <c r="C786" s="289" t="s">
        <v>1950</v>
      </c>
      <c r="D786" s="95"/>
    </row>
    <row r="787" spans="1:4" ht="30.6" customHeight="1">
      <c r="A787" s="289" t="str">
        <f>"powyżej 1 roku do 3 lat"
&amp;IF(LEN(ro)&gt;4,"","(do spłaty w latach "&amp;rok+2&amp;" - "&amp;rok+3&amp;")")</f>
        <v>powyżej 1 roku do 3 lat(do spłaty w latach 2026 - 2027)</v>
      </c>
      <c r="B787" s="291" t="str">
        <f>"von 1 Jahr bis zu 3 Jahren"
&amp;IF(LEN(ro)&gt;4,"","(Rückzahlung zwischen "&amp;rok+2&amp;" - "&amp;rok+3&amp;")")</f>
        <v>von 1 Jahr bis zu 3 Jahren(Rückzahlung zwischen 2026 - 2027)</v>
      </c>
      <c r="C787" s="289" t="str">
        <f>"over 1 to 3 years"
&amp;IF(LEN(ro)&gt;4,"","(to be repaid in "&amp;rok+2&amp;" - "&amp;rok+3&amp;")")</f>
        <v>over 1 to 3 years(to be repaid in 2026 - 2027)</v>
      </c>
      <c r="D787" s="95"/>
    </row>
    <row r="788" spans="1:4" ht="30.6" customHeight="1">
      <c r="A788" s="289" t="str">
        <f>"powyżej 1 roku do 3 lat"
&amp;IF(LEN(ro)&gt;4,"","(do spłaty w latach "&amp;rok+1&amp;" - "&amp;rok+2&amp;")")</f>
        <v>powyżej 1 roku do 3 lat(do spłaty w latach 2025 - 2026)</v>
      </c>
      <c r="B788" s="291" t="str">
        <f>"von 1 Jahr bis zu 3 Jahren"
&amp;IF(LEN(ro)&gt;4,"","(Rückzahlung zwischen "&amp;rok+1&amp;" - "&amp;rok+2&amp;")")</f>
        <v>von 1 Jahr bis zu 3 Jahren(Rückzahlung zwischen 2025 - 2026)</v>
      </c>
      <c r="C788" s="289" t="str">
        <f>"over 1 to 3 years"
&amp;IF(LEN(ro)&gt;4,"","(to be repaid in "&amp;rok+1&amp;" - "&amp;rok+2&amp;")")</f>
        <v>over 1 to 3 years(to be repaid in 2025 - 2026)</v>
      </c>
      <c r="D788" s="95"/>
    </row>
    <row r="789" spans="1:4" ht="30" customHeight="1">
      <c r="A789" s="289" t="str">
        <f>"od 3 do 5 lat"
&amp;IF(LEN(ro)&gt;4,"","(do spłaty w latach "&amp;rok+4&amp;" - "&amp;rok+5&amp;")")</f>
        <v>od 3 do 5 lat(do spłaty w latach 2028 - 2029)</v>
      </c>
      <c r="B789" s="291" t="str">
        <f>"von 3 bis zu 5 Jahren"
&amp;IF(LEN(ro)&gt;4,"","(Rückzahlung zwischen "&amp;rok+4&amp;" - "&amp;rok+5&amp;")")</f>
        <v>von 3 bis zu 5 Jahren(Rückzahlung zwischen 2028 - 2029)</v>
      </c>
      <c r="C789" s="289" t="str">
        <f>"from 3 to 5 years"
&amp;IF(LEN(ro)&gt;4,"","(to be repaid in "&amp;rok+4&amp;" - "&amp;rok+5&amp;")")</f>
        <v>from 3 to 5 years(to be repaid in 2028 - 2029)</v>
      </c>
      <c r="D789" s="95"/>
    </row>
    <row r="790" spans="1:4" ht="30" customHeight="1">
      <c r="A790" s="289" t="str">
        <f>"od 3 do 5 lat"
&amp;IF(LEN(ro)&gt;4,"","(do spłaty w latach "&amp;rok+3&amp;" - "&amp;rok+4&amp;")")</f>
        <v>od 3 do 5 lat(do spłaty w latach 2027 - 2028)</v>
      </c>
      <c r="B790" s="291" t="str">
        <f>"von 3 bis zu 5 Jahren"
&amp;IF(LEN(ro)&gt;4,"","(Rückzahlung zwischen "&amp;rok+3&amp;" - "&amp;rok+4&amp;")")</f>
        <v>von 3 bis zu 5 Jahren(Rückzahlung zwischen 2027 - 2028)</v>
      </c>
      <c r="C790" s="289" t="str">
        <f>"from 3 to 5 years"
&amp;IF(LEN(ro)&gt;4,"","(to be repaid in "&amp;rok+3&amp;" - "&amp;rok+4&amp;")")</f>
        <v>from 3 to 5 years(to be repaid in 2027 - 2028)</v>
      </c>
      <c r="D790" s="95"/>
    </row>
    <row r="791" spans="1:4">
      <c r="A791" s="289" t="str">
        <f>"powyżej 5 lat"
&amp;IF(LEN(ro)&gt;4,"","(do spłaty po "&amp;rok+5&amp;" roku)")</f>
        <v>powyżej 5 lat(do spłaty po 2029 roku)</v>
      </c>
      <c r="B791" s="291" t="str">
        <f>"über 5 Jahre"
&amp;IF(LEN(ro)&gt;4,"","(Rückzahlung nach "&amp;rok+5&amp;")")</f>
        <v>über 5 Jahre(Rückzahlung nach 2029)</v>
      </c>
      <c r="C791" s="289" t="str">
        <f>"over 5 years"
&amp;IF(LEN(ro)&gt;4,"","(to be repaid after FY "&amp;rok+5&amp;")")</f>
        <v>over 5 years(to be repaid after FY 2029)</v>
      </c>
      <c r="D791" s="95"/>
    </row>
    <row r="792" spans="1:4">
      <c r="A792" s="289" t="str">
        <f>"powyżej 5 lat"
&amp;IF(LEN(ro)&gt;4,"","(do spłaty po "&amp;rok+4&amp;" roku)")</f>
        <v>powyżej 5 lat(do spłaty po 2028 roku)</v>
      </c>
      <c r="B792" s="291" t="str">
        <f>"über 5 Jahre"
&amp;IF(LEN(ro)&gt;4,"","(Rückzahlung nach "&amp;rok+4&amp;")")</f>
        <v>über 5 Jahre(Rückzahlung nach 2028)</v>
      </c>
      <c r="C792" s="289" t="str">
        <f>"over 5 years"
&amp;IF(LEN(ro)&gt;4,"","(to be repaid after FY "&amp;rok+4&amp;")")</f>
        <v>over 5 years(to be repaid after FY 2028)</v>
      </c>
      <c r="D792" s="95"/>
    </row>
    <row r="793" spans="1:4">
      <c r="B793" s="291"/>
      <c r="D793" s="95"/>
    </row>
    <row r="794" spans="1:4" ht="13.5" thickBot="1">
      <c r="A794" s="289" t="s">
        <v>1951</v>
      </c>
      <c r="B794" s="291" t="s">
        <v>1952</v>
      </c>
      <c r="C794" s="289" t="s">
        <v>1953</v>
      </c>
      <c r="D794" s="95"/>
    </row>
    <row r="795" spans="1:4" ht="13.5" thickBot="1">
      <c r="A795" s="627" t="s">
        <v>21</v>
      </c>
      <c r="B795" s="629"/>
      <c r="C795" s="628"/>
      <c r="D795" s="95"/>
    </row>
    <row r="796" spans="1:4" ht="25.5">
      <c r="A796" s="481" t="s">
        <v>1954</v>
      </c>
      <c r="B796" s="481" t="s">
        <v>1955</v>
      </c>
      <c r="C796" s="481" t="s">
        <v>1956</v>
      </c>
      <c r="D796" s="95"/>
    </row>
    <row r="797" spans="1:4">
      <c r="A797" s="289" t="s">
        <v>1957</v>
      </c>
      <c r="B797" s="291" t="s">
        <v>1958</v>
      </c>
      <c r="C797" s="289" t="s">
        <v>1959</v>
      </c>
      <c r="D797" s="95"/>
    </row>
    <row r="798" spans="1:4" ht="25.5">
      <c r="A798" s="289" t="s">
        <v>1960</v>
      </c>
      <c r="B798" s="291" t="s">
        <v>1961</v>
      </c>
      <c r="C798" s="289" t="s">
        <v>1962</v>
      </c>
      <c r="D798" s="95"/>
    </row>
    <row r="799" spans="1:4">
      <c r="A799" s="289" t="s">
        <v>1661</v>
      </c>
      <c r="B799" s="291" t="s">
        <v>1662</v>
      </c>
      <c r="C799" s="491" t="s">
        <v>1663</v>
      </c>
      <c r="D799" s="95"/>
    </row>
    <row r="800" spans="1:4">
      <c r="A800" s="289" t="s">
        <v>1805</v>
      </c>
      <c r="B800" s="291" t="s">
        <v>1963</v>
      </c>
      <c r="C800" s="289" t="s">
        <v>1807</v>
      </c>
      <c r="D800" s="95"/>
    </row>
    <row r="801" spans="1:5" ht="25.5">
      <c r="A801" s="289" t="s">
        <v>1964</v>
      </c>
      <c r="B801" s="291" t="s">
        <v>1965</v>
      </c>
      <c r="C801" s="289" t="s">
        <v>1966</v>
      </c>
      <c r="D801" s="95"/>
    </row>
    <row r="802" spans="1:5">
      <c r="A802" s="289" t="s">
        <v>1683</v>
      </c>
      <c r="B802" s="291" t="s">
        <v>1684</v>
      </c>
      <c r="C802" s="289" t="s">
        <v>1747</v>
      </c>
      <c r="D802" s="95"/>
    </row>
    <row r="803" spans="1:5">
      <c r="A803" s="289" t="s">
        <v>1967</v>
      </c>
      <c r="B803" s="289" t="s">
        <v>1968</v>
      </c>
      <c r="C803" s="289" t="s">
        <v>1969</v>
      </c>
      <c r="D803" s="95"/>
    </row>
    <row r="804" spans="1:5">
      <c r="A804" s="289" t="s">
        <v>1970</v>
      </c>
      <c r="B804" s="289" t="s">
        <v>1971</v>
      </c>
      <c r="C804" s="289" t="s">
        <v>1972</v>
      </c>
      <c r="D804" s="95"/>
    </row>
    <row r="805" spans="1:5">
      <c r="A805" s="289" t="s">
        <v>1973</v>
      </c>
      <c r="B805" s="289" t="s">
        <v>1974</v>
      </c>
      <c r="C805" s="289" t="s">
        <v>1975</v>
      </c>
      <c r="D805" s="95"/>
    </row>
    <row r="806" spans="1:5">
      <c r="A806" s="289" t="s">
        <v>1976</v>
      </c>
      <c r="B806" s="289" t="s">
        <v>1977</v>
      </c>
      <c r="C806" s="289" t="s">
        <v>1978</v>
      </c>
      <c r="D806" s="95"/>
    </row>
    <row r="807" spans="1:5" ht="25.5">
      <c r="A807" s="289" t="s">
        <v>1979</v>
      </c>
      <c r="B807" s="289" t="s">
        <v>1980</v>
      </c>
      <c r="C807" s="289" t="s">
        <v>1981</v>
      </c>
      <c r="D807" s="95"/>
    </row>
    <row r="808" spans="1:5" ht="38.25">
      <c r="A808" s="289" t="s">
        <v>1982</v>
      </c>
      <c r="B808" s="289" t="s">
        <v>1983</v>
      </c>
      <c r="C808" s="289" t="s">
        <v>1984</v>
      </c>
      <c r="D808" s="95"/>
    </row>
    <row r="809" spans="1:5" ht="51">
      <c r="A809" s="289" t="s">
        <v>1985</v>
      </c>
      <c r="B809" s="289" t="s">
        <v>1986</v>
      </c>
      <c r="C809" s="289" t="s">
        <v>1987</v>
      </c>
      <c r="D809" s="95"/>
    </row>
    <row r="810" spans="1:5" ht="51">
      <c r="A810" s="289" t="s">
        <v>1988</v>
      </c>
      <c r="B810" s="289" t="s">
        <v>1989</v>
      </c>
      <c r="C810" s="289" t="s">
        <v>1990</v>
      </c>
      <c r="D810" s="95"/>
    </row>
    <row r="811" spans="1:5">
      <c r="A811" s="289" t="s">
        <v>320</v>
      </c>
      <c r="B811" s="289" t="s">
        <v>321</v>
      </c>
      <c r="C811" s="289" t="s">
        <v>322</v>
      </c>
      <c r="D811" s="95"/>
    </row>
    <row r="812" spans="1:5" ht="51">
      <c r="A812" s="289" t="s">
        <v>1991</v>
      </c>
      <c r="B812" s="291" t="s">
        <v>1992</v>
      </c>
      <c r="C812" s="289" t="s">
        <v>1993</v>
      </c>
      <c r="D812" s="95" t="s">
        <v>1994</v>
      </c>
      <c r="E812" s="95"/>
    </row>
    <row r="813" spans="1:5">
      <c r="A813" s="289" t="s">
        <v>1655</v>
      </c>
      <c r="B813" s="291" t="s">
        <v>1656</v>
      </c>
      <c r="C813" s="289" t="s">
        <v>1657</v>
      </c>
      <c r="D813" s="95"/>
    </row>
    <row r="814" spans="1:5">
      <c r="A814" s="289" t="s">
        <v>1995</v>
      </c>
      <c r="B814" s="291" t="s">
        <v>1996</v>
      </c>
      <c r="C814" s="289" t="s">
        <v>1994</v>
      </c>
      <c r="D814" s="95"/>
    </row>
    <row r="815" spans="1:5" ht="25.5">
      <c r="A815" s="289" t="s">
        <v>1997</v>
      </c>
      <c r="B815" s="291" t="s">
        <v>1998</v>
      </c>
      <c r="C815" s="289" t="s">
        <v>1999</v>
      </c>
      <c r="D815" s="95"/>
    </row>
    <row r="816" spans="1:5">
      <c r="A816" s="517" t="s">
        <v>2000</v>
      </c>
      <c r="B816" s="517" t="s">
        <v>2001</v>
      </c>
      <c r="C816" s="522" t="s">
        <v>2002</v>
      </c>
      <c r="D816" s="95"/>
    </row>
    <row r="817" spans="1:4">
      <c r="A817" s="289" t="s">
        <v>2003</v>
      </c>
      <c r="B817" s="291" t="s">
        <v>2004</v>
      </c>
      <c r="C817" s="289" t="s">
        <v>1111</v>
      </c>
      <c r="D817" s="95"/>
    </row>
    <row r="818" spans="1:4" ht="25.5">
      <c r="A818" s="289" t="s">
        <v>2005</v>
      </c>
      <c r="B818" s="291" t="s">
        <v>2006</v>
      </c>
      <c r="C818" s="289" t="s">
        <v>2007</v>
      </c>
      <c r="D818" s="95"/>
    </row>
    <row r="819" spans="1:4">
      <c r="A819" s="517" t="s">
        <v>1113</v>
      </c>
      <c r="B819" s="517" t="s">
        <v>1114</v>
      </c>
      <c r="C819" s="522" t="s">
        <v>1115</v>
      </c>
      <c r="D819" s="95"/>
    </row>
    <row r="820" spans="1:4" ht="25.5">
      <c r="A820" s="517" t="s">
        <v>2008</v>
      </c>
      <c r="B820" s="517" t="s">
        <v>2009</v>
      </c>
      <c r="C820" s="522" t="s">
        <v>2010</v>
      </c>
      <c r="D820" s="95"/>
    </row>
    <row r="821" spans="1:4" ht="38.25">
      <c r="A821" s="517" t="s">
        <v>2011</v>
      </c>
      <c r="B821" s="517" t="s">
        <v>2012</v>
      </c>
      <c r="C821" s="522" t="s">
        <v>2013</v>
      </c>
      <c r="D821" s="95"/>
    </row>
    <row r="822" spans="1:4">
      <c r="A822" s="517" t="s">
        <v>2014</v>
      </c>
      <c r="B822" s="517" t="s">
        <v>2015</v>
      </c>
      <c r="C822" s="522" t="s">
        <v>1238</v>
      </c>
      <c r="D822" s="95"/>
    </row>
    <row r="823" spans="1:4">
      <c r="B823" s="291"/>
      <c r="D823" s="95"/>
    </row>
    <row r="824" spans="1:4">
      <c r="B824" s="291"/>
      <c r="D824" s="95"/>
    </row>
    <row r="825" spans="1:4" ht="13.5" thickBot="1">
      <c r="A825" s="627" t="s">
        <v>2016</v>
      </c>
      <c r="B825" s="629"/>
      <c r="C825" s="628"/>
      <c r="D825" s="95"/>
    </row>
    <row r="826" spans="1:4" ht="51">
      <c r="A826" s="289" t="s">
        <v>2017</v>
      </c>
      <c r="B826" s="291" t="s">
        <v>2018</v>
      </c>
      <c r="C826" s="289" t="s">
        <v>2019</v>
      </c>
      <c r="D826" s="95"/>
    </row>
    <row r="827" spans="1:4" ht="38.25">
      <c r="A827" s="289" t="s">
        <v>2020</v>
      </c>
      <c r="B827" s="291" t="s">
        <v>2021</v>
      </c>
      <c r="C827" s="289" t="s">
        <v>2022</v>
      </c>
      <c r="D827" s="95"/>
    </row>
    <row r="828" spans="1:4" ht="38.25">
      <c r="A828" s="291" t="s">
        <v>2023</v>
      </c>
      <c r="B828" s="659" t="s">
        <v>2021</v>
      </c>
      <c r="C828" s="658" t="s">
        <v>2022</v>
      </c>
      <c r="D828" s="95"/>
    </row>
    <row r="829" spans="1:4">
      <c r="A829" s="289" t="s">
        <v>2024</v>
      </c>
      <c r="B829" s="291" t="s">
        <v>2025</v>
      </c>
      <c r="C829" s="289" t="s">
        <v>2026</v>
      </c>
      <c r="D829" s="95"/>
    </row>
    <row r="830" spans="1:4">
      <c r="A830" s="289" t="s">
        <v>2027</v>
      </c>
      <c r="B830" s="291" t="s">
        <v>2028</v>
      </c>
      <c r="C830" s="289" t="s">
        <v>2029</v>
      </c>
      <c r="D830" s="95"/>
    </row>
    <row r="831" spans="1:4">
      <c r="A831" s="289" t="s">
        <v>2030</v>
      </c>
      <c r="B831" s="291" t="s">
        <v>2031</v>
      </c>
      <c r="C831" s="289" t="s">
        <v>2032</v>
      </c>
      <c r="D831" s="95"/>
    </row>
    <row r="832" spans="1:4" ht="102">
      <c r="A832" s="289" t="s">
        <v>2033</v>
      </c>
      <c r="B832" s="291" t="s">
        <v>2034</v>
      </c>
      <c r="C832" s="289" t="s">
        <v>2035</v>
      </c>
      <c r="D832" s="95"/>
    </row>
    <row r="833" spans="1:7" ht="25.5">
      <c r="A833" s="289" t="s">
        <v>2036</v>
      </c>
      <c r="B833" s="291" t="s">
        <v>2037</v>
      </c>
      <c r="C833" s="289" t="s">
        <v>2038</v>
      </c>
      <c r="D833" s="95"/>
      <c r="E833" s="290"/>
      <c r="F833" s="523"/>
      <c r="G833" s="523"/>
    </row>
    <row r="834" spans="1:7" ht="25.5">
      <c r="A834" s="291" t="s">
        <v>2039</v>
      </c>
      <c r="B834" s="659" t="s">
        <v>2037</v>
      </c>
      <c r="C834" s="658" t="s">
        <v>2038</v>
      </c>
      <c r="D834" s="95"/>
      <c r="E834" s="290"/>
      <c r="F834" s="523"/>
      <c r="G834" s="523"/>
    </row>
    <row r="835" spans="1:7" ht="36.75" customHeight="1">
      <c r="A835" s="289" t="s">
        <v>2040</v>
      </c>
      <c r="B835" s="291" t="s">
        <v>2041</v>
      </c>
      <c r="C835" s="289" t="s">
        <v>2042</v>
      </c>
      <c r="D835" s="95"/>
      <c r="E835" s="290"/>
      <c r="F835" s="523"/>
      <c r="G835" s="523"/>
    </row>
    <row r="836" spans="1:7" ht="36.75" customHeight="1">
      <c r="A836" s="620" t="s">
        <v>2043</v>
      </c>
      <c r="B836" s="291" t="s">
        <v>2044</v>
      </c>
      <c r="C836" s="289" t="s">
        <v>2045</v>
      </c>
      <c r="D836" s="95"/>
      <c r="E836" s="290"/>
      <c r="F836" s="523"/>
      <c r="G836" s="523"/>
    </row>
    <row r="837" spans="1:7" ht="36.75" customHeight="1">
      <c r="A837" s="620" t="s">
        <v>2046</v>
      </c>
      <c r="B837" s="291" t="s">
        <v>2047</v>
      </c>
      <c r="C837" s="289" t="s">
        <v>2048</v>
      </c>
      <c r="D837" s="291"/>
      <c r="E837" s="290"/>
      <c r="F837" s="523"/>
      <c r="G837" s="523"/>
    </row>
    <row r="838" spans="1:7" ht="36.75" customHeight="1">
      <c r="A838" s="620" t="s">
        <v>2049</v>
      </c>
      <c r="B838" s="291" t="s">
        <v>2050</v>
      </c>
      <c r="C838" s="289" t="s">
        <v>2048</v>
      </c>
      <c r="D838" s="95"/>
      <c r="E838" s="290"/>
      <c r="F838" s="523"/>
      <c r="G838" s="523"/>
    </row>
    <row r="839" spans="1:7" ht="12.75" customHeight="1">
      <c r="A839" s="620" t="s">
        <v>2051</v>
      </c>
      <c r="B839" s="291" t="s">
        <v>2052</v>
      </c>
      <c r="C839" s="289" t="s">
        <v>2053</v>
      </c>
      <c r="D839" s="95"/>
      <c r="E839" s="290"/>
      <c r="F839" s="523"/>
      <c r="G839" s="523"/>
    </row>
    <row r="840" spans="1:7" ht="36.75" customHeight="1">
      <c r="A840" s="620" t="str">
        <f>"   "&amp;"fundacji prywatnej lub rodzinnej, podmiotu równoważnego takiej 
   fundacji lub przedsiębiorstwa prowadzonego przez taką fundację 
   albo taki podmiot, lub na rzecz ich beneficjentów"</f>
        <v xml:space="preserve">   fundacji prywatnej lub rodzinnej, podmiotu równoważnego takiej 
   fundacji lub przedsiębiorstwa prowadzonego przez taką fundację 
   albo taki podmiot, lub na rzecz ich beneficjentów</v>
      </c>
      <c r="B840" s="291" t="s">
        <v>2054</v>
      </c>
      <c r="C840" s="289" t="s">
        <v>2055</v>
      </c>
      <c r="D840" s="95"/>
      <c r="E840" s="290"/>
      <c r="F840" s="523"/>
      <c r="G840" s="523"/>
    </row>
    <row r="841" spans="1:7" ht="38.25">
      <c r="A841" s="620" t="str">
        <f>"   "&amp;"trustu lub innego podmiotu albo stosunku prawnego o charakterze powierniczym"</f>
        <v xml:space="preserve">   trustu lub innego podmiotu albo stosunku prawnego o charakterze powierniczym</v>
      </c>
      <c r="B841" s="291" t="s">
        <v>2056</v>
      </c>
      <c r="C841" s="289" t="s">
        <v>2057</v>
      </c>
      <c r="D841" s="95"/>
      <c r="E841" s="290"/>
      <c r="F841" s="523"/>
      <c r="G841" s="523"/>
    </row>
    <row r="842" spans="1:7" ht="36.75" customHeight="1">
      <c r="A842" s="620" t="s">
        <v>2058</v>
      </c>
      <c r="B842" s="291" t="s">
        <v>2059</v>
      </c>
      <c r="C842" s="289" t="s">
        <v>2060</v>
      </c>
      <c r="D842" s="95"/>
      <c r="E842" s="290"/>
      <c r="F842" s="523"/>
      <c r="G842" s="523"/>
    </row>
    <row r="843" spans="1:7" ht="36.75" customHeight="1">
      <c r="A843" s="620" t="s">
        <v>2061</v>
      </c>
      <c r="B843" s="291" t="s">
        <v>2062</v>
      </c>
      <c r="C843" s="289" t="s">
        <v>2063</v>
      </c>
      <c r="D843" s="95"/>
      <c r="E843" s="290"/>
      <c r="F843" s="523"/>
      <c r="G843" s="523"/>
    </row>
    <row r="844" spans="1:7" ht="36.75" customHeight="1">
      <c r="A844" s="620" t="s">
        <v>2064</v>
      </c>
      <c r="B844" s="291" t="s">
        <v>2065</v>
      </c>
      <c r="C844" s="289" t="s">
        <v>2066</v>
      </c>
      <c r="D844" s="95"/>
      <c r="E844" s="290"/>
      <c r="F844" s="523"/>
      <c r="G844" s="523"/>
    </row>
    <row r="845" spans="1:7" ht="36.75" customHeight="1">
      <c r="A845" s="620" t="s">
        <v>2067</v>
      </c>
      <c r="B845" s="291" t="s">
        <v>2068</v>
      </c>
      <c r="C845" s="289" t="s">
        <v>2069</v>
      </c>
      <c r="D845" s="95"/>
      <c r="E845" s="290"/>
      <c r="F845" s="523"/>
      <c r="G845" s="523"/>
    </row>
    <row r="846" spans="1:7" ht="25.5">
      <c r="A846" s="620" t="s">
        <v>2070</v>
      </c>
      <c r="B846" s="291" t="s">
        <v>2071</v>
      </c>
      <c r="C846" s="289" t="s">
        <v>2072</v>
      </c>
      <c r="D846" s="95"/>
      <c r="E846" s="290"/>
      <c r="F846" s="523"/>
      <c r="G846" s="523"/>
    </row>
    <row r="847" spans="1:7" ht="25.5">
      <c r="A847" s="620" t="s">
        <v>2073</v>
      </c>
      <c r="B847" s="291" t="s">
        <v>2074</v>
      </c>
      <c r="C847" s="289" t="s">
        <v>2075</v>
      </c>
      <c r="D847" s="95"/>
      <c r="E847" s="290"/>
      <c r="F847" s="523"/>
      <c r="G847" s="523"/>
    </row>
    <row r="848" spans="1:7">
      <c r="A848" s="620" t="s">
        <v>2076</v>
      </c>
      <c r="B848" s="291" t="s">
        <v>2077</v>
      </c>
      <c r="C848" s="289" t="s">
        <v>2078</v>
      </c>
      <c r="D848" s="95"/>
      <c r="E848" s="290"/>
      <c r="F848" s="523"/>
      <c r="G848" s="523"/>
    </row>
    <row r="849" spans="1:7" ht="38.25">
      <c r="A849" s="289" t="s">
        <v>2079</v>
      </c>
      <c r="B849" s="289" t="s">
        <v>2080</v>
      </c>
      <c r="C849" s="289" t="s">
        <v>2081</v>
      </c>
      <c r="D849" s="95"/>
      <c r="E849" s="290"/>
      <c r="F849" s="523"/>
      <c r="G849" s="523"/>
    </row>
    <row r="850" spans="1:7" ht="38.25">
      <c r="A850" s="289" t="s">
        <v>2082</v>
      </c>
      <c r="B850" s="291" t="s">
        <v>2083</v>
      </c>
      <c r="C850" s="289" t="s">
        <v>2084</v>
      </c>
      <c r="D850" s="95"/>
      <c r="E850" s="290"/>
      <c r="F850" s="523"/>
      <c r="G850" s="523"/>
    </row>
    <row r="851" spans="1:7" ht="38.25">
      <c r="A851" s="291" t="s">
        <v>2085</v>
      </c>
      <c r="B851" s="659" t="s">
        <v>2083</v>
      </c>
      <c r="C851" s="658" t="s">
        <v>2084</v>
      </c>
      <c r="D851" s="95"/>
      <c r="E851" s="290"/>
      <c r="F851" s="523"/>
      <c r="G851" s="523"/>
    </row>
    <row r="852" spans="1:7" ht="25.5">
      <c r="A852" s="289" t="s">
        <v>2086</v>
      </c>
      <c r="B852" s="289" t="s">
        <v>2087</v>
      </c>
      <c r="C852" s="289" t="s">
        <v>2088</v>
      </c>
      <c r="D852" s="95"/>
    </row>
    <row r="853" spans="1:7" ht="76.5">
      <c r="A853" s="289" t="s">
        <v>2089</v>
      </c>
      <c r="B853" s="289" t="s">
        <v>2090</v>
      </c>
      <c r="C853" s="501" t="s">
        <v>2091</v>
      </c>
      <c r="D853" s="95"/>
    </row>
    <row r="854" spans="1:7" ht="13.5" thickBot="1">
      <c r="A854" s="627" t="s">
        <v>30</v>
      </c>
      <c r="B854" s="629"/>
      <c r="C854" s="628"/>
      <c r="D854" s="95"/>
    </row>
    <row r="855" spans="1:7" ht="114.75">
      <c r="A855" s="289" t="s">
        <v>2092</v>
      </c>
      <c r="B855" s="291" t="s">
        <v>2093</v>
      </c>
      <c r="C855" s="289" t="s">
        <v>2094</v>
      </c>
      <c r="D855" s="95"/>
    </row>
    <row r="856" spans="1:7" ht="38.25">
      <c r="A856" s="289" t="s">
        <v>2095</v>
      </c>
      <c r="B856" s="291" t="s">
        <v>2096</v>
      </c>
      <c r="C856" s="289" t="s">
        <v>2097</v>
      </c>
      <c r="D856" s="95"/>
    </row>
    <row r="857" spans="1:7" ht="38.25">
      <c r="A857" s="291" t="s">
        <v>2098</v>
      </c>
      <c r="B857" s="659" t="s">
        <v>2096</v>
      </c>
      <c r="C857" s="658" t="s">
        <v>2097</v>
      </c>
      <c r="D857" s="95"/>
    </row>
    <row r="858" spans="1:7" ht="38.25">
      <c r="A858" s="289" t="s">
        <v>2099</v>
      </c>
      <c r="B858" s="289" t="s">
        <v>2100</v>
      </c>
      <c r="C858" s="289" t="s">
        <v>2101</v>
      </c>
      <c r="D858" s="95"/>
    </row>
    <row r="859" spans="1:7" ht="38.25">
      <c r="A859" s="289" t="s">
        <v>2102</v>
      </c>
      <c r="B859" s="289" t="s">
        <v>2100</v>
      </c>
      <c r="C859" s="289" t="s">
        <v>2103</v>
      </c>
      <c r="D859" s="95"/>
    </row>
    <row r="860" spans="1:7">
      <c r="A860" s="289" t="s">
        <v>2104</v>
      </c>
      <c r="B860" s="291" t="s">
        <v>2105</v>
      </c>
      <c r="C860" s="289" t="s">
        <v>2106</v>
      </c>
      <c r="D860" s="95"/>
    </row>
    <row r="861" spans="1:7">
      <c r="A861" s="521" t="s">
        <v>2107</v>
      </c>
      <c r="B861" s="291" t="s">
        <v>1144</v>
      </c>
      <c r="C861" s="289" t="s">
        <v>2108</v>
      </c>
      <c r="D861" s="95"/>
    </row>
    <row r="862" spans="1:7">
      <c r="A862" s="521" t="s">
        <v>2109</v>
      </c>
      <c r="B862" s="289" t="s">
        <v>1277</v>
      </c>
      <c r="C862" s="289" t="s">
        <v>2110</v>
      </c>
    </row>
    <row r="863" spans="1:7">
      <c r="A863" s="289" t="s">
        <v>2111</v>
      </c>
      <c r="B863" s="291" t="s">
        <v>2112</v>
      </c>
      <c r="C863" s="289" t="s">
        <v>2113</v>
      </c>
    </row>
    <row r="864" spans="1:7">
      <c r="A864" s="289" t="s">
        <v>2114</v>
      </c>
      <c r="B864" s="291" t="s">
        <v>2115</v>
      </c>
      <c r="C864" s="289" t="s">
        <v>2116</v>
      </c>
      <c r="D864" s="95"/>
    </row>
    <row r="865" spans="1:4">
      <c r="A865" s="289" t="s">
        <v>2117</v>
      </c>
      <c r="B865" s="291" t="s">
        <v>2118</v>
      </c>
      <c r="C865" s="289" t="s">
        <v>2119</v>
      </c>
      <c r="D865" s="95"/>
    </row>
    <row r="866" spans="1:4">
      <c r="A866" s="289" t="s">
        <v>1951</v>
      </c>
      <c r="B866" s="291" t="s">
        <v>1952</v>
      </c>
      <c r="C866" s="289" t="s">
        <v>1953</v>
      </c>
      <c r="D866" s="95"/>
    </row>
    <row r="867" spans="1:4" ht="25.5">
      <c r="A867" s="289" t="s">
        <v>2120</v>
      </c>
      <c r="B867" s="291" t="s">
        <v>2121</v>
      </c>
      <c r="C867" s="289" t="s">
        <v>2122</v>
      </c>
      <c r="D867" s="95"/>
    </row>
    <row r="868" spans="1:4" ht="38.25">
      <c r="A868" s="289" t="s">
        <v>2123</v>
      </c>
      <c r="B868" s="291" t="s">
        <v>2124</v>
      </c>
      <c r="C868" s="289" t="s">
        <v>2125</v>
      </c>
    </row>
    <row r="869" spans="1:4" ht="38.25">
      <c r="A869" s="291" t="s">
        <v>2126</v>
      </c>
      <c r="B869" s="659" t="s">
        <v>2124</v>
      </c>
      <c r="C869" s="658" t="s">
        <v>2125</v>
      </c>
    </row>
    <row r="870" spans="1:4" ht="38.25">
      <c r="A870" s="289" t="s">
        <v>2127</v>
      </c>
      <c r="B870" s="291" t="s">
        <v>2128</v>
      </c>
      <c r="C870" s="289" t="s">
        <v>2129</v>
      </c>
    </row>
    <row r="871" spans="1:4" ht="38.25">
      <c r="A871" s="289" t="s">
        <v>2130</v>
      </c>
      <c r="B871" s="659" t="s">
        <v>2128</v>
      </c>
      <c r="C871" s="658" t="s">
        <v>2129</v>
      </c>
    </row>
    <row r="872" spans="1:4" ht="25.5">
      <c r="A872" s="289" t="s">
        <v>2131</v>
      </c>
      <c r="B872" s="291" t="s">
        <v>2132</v>
      </c>
      <c r="C872" s="289" t="s">
        <v>2133</v>
      </c>
    </row>
    <row r="873" spans="1:4" ht="38.25">
      <c r="A873" s="289" t="s">
        <v>2134</v>
      </c>
      <c r="B873" s="291" t="s">
        <v>2135</v>
      </c>
      <c r="C873" s="289" t="s">
        <v>2136</v>
      </c>
    </row>
    <row r="874" spans="1:4" ht="38.25">
      <c r="A874" s="291" t="s">
        <v>2137</v>
      </c>
      <c r="B874" s="659" t="s">
        <v>2135</v>
      </c>
      <c r="C874" s="658" t="s">
        <v>2136</v>
      </c>
    </row>
    <row r="875" spans="1:4" ht="38.25">
      <c r="A875" s="289" t="s">
        <v>2138</v>
      </c>
      <c r="B875" s="291" t="s">
        <v>2139</v>
      </c>
      <c r="C875" s="289" t="s">
        <v>2140</v>
      </c>
    </row>
    <row r="876" spans="1:4" ht="38.25">
      <c r="A876" s="291" t="s">
        <v>2141</v>
      </c>
      <c r="B876" s="659" t="s">
        <v>2139</v>
      </c>
      <c r="C876" s="658" t="s">
        <v>2140</v>
      </c>
    </row>
    <row r="877" spans="1:4">
      <c r="A877" s="289" t="str">
        <f>"Zapasy brutto na "&amp;dzb</f>
        <v>Zapasy brutto na 31.12.2024</v>
      </c>
      <c r="B877" s="289" t="str">
        <f>"Vorräte brutto zum "&amp;dzb</f>
        <v>Vorräte brutto zum 31.12.2024</v>
      </c>
      <c r="C877" s="289" t="str">
        <f>"Gross inventories as of "&amp;dzb</f>
        <v>Gross inventories as of 31.12.2024</v>
      </c>
    </row>
    <row r="878" spans="1:4">
      <c r="A878" s="289" t="str">
        <f>"Zapasy netto na "&amp;dzb</f>
        <v>Zapasy netto na 31.12.2024</v>
      </c>
      <c r="B878" s="289" t="str">
        <f>"Vorräte netto zum "&amp;dzb</f>
        <v>Vorräte netto zum 31.12.2024</v>
      </c>
      <c r="C878" s="289" t="str">
        <f>"Net inventories as of "&amp;dzb</f>
        <v>Net inventories as of 31.12.2024</v>
      </c>
    </row>
    <row r="879" spans="1:4" ht="25.5">
      <c r="A879" s="289" t="str">
        <f>"Stan odpisów na "&amp;dzbo</f>
        <v>Stan odpisów na 01.01.2024</v>
      </c>
      <c r="B879" s="289" t="str">
        <f>"Stand der Wertberichtigungen zum "&amp;dzbo</f>
        <v>Stand der Wertberichtigungen zum 01.01.2024</v>
      </c>
      <c r="C879" s="289" t="str">
        <f>"Value adjustment write-downs as of "&amp;dzbo</f>
        <v>Value adjustment write-downs as of 01.01.2024</v>
      </c>
    </row>
    <row r="880" spans="1:4" ht="25.5">
      <c r="A880" s="289" t="str">
        <f>"Stan odpisów na "&amp;dzb</f>
        <v>Stan odpisów na 31.12.2024</v>
      </c>
      <c r="B880" s="289" t="str">
        <f>"Stand der Wertberichtigungen zum "&amp;dzb</f>
        <v>Stand der Wertberichtigungen zum 31.12.2024</v>
      </c>
      <c r="C880" s="289" t="str">
        <f>"Value adjustment write-downs as of "&amp;dzb</f>
        <v>Value adjustment write-downs as of 31.12.2024</v>
      </c>
    </row>
    <row r="881" spans="1:5" ht="25.5">
      <c r="A881" s="289" t="str">
        <f>"Stan odpisów na "&amp;pdzo</f>
        <v>Stan odpisów na 01.01.2023</v>
      </c>
      <c r="B881" s="289" t="str">
        <f>"Stand der Wertberichtigungen zum "&amp;pdzo</f>
        <v>Stand der Wertberichtigungen zum 01.01.2023</v>
      </c>
      <c r="C881" s="289" t="str">
        <f>"Value adjustment write-downs as of "&amp;pdzo</f>
        <v>Value adjustment write-downs as of 01.01.2023</v>
      </c>
    </row>
    <row r="882" spans="1:5" ht="25.5">
      <c r="A882" s="289" t="str">
        <f>"Stan odpisów na "&amp;pdz</f>
        <v>Stan odpisów na 31.12.2023</v>
      </c>
      <c r="B882" s="289" t="str">
        <f>"Stand der Wertberichtigungen zum "&amp;pdz</f>
        <v>Stand der Wertberichtigungen zum 31.12.2023</v>
      </c>
      <c r="C882" s="289" t="str">
        <f>"Value adjustment write-downs as of "&amp;pdz</f>
        <v>Value adjustment write-downs as of 31.12.2023</v>
      </c>
    </row>
    <row r="883" spans="1:5">
      <c r="A883" s="289" t="str">
        <f>"Zapasy brutto na "&amp;pdz</f>
        <v>Zapasy brutto na 31.12.2023</v>
      </c>
      <c r="B883" s="289" t="str">
        <f>"Vorräte brutto zum "&amp;pdz</f>
        <v>Vorräte brutto zum 31.12.2023</v>
      </c>
      <c r="C883" s="289" t="str">
        <f>"Gross inventories as of "&amp;pdz</f>
        <v>Gross inventories as of 31.12.2023</v>
      </c>
      <c r="D883" s="95"/>
      <c r="E883" s="95"/>
    </row>
    <row r="884" spans="1:5">
      <c r="A884" s="289" t="str">
        <f>"Zapasy netto na "&amp;pdz</f>
        <v>Zapasy netto na 31.12.2023</v>
      </c>
      <c r="B884" s="289" t="str">
        <f>"Vorräte netto zum "&amp;pdz</f>
        <v>Vorräte netto zum 31.12.2023</v>
      </c>
      <c r="C884" s="289" t="str">
        <f>"Net inventories as of "&amp;pdz</f>
        <v>Net inventories as of 31.12.2023</v>
      </c>
      <c r="D884" s="95"/>
      <c r="E884" s="95"/>
    </row>
    <row r="885" spans="1:5" ht="25.5">
      <c r="A885" s="289" t="str">
        <f>"Zmiany stanu odpisów aktualizujących zapasy w ciągu roku obrotowego "&amp;ro</f>
        <v>Zmiany stanu odpisów aktualizujących zapasy w ciągu roku obrotowego 2024</v>
      </c>
      <c r="B885" s="289" t="str">
        <f>"Änderungen bei den Wertberichtigungen auf Vorräte im Laufe des Geschäftsjahres "&amp;ro</f>
        <v>Änderungen bei den Wertberichtigungen auf Vorräte im Laufe des Geschäftsjahres 2024</v>
      </c>
      <c r="C885" s="289" t="str">
        <f>"Movements in value adjustment write-downs of inventories during the FY "&amp;ro</f>
        <v>Movements in value adjustment write-downs of inventories during the FY 2024</v>
      </c>
      <c r="D885" s="95"/>
    </row>
    <row r="886" spans="1:5" ht="39" customHeight="1">
      <c r="A886" s="289" t="str">
        <f>"Zmiany stanu odpisów aktualizujących zapasy w ciągu roku obrotowego "&amp;IF(LEN(ro)&gt;4,_xlfn.TEXTBEFORE(ro,"/")-1&amp;"/"&amp;_xlfn.TEXTAFTER(ro,"/")-1,ro-1)</f>
        <v>Zmiany stanu odpisów aktualizujących zapasy w ciągu roku obrotowego 2023</v>
      </c>
      <c r="B886" s="289" t="str">
        <f>"Änderungen bei den Wertberichtigungen auf Vorräte im Laufe des Geschäftsjahres "&amp;IF(LEN(ro)&gt;4,_xlfn.TEXTBEFORE(ro,"/")-1&amp;"/"&amp;_xlfn.TEXTAFTER(ro,"/")-1,ro-1)</f>
        <v>Änderungen bei den Wertberichtigungen auf Vorräte im Laufe des Geschäftsjahres 2023</v>
      </c>
      <c r="C886" s="289" t="str">
        <f>"Movements in value adjustment write-downs of inventories during the FY "&amp;IF(LEN(ro)&gt;4,_xlfn.TEXTBEFORE(ro,"/")-1&amp;"/"&amp;_xlfn.TEXTAFTER(ro,"/")-1,ro-1)</f>
        <v>Movements in value adjustment write-downs of inventories during the FY 2023</v>
      </c>
      <c r="D886" s="95"/>
    </row>
    <row r="887" spans="1:5" ht="51">
      <c r="A887" s="289" t="s">
        <v>2142</v>
      </c>
      <c r="B887" s="291" t="s">
        <v>2143</v>
      </c>
      <c r="C887" s="289" t="s">
        <v>2144</v>
      </c>
      <c r="D887" s="95"/>
    </row>
    <row r="888" spans="1:5" ht="38.25">
      <c r="A888" s="289" t="str">
        <f>"W roku obrotowym "&amp;ro&amp;" nie zaniechano części działalności oraz nie planuje się jej zaniechania w roku kolejnym."</f>
        <v>W roku obrotowym 2024 nie zaniechano części działalności oraz nie planuje się jej zaniechania w roku kolejnym.</v>
      </c>
      <c r="B888" s="289" t="str">
        <f>"Im Geschäftsjahr "&amp;ro&amp;" wurde die Tätigkeit weder teilweise eingestellt noch ist deren Einstellung im nächsten Jahr geplant."</f>
        <v>Im Geschäftsjahr 2024 wurde die Tätigkeit weder teilweise eingestellt noch ist deren Einstellung im nächsten Jahr geplant.</v>
      </c>
      <c r="C888" s="289" t="str">
        <f>"No part of the business was discontinued in the financial year "&amp;ro&amp;" and the Company does not plan its discontnuation in the following year."</f>
        <v>No part of the business was discontinued in the financial year 2024 and the Company does not plan its discontnuation in the following year.</v>
      </c>
      <c r="D888" s="95"/>
    </row>
    <row r="889" spans="1:5">
      <c r="A889" s="289" t="s">
        <v>2145</v>
      </c>
      <c r="B889" s="289" t="s">
        <v>2146</v>
      </c>
      <c r="C889" s="291" t="s">
        <v>2147</v>
      </c>
      <c r="D889" s="95"/>
    </row>
    <row r="890" spans="1:5">
      <c r="A890" s="289" t="s">
        <v>2148</v>
      </c>
      <c r="B890" s="289" t="s">
        <v>2149</v>
      </c>
      <c r="C890" s="289" t="s">
        <v>2150</v>
      </c>
      <c r="D890" s="95"/>
    </row>
    <row r="891" spans="1:5">
      <c r="A891" s="289" t="s">
        <v>2151</v>
      </c>
      <c r="B891" s="289" t="s">
        <v>2152</v>
      </c>
      <c r="C891" s="289" t="s">
        <v>2153</v>
      </c>
      <c r="D891" s="95"/>
    </row>
    <row r="892" spans="1:5">
      <c r="A892" s="289" t="s">
        <v>2154</v>
      </c>
      <c r="B892" s="289" t="s">
        <v>2155</v>
      </c>
      <c r="C892" s="289" t="s">
        <v>2156</v>
      </c>
      <c r="D892" s="95"/>
    </row>
    <row r="893" spans="1:5">
      <c r="A893" s="289" t="s">
        <v>2157</v>
      </c>
      <c r="B893" s="289" t="s">
        <v>1211</v>
      </c>
      <c r="C893" s="289" t="s">
        <v>2158</v>
      </c>
      <c r="D893" s="95"/>
    </row>
    <row r="894" spans="1:5" ht="25.5">
      <c r="A894" s="289" t="s">
        <v>2159</v>
      </c>
      <c r="B894" s="289" t="s">
        <v>2160</v>
      </c>
      <c r="C894" s="291" t="s">
        <v>2161</v>
      </c>
      <c r="D894" s="95"/>
    </row>
    <row r="895" spans="1:5" ht="51">
      <c r="A895" s="289" t="s">
        <v>2162</v>
      </c>
      <c r="B895" s="291" t="s">
        <v>2163</v>
      </c>
      <c r="C895" s="289" t="s">
        <v>2164</v>
      </c>
      <c r="D895" s="95"/>
    </row>
    <row r="896" spans="1:5">
      <c r="A896" s="289" t="s">
        <v>1261</v>
      </c>
      <c r="B896" s="291" t="s">
        <v>2165</v>
      </c>
      <c r="C896" s="289" t="s">
        <v>2166</v>
      </c>
      <c r="D896" s="95"/>
    </row>
    <row r="897" spans="1:6">
      <c r="A897" s="289" t="s">
        <v>2167</v>
      </c>
      <c r="B897" s="291" t="s">
        <v>2168</v>
      </c>
      <c r="C897" s="289" t="s">
        <v>2169</v>
      </c>
      <c r="D897" s="524"/>
      <c r="E897" s="524"/>
      <c r="F897" s="525"/>
    </row>
    <row r="898" spans="1:6" ht="25.5">
      <c r="A898" s="289" t="s">
        <v>2170</v>
      </c>
      <c r="B898" s="289" t="s">
        <v>2171</v>
      </c>
      <c r="C898" s="289" t="s">
        <v>2172</v>
      </c>
      <c r="D898" s="95"/>
    </row>
    <row r="899" spans="1:6" ht="25.5">
      <c r="A899" s="289" t="s">
        <v>2173</v>
      </c>
      <c r="B899" s="289" t="s">
        <v>2174</v>
      </c>
      <c r="C899" s="289" t="s">
        <v>2175</v>
      </c>
      <c r="D899" s="95"/>
    </row>
    <row r="900" spans="1:6" ht="25.5">
      <c r="A900" s="289" t="s">
        <v>2176</v>
      </c>
      <c r="B900" s="289" t="s">
        <v>2177</v>
      </c>
      <c r="C900" s="289" t="s">
        <v>2178</v>
      </c>
      <c r="D900" s="95"/>
    </row>
    <row r="901" spans="1:6" ht="38.25">
      <c r="A901" s="289" t="s">
        <v>2179</v>
      </c>
      <c r="B901" s="289" t="s">
        <v>2180</v>
      </c>
      <c r="C901" s="289" t="s">
        <v>2181</v>
      </c>
      <c r="D901" s="95"/>
    </row>
    <row r="902" spans="1:6" ht="38.25">
      <c r="A902" s="289" t="s">
        <v>2182</v>
      </c>
      <c r="B902" s="289" t="s">
        <v>2183</v>
      </c>
      <c r="C902" s="289" t="s">
        <v>2184</v>
      </c>
      <c r="D902" s="95"/>
    </row>
    <row r="903" spans="1:6" ht="38.25">
      <c r="A903" s="289" t="s">
        <v>2185</v>
      </c>
      <c r="B903" s="289" t="s">
        <v>2186</v>
      </c>
      <c r="C903" s="289" t="s">
        <v>2187</v>
      </c>
      <c r="D903" s="95"/>
    </row>
    <row r="904" spans="1:6" ht="51">
      <c r="A904" s="289" t="s">
        <v>2188</v>
      </c>
      <c r="B904" s="289" t="s">
        <v>2189</v>
      </c>
      <c r="C904" s="289" t="s">
        <v>2190</v>
      </c>
      <c r="D904" s="95"/>
    </row>
    <row r="905" spans="1:6">
      <c r="A905" s="289" t="s">
        <v>2191</v>
      </c>
      <c r="B905" s="289" t="s">
        <v>2192</v>
      </c>
      <c r="C905" s="289" t="s">
        <v>2193</v>
      </c>
      <c r="D905" s="95"/>
    </row>
    <row r="906" spans="1:6" ht="25.5">
      <c r="A906" s="289" t="s">
        <v>2194</v>
      </c>
      <c r="B906" s="289" t="s">
        <v>2195</v>
      </c>
      <c r="C906" s="289" t="s">
        <v>2196</v>
      </c>
      <c r="D906" s="95"/>
    </row>
    <row r="907" spans="1:6" ht="25.5">
      <c r="A907" s="289" t="s">
        <v>2197</v>
      </c>
      <c r="B907" s="289" t="s">
        <v>2198</v>
      </c>
      <c r="C907" s="289" t="s">
        <v>2199</v>
      </c>
      <c r="D907" s="95"/>
    </row>
    <row r="908" spans="1:6">
      <c r="A908" s="289" t="s">
        <v>2200</v>
      </c>
      <c r="B908" s="289" t="s">
        <v>2201</v>
      </c>
      <c r="C908" s="289" t="s">
        <v>2202</v>
      </c>
      <c r="D908" s="95"/>
    </row>
    <row r="909" spans="1:6" ht="25.5">
      <c r="A909" s="289" t="s">
        <v>2203</v>
      </c>
      <c r="B909" s="289" t="s">
        <v>2204</v>
      </c>
      <c r="C909" s="289" t="s">
        <v>2205</v>
      </c>
      <c r="D909" s="95"/>
    </row>
    <row r="910" spans="1:6" ht="25.5">
      <c r="A910" s="289" t="s">
        <v>2206</v>
      </c>
      <c r="B910" s="289" t="s">
        <v>2207</v>
      </c>
      <c r="C910" s="289" t="s">
        <v>2208</v>
      </c>
      <c r="D910" s="95"/>
    </row>
    <row r="911" spans="1:6">
      <c r="A911" s="289" t="s">
        <v>2209</v>
      </c>
      <c r="B911" s="289" t="s">
        <v>1952</v>
      </c>
      <c r="C911" s="289" t="s">
        <v>1953</v>
      </c>
      <c r="D911" s="95"/>
    </row>
    <row r="912" spans="1:6">
      <c r="A912" s="289" t="s">
        <v>2210</v>
      </c>
      <c r="B912" s="291" t="s">
        <v>1249</v>
      </c>
      <c r="C912" s="289" t="s">
        <v>2211</v>
      </c>
      <c r="D912" s="95"/>
    </row>
    <row r="913" spans="1:7">
      <c r="A913" s="289" t="s">
        <v>2212</v>
      </c>
      <c r="B913" s="291" t="s">
        <v>2213</v>
      </c>
      <c r="C913" s="289" t="s">
        <v>2214</v>
      </c>
      <c r="D913" s="95"/>
    </row>
    <row r="914" spans="1:7" ht="25.5">
      <c r="A914" s="289" t="s">
        <v>2215</v>
      </c>
      <c r="B914" s="291" t="s">
        <v>2216</v>
      </c>
      <c r="C914" s="289" t="s">
        <v>2217</v>
      </c>
      <c r="D914" s="95"/>
    </row>
    <row r="915" spans="1:7" ht="51">
      <c r="A915" s="289" t="s">
        <v>2218</v>
      </c>
      <c r="B915" s="291" t="s">
        <v>2219</v>
      </c>
      <c r="C915" s="289" t="s">
        <v>2220</v>
      </c>
      <c r="D915" s="95"/>
    </row>
    <row r="916" spans="1:7">
      <c r="A916" s="289" t="s">
        <v>2221</v>
      </c>
      <c r="B916" s="291" t="s">
        <v>2222</v>
      </c>
      <c r="C916" s="289" t="s">
        <v>2223</v>
      </c>
      <c r="D916" s="95"/>
    </row>
    <row r="917" spans="1:7">
      <c r="A917" s="289" t="s">
        <v>2224</v>
      </c>
      <c r="B917" s="291" t="s">
        <v>2225</v>
      </c>
      <c r="C917" s="289" t="s">
        <v>2226</v>
      </c>
      <c r="D917" s="95"/>
    </row>
    <row r="918" spans="1:7">
      <c r="A918" s="289" t="s">
        <v>2227</v>
      </c>
      <c r="B918" s="291" t="s">
        <v>2228</v>
      </c>
      <c r="C918" s="289" t="s">
        <v>2229</v>
      </c>
      <c r="D918" s="95"/>
    </row>
    <row r="919" spans="1:7" ht="25.5">
      <c r="A919" s="289" t="s">
        <v>2230</v>
      </c>
      <c r="B919" s="291" t="s">
        <v>2231</v>
      </c>
      <c r="C919" s="289" t="s">
        <v>2232</v>
      </c>
      <c r="D919" s="95"/>
    </row>
    <row r="920" spans="1:7">
      <c r="A920" s="289" t="s">
        <v>1261</v>
      </c>
      <c r="B920" s="291" t="s">
        <v>1262</v>
      </c>
      <c r="C920" s="289" t="s">
        <v>2233</v>
      </c>
      <c r="D920" s="95"/>
    </row>
    <row r="921" spans="1:7">
      <c r="A921" s="289" t="s">
        <v>2234</v>
      </c>
      <c r="B921" s="291" t="s">
        <v>2235</v>
      </c>
      <c r="C921" s="289" t="s">
        <v>2236</v>
      </c>
      <c r="D921" s="504"/>
      <c r="E921" s="289" t="s">
        <v>157</v>
      </c>
    </row>
    <row r="922" spans="1:7">
      <c r="A922" s="289" t="s">
        <v>2237</v>
      </c>
      <c r="B922" s="291" t="s">
        <v>2238</v>
      </c>
      <c r="C922" s="289" t="s">
        <v>2239</v>
      </c>
      <c r="D922" s="504"/>
      <c r="E922" s="289" t="s">
        <v>160</v>
      </c>
    </row>
    <row r="923" spans="1:7" ht="63.75">
      <c r="A923" s="289" t="s">
        <v>2240</v>
      </c>
      <c r="B923" s="291" t="s">
        <v>2241</v>
      </c>
      <c r="C923" s="291" t="s">
        <v>2242</v>
      </c>
      <c r="D923" s="504"/>
    </row>
    <row r="924" spans="1:7" ht="25.5">
      <c r="A924" s="289" t="s">
        <v>2243</v>
      </c>
      <c r="B924" s="291" t="s">
        <v>2244</v>
      </c>
      <c r="C924" s="291" t="s">
        <v>308</v>
      </c>
      <c r="D924" s="95"/>
      <c r="E924" s="289" t="s">
        <v>2245</v>
      </c>
      <c r="F924" s="291" t="s">
        <v>2246</v>
      </c>
      <c r="G924" s="289" t="s">
        <v>2247</v>
      </c>
    </row>
    <row r="925" spans="1:7" ht="25.5">
      <c r="A925" s="291" t="s">
        <v>2248</v>
      </c>
      <c r="B925" s="659" t="s">
        <v>2244</v>
      </c>
      <c r="C925" s="659" t="s">
        <v>308</v>
      </c>
      <c r="D925" s="95"/>
      <c r="F925" s="291"/>
    </row>
    <row r="926" spans="1:7" ht="38.25">
      <c r="A926" s="289" t="s">
        <v>2249</v>
      </c>
      <c r="B926" s="291" t="s">
        <v>2250</v>
      </c>
      <c r="C926" s="291" t="s">
        <v>2251</v>
      </c>
      <c r="D926" s="95"/>
    </row>
    <row r="927" spans="1:7" ht="38.25">
      <c r="A927" s="291" t="s">
        <v>2252</v>
      </c>
      <c r="B927" s="659" t="s">
        <v>2250</v>
      </c>
      <c r="C927" s="659" t="s">
        <v>2251</v>
      </c>
      <c r="D927" s="95"/>
    </row>
    <row r="928" spans="1:7" ht="25.5">
      <c r="A928" s="289" t="s">
        <v>2253</v>
      </c>
      <c r="B928" s="291" t="s">
        <v>2254</v>
      </c>
      <c r="C928" s="291" t="s">
        <v>2255</v>
      </c>
      <c r="D928" s="95"/>
    </row>
    <row r="929" spans="1:4" ht="25.5">
      <c r="A929" s="291" t="s">
        <v>2256</v>
      </c>
      <c r="B929" s="659" t="s">
        <v>2254</v>
      </c>
      <c r="C929" s="659" t="s">
        <v>2255</v>
      </c>
      <c r="D929" s="95"/>
    </row>
    <row r="930" spans="1:4" ht="25.5">
      <c r="A930" s="289" t="s">
        <v>2257</v>
      </c>
      <c r="B930" s="291" t="s">
        <v>1150</v>
      </c>
      <c r="C930" s="291" t="s">
        <v>2258</v>
      </c>
      <c r="D930" s="95"/>
    </row>
    <row r="931" spans="1:4">
      <c r="A931" s="289" t="s">
        <v>2259</v>
      </c>
      <c r="B931" s="291" t="s">
        <v>2260</v>
      </c>
      <c r="C931" s="289" t="s">
        <v>2261</v>
      </c>
      <c r="D931" s="95"/>
    </row>
    <row r="932" spans="1:4">
      <c r="A932" s="289" t="s">
        <v>2262</v>
      </c>
      <c r="B932" s="291" t="s">
        <v>2263</v>
      </c>
      <c r="C932" s="289" t="s">
        <v>2264</v>
      </c>
      <c r="D932" s="95"/>
    </row>
    <row r="933" spans="1:4" ht="25.5">
      <c r="A933" s="289" t="s">
        <v>2265</v>
      </c>
      <c r="B933" s="291" t="s">
        <v>2266</v>
      </c>
      <c r="C933" s="289" t="s">
        <v>2267</v>
      </c>
      <c r="D933" s="95"/>
    </row>
    <row r="934" spans="1:4">
      <c r="A934" s="289" t="s">
        <v>2268</v>
      </c>
      <c r="B934" s="291" t="s">
        <v>2269</v>
      </c>
      <c r="C934" s="289" t="s">
        <v>2270</v>
      </c>
      <c r="D934" s="95"/>
    </row>
    <row r="935" spans="1:4">
      <c r="A935" s="289" t="s">
        <v>2271</v>
      </c>
      <c r="B935" s="291" t="s">
        <v>2272</v>
      </c>
      <c r="C935" s="289" t="s">
        <v>2273</v>
      </c>
      <c r="D935" s="95"/>
    </row>
    <row r="936" spans="1:4">
      <c r="A936" s="289" t="s">
        <v>2274</v>
      </c>
      <c r="B936" s="291" t="s">
        <v>2275</v>
      </c>
      <c r="C936" s="289" t="s">
        <v>2276</v>
      </c>
      <c r="D936" s="95"/>
    </row>
    <row r="937" spans="1:4" ht="25.5">
      <c r="A937" s="289" t="s">
        <v>2277</v>
      </c>
      <c r="B937" s="291" t="s">
        <v>2278</v>
      </c>
      <c r="C937" s="289" t="s">
        <v>2279</v>
      </c>
      <c r="D937" s="95"/>
    </row>
    <row r="938" spans="1:4" ht="25.5">
      <c r="A938" s="289" t="s">
        <v>2280</v>
      </c>
      <c r="B938" s="291" t="s">
        <v>2281</v>
      </c>
      <c r="C938" s="289" t="s">
        <v>2282</v>
      </c>
      <c r="D938" s="95"/>
    </row>
    <row r="939" spans="1:4" ht="51">
      <c r="A939" s="289" t="s">
        <v>2283</v>
      </c>
      <c r="B939" s="291" t="s">
        <v>2284</v>
      </c>
      <c r="C939" s="289" t="s">
        <v>2285</v>
      </c>
      <c r="D939" s="95"/>
    </row>
    <row r="940" spans="1:4">
      <c r="A940" s="289" t="s">
        <v>1367</v>
      </c>
      <c r="B940" s="291" t="s">
        <v>1368</v>
      </c>
      <c r="C940" s="289" t="s">
        <v>1436</v>
      </c>
      <c r="D940" s="95"/>
    </row>
    <row r="941" spans="1:4" ht="25.5" customHeight="1">
      <c r="A941" s="289" t="s">
        <v>2286</v>
      </c>
      <c r="B941" s="291" t="s">
        <v>2287</v>
      </c>
      <c r="C941" s="289" t="s">
        <v>2288</v>
      </c>
      <c r="D941" s="95"/>
    </row>
    <row r="942" spans="1:4" ht="63.75">
      <c r="A942" s="291" t="s">
        <v>2289</v>
      </c>
      <c r="B942" s="291" t="s">
        <v>2290</v>
      </c>
      <c r="C942" s="289" t="s">
        <v>2291</v>
      </c>
      <c r="D942" s="95"/>
    </row>
    <row r="943" spans="1:4" ht="63.75">
      <c r="A943" s="291" t="s">
        <v>2292</v>
      </c>
      <c r="B943" s="659" t="s">
        <v>2290</v>
      </c>
      <c r="C943" s="658" t="s">
        <v>2291</v>
      </c>
      <c r="D943" s="95"/>
    </row>
    <row r="944" spans="1:4" ht="51">
      <c r="A944" s="291" t="s">
        <v>2293</v>
      </c>
      <c r="B944" s="291" t="s">
        <v>2294</v>
      </c>
      <c r="C944" s="289" t="s">
        <v>2295</v>
      </c>
      <c r="D944" s="95"/>
    </row>
    <row r="945" spans="1:4" ht="51">
      <c r="A945" s="291" t="s">
        <v>2296</v>
      </c>
      <c r="B945" s="659" t="s">
        <v>2294</v>
      </c>
      <c r="C945" s="658" t="s">
        <v>2295</v>
      </c>
      <c r="D945" s="95"/>
    </row>
    <row r="946" spans="1:4" ht="25.5">
      <c r="A946" s="289" t="s">
        <v>2297</v>
      </c>
      <c r="B946" s="289" t="s">
        <v>2298</v>
      </c>
      <c r="C946" s="289" t="s">
        <v>2299</v>
      </c>
      <c r="D946" s="95"/>
    </row>
    <row r="947" spans="1:4">
      <c r="A947" s="289" t="s">
        <v>2300</v>
      </c>
      <c r="B947" s="291" t="s">
        <v>2301</v>
      </c>
      <c r="C947" s="289" t="s">
        <v>2133</v>
      </c>
      <c r="D947" s="95"/>
    </row>
    <row r="948" spans="1:4" ht="25.5">
      <c r="A948" s="289" t="s">
        <v>2302</v>
      </c>
      <c r="B948" s="291" t="s">
        <v>2303</v>
      </c>
      <c r="C948" s="289" t="s">
        <v>2304</v>
      </c>
      <c r="D948" s="95"/>
    </row>
    <row r="949" spans="1:4" ht="25.5">
      <c r="A949" s="289" t="s">
        <v>2305</v>
      </c>
      <c r="B949" s="291" t="s">
        <v>2306</v>
      </c>
      <c r="C949" s="289" t="s">
        <v>2307</v>
      </c>
      <c r="D949" s="95"/>
    </row>
    <row r="950" spans="1:4">
      <c r="A950" s="289" t="s">
        <v>2308</v>
      </c>
      <c r="B950" s="291" t="s">
        <v>2309</v>
      </c>
      <c r="C950" s="289" t="s">
        <v>2310</v>
      </c>
      <c r="D950" s="95"/>
    </row>
    <row r="951" spans="1:4">
      <c r="A951" s="289" t="s">
        <v>2311</v>
      </c>
      <c r="B951" s="291" t="s">
        <v>2312</v>
      </c>
      <c r="C951" s="289" t="s">
        <v>2313</v>
      </c>
      <c r="D951" s="95"/>
    </row>
    <row r="952" spans="1:4" ht="25.5">
      <c r="A952" s="289" t="s">
        <v>909</v>
      </c>
      <c r="B952" s="291" t="s">
        <v>2314</v>
      </c>
      <c r="C952" s="289" t="s">
        <v>911</v>
      </c>
      <c r="D952" s="95"/>
    </row>
    <row r="953" spans="1:4" ht="25.5">
      <c r="A953" s="289" t="s">
        <v>2315</v>
      </c>
      <c r="B953" s="291" t="s">
        <v>2316</v>
      </c>
      <c r="C953" s="289" t="s">
        <v>2317</v>
      </c>
      <c r="D953" s="95"/>
    </row>
    <row r="954" spans="1:4" ht="38.25">
      <c r="A954" s="289" t="s">
        <v>2318</v>
      </c>
      <c r="B954" s="291" t="s">
        <v>2319</v>
      </c>
      <c r="C954" s="289" t="s">
        <v>2320</v>
      </c>
      <c r="D954" s="95"/>
    </row>
    <row r="955" spans="1:4" ht="25.5">
      <c r="A955" s="289" t="s">
        <v>2321</v>
      </c>
      <c r="B955" s="291" t="s">
        <v>2322</v>
      </c>
      <c r="C955" s="507" t="s">
        <v>2323</v>
      </c>
      <c r="D955" s="95"/>
    </row>
    <row r="956" spans="1:4" ht="25.5">
      <c r="A956" s="289" t="s">
        <v>2324</v>
      </c>
      <c r="B956" s="291" t="s">
        <v>2325</v>
      </c>
      <c r="C956" s="289" t="s">
        <v>2326</v>
      </c>
      <c r="D956" s="95"/>
    </row>
    <row r="957" spans="1:4">
      <c r="B957" s="291"/>
      <c r="D957" s="95"/>
    </row>
    <row r="958" spans="1:4">
      <c r="A958" s="289" t="s">
        <v>2327</v>
      </c>
      <c r="B958" s="291" t="s">
        <v>2328</v>
      </c>
      <c r="C958" s="289" t="s">
        <v>1043</v>
      </c>
      <c r="D958" s="95"/>
    </row>
    <row r="959" spans="1:4" ht="25.5">
      <c r="A959" s="289" t="s">
        <v>2329</v>
      </c>
      <c r="B959" s="291" t="s">
        <v>2330</v>
      </c>
      <c r="C959" s="289" t="s">
        <v>2331</v>
      </c>
      <c r="D959" s="95"/>
    </row>
    <row r="960" spans="1:4" ht="25.5">
      <c r="A960" s="289" t="s">
        <v>2332</v>
      </c>
      <c r="B960" s="291" t="s">
        <v>2333</v>
      </c>
      <c r="C960" s="507" t="s">
        <v>2334</v>
      </c>
      <c r="D960" s="95"/>
    </row>
    <row r="961" spans="1:4" ht="25.5">
      <c r="A961" s="289" t="s">
        <v>2335</v>
      </c>
      <c r="B961" s="291" t="s">
        <v>2336</v>
      </c>
      <c r="C961" s="289" t="s">
        <v>2337</v>
      </c>
      <c r="D961" s="95"/>
    </row>
    <row r="962" spans="1:4" ht="51">
      <c r="A962" s="289" t="s">
        <v>2338</v>
      </c>
      <c r="B962" s="291" t="s">
        <v>2339</v>
      </c>
      <c r="C962" s="491" t="s">
        <v>2340</v>
      </c>
      <c r="D962" s="95"/>
    </row>
    <row r="963" spans="1:4">
      <c r="A963" s="289" t="s">
        <v>2341</v>
      </c>
      <c r="B963" s="291" t="s">
        <v>2342</v>
      </c>
      <c r="C963" s="491" t="s">
        <v>2343</v>
      </c>
    </row>
    <row r="964" spans="1:4">
      <c r="A964" s="496" t="s">
        <v>2344</v>
      </c>
      <c r="B964" s="529" t="s">
        <v>2345</v>
      </c>
      <c r="C964" s="495" t="s">
        <v>2346</v>
      </c>
    </row>
    <row r="965" spans="1:4" ht="38.25">
      <c r="A965" s="496" t="s">
        <v>2347</v>
      </c>
      <c r="B965" s="529" t="s">
        <v>2348</v>
      </c>
      <c r="C965" s="495" t="s">
        <v>2349</v>
      </c>
    </row>
    <row r="966" spans="1:4" ht="24.75" customHeight="1">
      <c r="A966" s="289" t="s">
        <v>2350</v>
      </c>
      <c r="B966" s="291" t="s">
        <v>2351</v>
      </c>
      <c r="C966" s="491" t="s">
        <v>2352</v>
      </c>
      <c r="D966" s="95"/>
    </row>
    <row r="967" spans="1:4" ht="38.25">
      <c r="A967" s="289" t="s">
        <v>2353</v>
      </c>
      <c r="B967" s="291" t="s">
        <v>2354</v>
      </c>
      <c r="C967" s="491" t="s">
        <v>2355</v>
      </c>
      <c r="D967" s="95"/>
    </row>
    <row r="968" spans="1:4" ht="38.25">
      <c r="A968" s="289" t="s">
        <v>2356</v>
      </c>
      <c r="B968" s="291" t="s">
        <v>2357</v>
      </c>
      <c r="C968" s="289" t="s">
        <v>2358</v>
      </c>
      <c r="D968" s="95"/>
    </row>
    <row r="969" spans="1:4" ht="38.25">
      <c r="A969" s="289" t="str">
        <f>"Spółka nie ponosiła w roku obrotowym "&amp;ro&amp;" nakładów na niefinansowe aktywa trwałe."</f>
        <v>Spółka nie ponosiła w roku obrotowym 2024 nakładów na niefinansowe aktywa trwałe.</v>
      </c>
      <c r="B969" s="291" t="str">
        <f>"Im Geschäftsjahr "&amp;ro&amp;" hat die Gesellschaft keine Aufwendungen für nicht finanzielle Vermögenswerte getragen."</f>
        <v>Im Geschäftsjahr 2024 hat die Gesellschaft keine Aufwendungen für nicht finanzielle Vermögenswerte getragen.</v>
      </c>
      <c r="C969" s="289" t="str">
        <f>"The Company made no outlays for non-financial tangible assets in the financial year "&amp;ro&amp;"."</f>
        <v>The Company made no outlays for non-financial tangible assets in the financial year 2024.</v>
      </c>
      <c r="D969" s="95"/>
    </row>
    <row r="970" spans="1:4" ht="38.25">
      <c r="A970" s="289" t="str">
        <f>"Oddział nie ponosił w roku obrotowym "&amp;ro&amp;" nakładów na niefinansowe aktywa trwałe."</f>
        <v>Oddział nie ponosił w roku obrotowym 2024 nakładów na niefinansowe aktywa trwałe.</v>
      </c>
      <c r="B970" s="659" t="str">
        <f>"Im Geschäftsjahr "&amp;ro&amp;" hat die Gesellschaft keine Aufwendungen für nicht finanzielle Vermögenswerte getragen."</f>
        <v>Im Geschäftsjahr 2024 hat die Gesellschaft keine Aufwendungen für nicht finanzielle Vermögenswerte getragen.</v>
      </c>
      <c r="C970" s="658" t="str">
        <f>"The Company made no outlays for non-financial tangible assets in the financial year "&amp;ro&amp;"."</f>
        <v>The Company made no outlays for non-financial tangible assets in the financial year 2024.</v>
      </c>
      <c r="D970" s="95"/>
    </row>
    <row r="971" spans="1:4" ht="51">
      <c r="A971" s="289" t="s">
        <v>2359</v>
      </c>
      <c r="B971" s="291" t="s">
        <v>2360</v>
      </c>
      <c r="C971" s="289" t="s">
        <v>2361</v>
      </c>
      <c r="D971" s="95"/>
    </row>
    <row r="972" spans="1:4">
      <c r="A972" s="289" t="s">
        <v>2362</v>
      </c>
      <c r="B972" s="291" t="s">
        <v>2363</v>
      </c>
      <c r="C972" s="491" t="s">
        <v>2364</v>
      </c>
      <c r="D972" s="95"/>
    </row>
    <row r="973" spans="1:4" ht="25.5">
      <c r="A973" s="289" t="s">
        <v>2365</v>
      </c>
      <c r="B973" s="291" t="s">
        <v>2366</v>
      </c>
      <c r="C973" s="289" t="s">
        <v>2367</v>
      </c>
      <c r="D973" s="95"/>
    </row>
    <row r="974" spans="1:4">
      <c r="A974" s="289" t="s">
        <v>2368</v>
      </c>
      <c r="B974" s="291" t="s">
        <v>2369</v>
      </c>
      <c r="C974" s="491" t="s">
        <v>2370</v>
      </c>
      <c r="D974" s="516"/>
    </row>
    <row r="975" spans="1:4" ht="25.5">
      <c r="A975" s="289" t="s">
        <v>2371</v>
      </c>
      <c r="B975" s="291" t="s">
        <v>2366</v>
      </c>
      <c r="C975" s="289" t="s">
        <v>2372</v>
      </c>
      <c r="D975" s="95"/>
    </row>
    <row r="976" spans="1:4" ht="51">
      <c r="A976" s="289" t="s">
        <v>2373</v>
      </c>
      <c r="B976" s="291" t="s">
        <v>2374</v>
      </c>
      <c r="C976" s="491" t="s">
        <v>2375</v>
      </c>
      <c r="D976" s="95"/>
    </row>
    <row r="977" spans="1:9">
      <c r="A977" s="289" t="s">
        <v>2151</v>
      </c>
      <c r="B977" s="291" t="s">
        <v>2152</v>
      </c>
      <c r="C977" s="491" t="s">
        <v>2153</v>
      </c>
      <c r="D977" s="95"/>
    </row>
    <row r="978" spans="1:9">
      <c r="A978" s="289" t="s">
        <v>2154</v>
      </c>
      <c r="B978" s="291" t="s">
        <v>2155</v>
      </c>
      <c r="C978" s="491" t="s">
        <v>2376</v>
      </c>
      <c r="D978" s="95"/>
    </row>
    <row r="979" spans="1:9" ht="25.5">
      <c r="A979" s="289" t="s">
        <v>2377</v>
      </c>
      <c r="B979" s="291" t="s">
        <v>2378</v>
      </c>
      <c r="C979" s="491" t="s">
        <v>2379</v>
      </c>
      <c r="D979" s="95"/>
    </row>
    <row r="980" spans="1:9">
      <c r="A980" s="289" t="s">
        <v>320</v>
      </c>
      <c r="B980" s="291" t="s">
        <v>321</v>
      </c>
      <c r="C980" s="491" t="s">
        <v>322</v>
      </c>
      <c r="D980" s="95"/>
    </row>
    <row r="981" spans="1:9">
      <c r="A981" s="289" t="s">
        <v>1257</v>
      </c>
      <c r="B981" s="291" t="s">
        <v>1258</v>
      </c>
      <c r="C981" s="491" t="s">
        <v>1259</v>
      </c>
      <c r="D981" s="95"/>
    </row>
    <row r="982" spans="1:9">
      <c r="A982" s="289" t="s">
        <v>2380</v>
      </c>
      <c r="B982" s="291" t="s">
        <v>2381</v>
      </c>
      <c r="C982" s="491" t="s">
        <v>2382</v>
      </c>
      <c r="D982" s="95"/>
    </row>
    <row r="983" spans="1:9">
      <c r="A983" s="289" t="s">
        <v>320</v>
      </c>
      <c r="B983" s="291" t="s">
        <v>321</v>
      </c>
      <c r="C983" s="491" t="s">
        <v>322</v>
      </c>
      <c r="D983" s="95"/>
    </row>
    <row r="984" spans="1:9" ht="25.5">
      <c r="A984" s="289" t="s">
        <v>2383</v>
      </c>
      <c r="B984" s="291" t="s">
        <v>2384</v>
      </c>
      <c r="C984" s="491" t="s">
        <v>2385</v>
      </c>
      <c r="D984" s="95"/>
    </row>
    <row r="985" spans="1:9">
      <c r="A985" s="289" t="s">
        <v>1254</v>
      </c>
      <c r="B985" s="291" t="s">
        <v>1255</v>
      </c>
      <c r="C985" s="491" t="s">
        <v>2386</v>
      </c>
      <c r="D985" s="95"/>
    </row>
    <row r="986" spans="1:9">
      <c r="A986" s="289" t="s">
        <v>1257</v>
      </c>
      <c r="B986" s="291" t="s">
        <v>2387</v>
      </c>
      <c r="C986" s="491" t="s">
        <v>1259</v>
      </c>
      <c r="D986" s="95"/>
    </row>
    <row r="987" spans="1:9" ht="68.25" customHeight="1">
      <c r="A987" s="289" t="s">
        <v>2388</v>
      </c>
      <c r="B987" s="291" t="s">
        <v>1252</v>
      </c>
      <c r="C987" s="491" t="s">
        <v>1253</v>
      </c>
      <c r="D987" s="418"/>
      <c r="E987" s="418"/>
      <c r="F987" s="418"/>
      <c r="G987" s="418"/>
      <c r="H987" s="418"/>
      <c r="I987" s="418"/>
    </row>
    <row r="988" spans="1:9" ht="25.5">
      <c r="A988" s="289" t="s">
        <v>2383</v>
      </c>
      <c r="B988" s="291" t="s">
        <v>2389</v>
      </c>
      <c r="C988" s="491" t="s">
        <v>2385</v>
      </c>
      <c r="D988" s="95"/>
    </row>
    <row r="989" spans="1:9" ht="63.75">
      <c r="A989" s="289" t="s">
        <v>2390</v>
      </c>
      <c r="B989" s="289" t="s">
        <v>2391</v>
      </c>
      <c r="C989" s="526" t="s">
        <v>2392</v>
      </c>
      <c r="D989" s="95"/>
    </row>
    <row r="990" spans="1:9">
      <c r="A990" s="289" t="s">
        <v>2393</v>
      </c>
      <c r="B990" s="291" t="s">
        <v>2394</v>
      </c>
      <c r="C990" s="491" t="s">
        <v>2395</v>
      </c>
      <c r="D990" s="95"/>
    </row>
    <row r="991" spans="1:9">
      <c r="A991" s="289" t="s">
        <v>2396</v>
      </c>
      <c r="B991" s="291" t="s">
        <v>2397</v>
      </c>
      <c r="C991" s="491" t="s">
        <v>2398</v>
      </c>
      <c r="D991" s="95"/>
    </row>
    <row r="992" spans="1:9" ht="102">
      <c r="A992" s="289" t="s">
        <v>2399</v>
      </c>
      <c r="B992" s="289" t="s">
        <v>2400</v>
      </c>
      <c r="C992" s="289" t="s">
        <v>2401</v>
      </c>
      <c r="D992" s="95"/>
    </row>
    <row r="993" spans="1:4" ht="25.5">
      <c r="A993" s="289" t="s">
        <v>2402</v>
      </c>
      <c r="B993" s="291" t="s">
        <v>2403</v>
      </c>
      <c r="C993" s="289" t="s">
        <v>2404</v>
      </c>
      <c r="D993" s="95"/>
    </row>
    <row r="994" spans="1:4">
      <c r="A994" s="289" t="s">
        <v>2405</v>
      </c>
      <c r="B994" s="291" t="s">
        <v>2406</v>
      </c>
      <c r="C994" s="289" t="s">
        <v>2407</v>
      </c>
      <c r="D994" s="95"/>
    </row>
    <row r="995" spans="1:4" ht="13.5" thickBot="1">
      <c r="A995" s="627" t="s">
        <v>2408</v>
      </c>
      <c r="B995" s="629"/>
      <c r="C995" s="628"/>
    </row>
    <row r="996" spans="1:4" ht="51">
      <c r="A996" s="289" t="s">
        <v>2409</v>
      </c>
      <c r="B996" s="291" t="s">
        <v>2410</v>
      </c>
      <c r="C996" s="491" t="s">
        <v>2411</v>
      </c>
    </row>
    <row r="997" spans="1:4" ht="51">
      <c r="A997" s="289" t="s">
        <v>2412</v>
      </c>
      <c r="B997" s="494" t="s">
        <v>2413</v>
      </c>
      <c r="C997" s="491" t="s">
        <v>2414</v>
      </c>
    </row>
    <row r="998" spans="1:4" ht="63.75">
      <c r="A998" s="289" t="s">
        <v>2415</v>
      </c>
      <c r="B998" s="291" t="s">
        <v>2416</v>
      </c>
      <c r="C998" s="491" t="s">
        <v>2417</v>
      </c>
    </row>
    <row r="999" spans="1:4" ht="25.5">
      <c r="A999" s="289" t="s">
        <v>2418</v>
      </c>
      <c r="B999" s="291" t="s">
        <v>2419</v>
      </c>
      <c r="C999" s="289" t="s">
        <v>2420</v>
      </c>
    </row>
    <row r="1000" spans="1:4" ht="25.5">
      <c r="A1000" s="291" t="s">
        <v>2421</v>
      </c>
      <c r="B1000" s="659" t="s">
        <v>2419</v>
      </c>
      <c r="C1000" s="658" t="s">
        <v>2420</v>
      </c>
    </row>
    <row r="1001" spans="1:4" ht="25.5">
      <c r="A1001" s="289" t="s">
        <v>1303</v>
      </c>
      <c r="B1001" s="291" t="s">
        <v>1304</v>
      </c>
      <c r="C1001" s="491" t="s">
        <v>1305</v>
      </c>
    </row>
    <row r="1002" spans="1:4" ht="25.5">
      <c r="A1002" s="289" t="s">
        <v>1341</v>
      </c>
      <c r="B1002" s="291" t="s">
        <v>1342</v>
      </c>
      <c r="C1002" s="491" t="s">
        <v>1343</v>
      </c>
    </row>
    <row r="1003" spans="1:4" ht="25.5">
      <c r="A1003" s="289" t="s">
        <v>1400</v>
      </c>
      <c r="B1003" s="291" t="s">
        <v>1401</v>
      </c>
      <c r="C1003" s="289" t="s">
        <v>1402</v>
      </c>
    </row>
    <row r="1004" spans="1:4">
      <c r="A1004" s="289" t="s">
        <v>2422</v>
      </c>
      <c r="B1004" s="291" t="s">
        <v>2423</v>
      </c>
      <c r="C1004" s="289" t="s">
        <v>2424</v>
      </c>
      <c r="D1004" s="513"/>
    </row>
    <row r="1005" spans="1:4" ht="25.5">
      <c r="A1005" s="289" t="s">
        <v>2425</v>
      </c>
      <c r="B1005" s="291" t="s">
        <v>2426</v>
      </c>
      <c r="C1005" s="289" t="s">
        <v>2427</v>
      </c>
    </row>
    <row r="1006" spans="1:4" ht="25.5">
      <c r="A1006" s="289" t="s">
        <v>2428</v>
      </c>
      <c r="B1006" s="291" t="s">
        <v>2429</v>
      </c>
      <c r="C1006" s="289" t="s">
        <v>2430</v>
      </c>
    </row>
    <row r="1007" spans="1:4" ht="13.5" thickBot="1">
      <c r="A1007" s="627" t="s">
        <v>2431</v>
      </c>
      <c r="B1007" s="629"/>
      <c r="C1007" s="628"/>
    </row>
    <row r="1008" spans="1:4" ht="114.75">
      <c r="A1008" s="481" t="s">
        <v>2432</v>
      </c>
      <c r="B1008" s="481" t="s">
        <v>2433</v>
      </c>
      <c r="C1008" s="527" t="s">
        <v>2434</v>
      </c>
    </row>
    <row r="1009" spans="1:3" ht="38.25">
      <c r="A1009" s="481" t="s">
        <v>2435</v>
      </c>
      <c r="B1009" s="481" t="s">
        <v>2436</v>
      </c>
      <c r="C1009" s="527" t="s">
        <v>2437</v>
      </c>
    </row>
    <row r="1010" spans="1:3" ht="25.5">
      <c r="A1010" s="481" t="s">
        <v>2438</v>
      </c>
      <c r="B1010" s="481" t="s">
        <v>2439</v>
      </c>
      <c r="C1010" s="527" t="s">
        <v>2440</v>
      </c>
    </row>
    <row r="1011" spans="1:3" ht="52.5" customHeight="1">
      <c r="A1011" s="481" t="s">
        <v>2441</v>
      </c>
      <c r="B1011" s="481" t="s">
        <v>2442</v>
      </c>
      <c r="C1011" s="289" t="s">
        <v>2443</v>
      </c>
    </row>
    <row r="1012" spans="1:3" ht="51">
      <c r="A1012" s="481" t="s">
        <v>2444</v>
      </c>
      <c r="B1012" s="481" t="s">
        <v>2445</v>
      </c>
      <c r="C1012" s="527" t="s">
        <v>2446</v>
      </c>
    </row>
    <row r="1013" spans="1:3" ht="76.5">
      <c r="A1013" s="481" t="s">
        <v>2447</v>
      </c>
      <c r="B1013" s="481" t="s">
        <v>2448</v>
      </c>
      <c r="C1013" s="481" t="s">
        <v>2449</v>
      </c>
    </row>
    <row r="1014" spans="1:3" ht="76.5">
      <c r="A1014" s="481" t="s">
        <v>2450</v>
      </c>
      <c r="B1014" s="662" t="s">
        <v>2448</v>
      </c>
      <c r="C1014" s="662" t="s">
        <v>2449</v>
      </c>
    </row>
    <row r="1015" spans="1:3" ht="51">
      <c r="A1015" s="481" t="s">
        <v>2451</v>
      </c>
      <c r="B1015" s="481" t="s">
        <v>2452</v>
      </c>
      <c r="C1015" s="481" t="s">
        <v>2453</v>
      </c>
    </row>
    <row r="1016" spans="1:3" ht="51">
      <c r="A1016" s="481" t="s">
        <v>2454</v>
      </c>
      <c r="B1016" s="662" t="s">
        <v>2452</v>
      </c>
      <c r="C1016" s="662" t="s">
        <v>2453</v>
      </c>
    </row>
    <row r="1017" spans="1:3" ht="38.25">
      <c r="A1017" s="289" t="s">
        <v>2455</v>
      </c>
      <c r="B1017" s="291" t="s">
        <v>2456</v>
      </c>
      <c r="C1017" s="491" t="s">
        <v>2457</v>
      </c>
    </row>
    <row r="1018" spans="1:3" ht="25.5">
      <c r="A1018" s="289" t="s">
        <v>2458</v>
      </c>
      <c r="B1018" s="291" t="s">
        <v>2459</v>
      </c>
      <c r="C1018" s="491" t="s">
        <v>2460</v>
      </c>
    </row>
    <row r="1019" spans="1:3">
      <c r="A1019" s="289" t="s">
        <v>2461</v>
      </c>
      <c r="B1019" s="291" t="s">
        <v>2462</v>
      </c>
      <c r="C1019" s="528" t="s">
        <v>2463</v>
      </c>
    </row>
    <row r="1020" spans="1:3">
      <c r="A1020" s="289" t="s">
        <v>2464</v>
      </c>
      <c r="B1020" s="291" t="s">
        <v>2465</v>
      </c>
      <c r="C1020" s="528" t="s">
        <v>2466</v>
      </c>
    </row>
    <row r="1021" spans="1:3">
      <c r="A1021" s="289" t="s">
        <v>2467</v>
      </c>
      <c r="B1021" s="291" t="s">
        <v>2468</v>
      </c>
      <c r="C1021" s="528" t="s">
        <v>2469</v>
      </c>
    </row>
    <row r="1022" spans="1:3">
      <c r="A1022" s="289" t="s">
        <v>2470</v>
      </c>
      <c r="B1022" s="291" t="s">
        <v>321</v>
      </c>
      <c r="C1022" s="528" t="s">
        <v>2471</v>
      </c>
    </row>
    <row r="1023" spans="1:3" ht="25.5">
      <c r="A1023" s="289" t="s">
        <v>2472</v>
      </c>
      <c r="B1023" s="291" t="s">
        <v>2473</v>
      </c>
      <c r="C1023" s="528" t="s">
        <v>2474</v>
      </c>
    </row>
    <row r="1024" spans="1:3" ht="25.5">
      <c r="A1024" s="291" t="s">
        <v>2475</v>
      </c>
      <c r="B1024" s="659" t="s">
        <v>2473</v>
      </c>
      <c r="C1024" s="663" t="s">
        <v>2474</v>
      </c>
    </row>
    <row r="1025" spans="1:3">
      <c r="A1025" s="289" t="s">
        <v>2476</v>
      </c>
      <c r="B1025" s="291" t="s">
        <v>2477</v>
      </c>
      <c r="C1025" s="491" t="s">
        <v>2478</v>
      </c>
    </row>
    <row r="1026" spans="1:3">
      <c r="A1026" s="289" t="s">
        <v>2479</v>
      </c>
      <c r="B1026" s="291" t="s">
        <v>2480</v>
      </c>
      <c r="C1026" s="491" t="s">
        <v>2481</v>
      </c>
    </row>
    <row r="1027" spans="1:3">
      <c r="A1027" s="289" t="s">
        <v>2482</v>
      </c>
      <c r="B1027" s="291" t="s">
        <v>1656</v>
      </c>
      <c r="C1027" s="491" t="s">
        <v>1657</v>
      </c>
    </row>
    <row r="1028" spans="1:3" ht="178.5">
      <c r="A1028" s="289" t="s">
        <v>2483</v>
      </c>
      <c r="B1028" s="291" t="s">
        <v>2484</v>
      </c>
      <c r="C1028" s="289" t="s">
        <v>2485</v>
      </c>
    </row>
    <row r="1029" spans="1:3" ht="51">
      <c r="A1029" s="289" t="s">
        <v>2486</v>
      </c>
      <c r="B1029" s="528" t="s">
        <v>2487</v>
      </c>
      <c r="C1029" s="289" t="s">
        <v>2488</v>
      </c>
    </row>
    <row r="1030" spans="1:3" ht="51">
      <c r="A1030" s="291" t="s">
        <v>2489</v>
      </c>
      <c r="B1030" s="663" t="s">
        <v>2487</v>
      </c>
      <c r="C1030" s="658" t="s">
        <v>2488</v>
      </c>
    </row>
    <row r="1031" spans="1:3" ht="51">
      <c r="A1031" s="289" t="s">
        <v>2490</v>
      </c>
      <c r="B1031" s="528" t="s">
        <v>2491</v>
      </c>
      <c r="C1031" s="289" t="s">
        <v>2492</v>
      </c>
    </row>
    <row r="1032" spans="1:3" ht="51">
      <c r="A1032" s="291" t="s">
        <v>2493</v>
      </c>
      <c r="B1032" s="663" t="s">
        <v>2491</v>
      </c>
      <c r="C1032" s="658" t="s">
        <v>2492</v>
      </c>
    </row>
    <row r="1033" spans="1:3">
      <c r="A1033" s="289" t="s">
        <v>2494</v>
      </c>
      <c r="B1033" s="291" t="s">
        <v>2495</v>
      </c>
      <c r="C1033" s="491" t="s">
        <v>2496</v>
      </c>
    </row>
    <row r="1034" spans="1:3">
      <c r="A1034" s="289" t="s">
        <v>2494</v>
      </c>
      <c r="B1034" s="291" t="s">
        <v>2497</v>
      </c>
      <c r="C1034" s="491" t="s">
        <v>2496</v>
      </c>
    </row>
    <row r="1035" spans="1:3">
      <c r="A1035" s="289" t="s">
        <v>2498</v>
      </c>
      <c r="B1035" s="291" t="s">
        <v>2499</v>
      </c>
      <c r="C1035" s="491" t="s">
        <v>2500</v>
      </c>
    </row>
    <row r="1036" spans="1:3" ht="140.25">
      <c r="A1036" s="289" t="s">
        <v>2501</v>
      </c>
      <c r="B1036" s="291" t="s">
        <v>2502</v>
      </c>
      <c r="C1036" s="491" t="s">
        <v>2503</v>
      </c>
    </row>
    <row r="1037" spans="1:3" ht="51">
      <c r="A1037" s="289" t="s">
        <v>2504</v>
      </c>
      <c r="B1037" s="528" t="s">
        <v>2505</v>
      </c>
      <c r="C1037" s="289" t="s">
        <v>2506</v>
      </c>
    </row>
    <row r="1038" spans="1:3" ht="51">
      <c r="A1038" s="291" t="s">
        <v>2507</v>
      </c>
      <c r="B1038" s="663" t="s">
        <v>2505</v>
      </c>
      <c r="C1038" s="658" t="s">
        <v>2506</v>
      </c>
    </row>
    <row r="1039" spans="1:3" ht="51">
      <c r="A1039" s="289" t="s">
        <v>2508</v>
      </c>
      <c r="B1039" s="528" t="s">
        <v>2509</v>
      </c>
      <c r="C1039" s="289" t="s">
        <v>2510</v>
      </c>
    </row>
    <row r="1040" spans="1:3" ht="51">
      <c r="A1040" s="289" t="s">
        <v>2511</v>
      </c>
      <c r="B1040" s="663" t="s">
        <v>2509</v>
      </c>
      <c r="C1040" s="658" t="s">
        <v>2510</v>
      </c>
    </row>
    <row r="1041" spans="1:4" ht="38.25">
      <c r="A1041" s="289" t="s">
        <v>2512</v>
      </c>
      <c r="B1041" s="291" t="s">
        <v>2513</v>
      </c>
      <c r="C1041" s="289" t="s">
        <v>2514</v>
      </c>
    </row>
    <row r="1042" spans="1:4" ht="51">
      <c r="A1042" s="289" t="s">
        <v>2515</v>
      </c>
      <c r="B1042" s="291" t="s">
        <v>2516</v>
      </c>
      <c r="C1042" s="289" t="s">
        <v>2517</v>
      </c>
    </row>
    <row r="1043" spans="1:4" ht="51">
      <c r="A1043" s="291" t="s">
        <v>2518</v>
      </c>
      <c r="B1043" s="659" t="s">
        <v>2516</v>
      </c>
      <c r="C1043" s="658" t="s">
        <v>2517</v>
      </c>
    </row>
    <row r="1044" spans="1:4" ht="38.25">
      <c r="A1044" s="289" t="s">
        <v>2519</v>
      </c>
      <c r="B1044" s="291" t="s">
        <v>2520</v>
      </c>
      <c r="C1044" s="289" t="s">
        <v>2521</v>
      </c>
    </row>
    <row r="1045" spans="1:4" ht="38.25">
      <c r="A1045" s="291" t="s">
        <v>2522</v>
      </c>
      <c r="B1045" s="659" t="s">
        <v>2520</v>
      </c>
      <c r="C1045" s="658" t="s">
        <v>2521</v>
      </c>
    </row>
    <row r="1046" spans="1:4" ht="38.25">
      <c r="A1046" s="289" t="s">
        <v>2523</v>
      </c>
      <c r="B1046" s="291" t="s">
        <v>2524</v>
      </c>
      <c r="C1046" s="289" t="s">
        <v>2525</v>
      </c>
    </row>
    <row r="1047" spans="1:4" ht="25.5">
      <c r="A1047" s="289" t="s">
        <v>2526</v>
      </c>
      <c r="B1047" s="291" t="s">
        <v>2527</v>
      </c>
      <c r="C1047" s="289" t="s">
        <v>2528</v>
      </c>
    </row>
    <row r="1048" spans="1:4">
      <c r="A1048" s="289" t="s">
        <v>2529</v>
      </c>
      <c r="B1048" s="291" t="s">
        <v>2530</v>
      </c>
      <c r="C1048" s="501" t="s">
        <v>2531</v>
      </c>
    </row>
    <row r="1049" spans="1:4">
      <c r="A1049" s="289" t="s">
        <v>2532</v>
      </c>
      <c r="B1049" s="291" t="s">
        <v>2533</v>
      </c>
      <c r="C1049" s="491" t="s">
        <v>2534</v>
      </c>
    </row>
    <row r="1050" spans="1:4">
      <c r="A1050" s="289" t="s">
        <v>2535</v>
      </c>
      <c r="B1050" s="291" t="s">
        <v>2536</v>
      </c>
      <c r="C1050" s="491" t="s">
        <v>2537</v>
      </c>
    </row>
    <row r="1051" spans="1:4">
      <c r="A1051" s="289" t="s">
        <v>2538</v>
      </c>
      <c r="B1051" s="291" t="s">
        <v>2539</v>
      </c>
      <c r="C1051" s="491" t="s">
        <v>2540</v>
      </c>
    </row>
    <row r="1052" spans="1:4">
      <c r="A1052" s="289" t="s">
        <v>2538</v>
      </c>
      <c r="B1052" s="291" t="s">
        <v>2541</v>
      </c>
      <c r="C1052" s="491" t="s">
        <v>2540</v>
      </c>
    </row>
    <row r="1053" spans="1:4">
      <c r="A1053" s="289" t="s">
        <v>2542</v>
      </c>
      <c r="B1053" s="291" t="s">
        <v>2543</v>
      </c>
      <c r="C1053" s="491" t="s">
        <v>2544</v>
      </c>
    </row>
    <row r="1054" spans="1:4">
      <c r="A1054" s="289" t="s">
        <v>2545</v>
      </c>
      <c r="B1054" s="291" t="s">
        <v>2546</v>
      </c>
      <c r="C1054" s="491" t="s">
        <v>2547</v>
      </c>
    </row>
    <row r="1055" spans="1:4">
      <c r="A1055" s="289" t="s">
        <v>2548</v>
      </c>
      <c r="B1055" s="291" t="s">
        <v>2549</v>
      </c>
      <c r="C1055" s="491" t="s">
        <v>2550</v>
      </c>
      <c r="D1055" s="513"/>
    </row>
    <row r="1056" spans="1:4">
      <c r="A1056" s="289" t="s">
        <v>2551</v>
      </c>
      <c r="B1056" s="291" t="s">
        <v>2552</v>
      </c>
      <c r="C1056" s="491" t="s">
        <v>2553</v>
      </c>
    </row>
    <row r="1057" spans="1:6">
      <c r="A1057" s="289" t="s">
        <v>2554</v>
      </c>
      <c r="B1057" s="291" t="s">
        <v>2555</v>
      </c>
      <c r="C1057" s="491" t="s">
        <v>2556</v>
      </c>
    </row>
    <row r="1058" spans="1:6" ht="13.5" thickBot="1">
      <c r="A1058" s="627" t="s">
        <v>36</v>
      </c>
      <c r="B1058" s="629"/>
      <c r="C1058" s="628"/>
    </row>
    <row r="1059" spans="1:6" ht="51">
      <c r="A1059" s="289" t="s">
        <v>2557</v>
      </c>
      <c r="B1059" s="291" t="s">
        <v>2558</v>
      </c>
      <c r="C1059" s="491" t="s">
        <v>2559</v>
      </c>
    </row>
    <row r="1060" spans="1:6" ht="25.5">
      <c r="A1060" s="289" t="s">
        <v>2560</v>
      </c>
      <c r="B1060" s="291" t="s">
        <v>2561</v>
      </c>
      <c r="C1060" s="289" t="s">
        <v>2562</v>
      </c>
    </row>
    <row r="1061" spans="1:6" ht="90" customHeight="1">
      <c r="A1061" s="289" t="s">
        <v>2563</v>
      </c>
      <c r="B1061" s="291" t="s">
        <v>2564</v>
      </c>
      <c r="C1061" s="491" t="s">
        <v>2565</v>
      </c>
    </row>
    <row r="1062" spans="1:6" ht="51">
      <c r="A1062" s="289" t="str">
        <f>"Po dniu bilansowym nie wystąpiły istotne zdarzenia, mające wpływ na sprawozdanie finansowe za rok obrotowy "&amp;ro&amp;"."</f>
        <v>Po dniu bilansowym nie wystąpiły istotne zdarzenia, mające wpływ na sprawozdanie finansowe za rok obrotowy 2024.</v>
      </c>
      <c r="B1062" s="291" t="str">
        <f>"Nach dem Bilanzstichtag traten keine wesentlichen Ereignisse ein, die auf den Jahresabschluss für das Geschäftsjahr "&amp;ro&amp;" Einfluss hätten."</f>
        <v>Nach dem Bilanzstichtag traten keine wesentlichen Ereignisse ein, die auf den Jahresabschluss für das Geschäftsjahr 2024 Einfluss hätten.</v>
      </c>
      <c r="C1062" s="501" t="str">
        <f>"No significant events affecting the financial statements for the financial year "&amp;ro&amp;" occurred after the balance sheet date."</f>
        <v>No significant events affecting the financial statements for the financial year 2024 occurred after the balance sheet date.</v>
      </c>
    </row>
    <row r="1063" spans="1:6" ht="267.75">
      <c r="A1063" s="289" t="s">
        <v>2566</v>
      </c>
      <c r="B1063" s="291" t="s">
        <v>2567</v>
      </c>
      <c r="C1063" s="501" t="s">
        <v>2568</v>
      </c>
    </row>
    <row r="1064" spans="1:6" ht="64.5" customHeight="1">
      <c r="A1064" s="289" t="s">
        <v>2569</v>
      </c>
      <c r="B1064" s="289" t="s">
        <v>2570</v>
      </c>
      <c r="C1064" s="491" t="s">
        <v>2571</v>
      </c>
    </row>
    <row r="1065" spans="1:6" ht="81.75" customHeight="1">
      <c r="A1065" s="289" t="str">
        <f>"W roku obrotowym "&amp;ro&amp;" nie dokonywano zmian zasad rachunkowości, w tym metod wyceny."</f>
        <v>W roku obrotowym 2024 nie dokonywano zmian zasad rachunkowości, w tym metod wyceny.</v>
      </c>
      <c r="B1065" s="289" t="str">
        <f>"Im Geschäftsjahr "&amp;ro&amp;" änderten sich die Rechnungslegungsgrundsätze, darunter die Bewertungsmethoden, nicht."</f>
        <v>Im Geschäftsjahr 2024 änderten sich die Rechnungslegungsgrundsätze, darunter die Bewertungsmethoden, nicht.</v>
      </c>
      <c r="C1065" s="289" t="str">
        <f>"The accounting principles, including the valuation methods, did not change in the financial year "&amp;ro&amp;"."</f>
        <v>The accounting principles, including the valuation methods, did not change in the financial year 2024.</v>
      </c>
    </row>
    <row r="1066" spans="1:6" ht="39.75" customHeight="1">
      <c r="A1066" s="289" t="s">
        <v>2572</v>
      </c>
      <c r="B1066" s="291" t="s">
        <v>2573</v>
      </c>
      <c r="C1066" s="491" t="s">
        <v>2574</v>
      </c>
    </row>
    <row r="1067" spans="1:6" ht="39.75" customHeight="1">
      <c r="A1067" s="289" t="str">
        <f>"Dane za poprzedni rok obrotowy nie uległy zmianie w porówaniu do zatwierdzonego sprawozdania za rok "&amp;IF(LEN(ro)&gt;4,_xlfn.TEXTBEFORE(ro,"/")-1&amp;"/"&amp;_xlfn.TEXTAFTER(ro,"/")-1,ro-1)&amp;". Nie wprowadzono również żadnych istotnych zmian w metodach prezentacji i wyceny, które mogłyby mieć wpływ na porównywalność danych w sprawozdaniu finansowym."</f>
        <v>Dane za poprzedni rok obrotowy nie uległy zmianie w porówaniu do zatwierdzonego sprawozdania za rok 2023. Nie wprowadzono również żadnych istotnych zmian w metodach prezentacji i wyceny, które mogłyby mieć wpływ na porównywalność danych w sprawozdaniu finansowym.</v>
      </c>
      <c r="B1067" s="291" t="str">
        <f>"Die Angaben für das vorausgehende Geschäftsjahr haben sich im Vergleich zum festgestellten Jahresabschluss für "&amp;IF(LEN(ro)&gt;4,_xlfn.TEXTBEFORE(ro,"/")-1&amp;"/"&amp;_xlfn.TEXTAFTER(ro,"/")-1,ro-1)&amp;" nicht geändert. Es wurden auch keine wesentlichen Änderungen der Methoden zur Darstellung und Bewertung vorgenommen, die auf die Vergleichbarkeit im Jahresabschluss Einfluss haben könnten."</f>
        <v>Die Angaben für das vorausgehende Geschäftsjahr haben sich im Vergleich zum festgestellten Jahresabschluss für 2023 nicht geändert. Es wurden auch keine wesentlichen Änderungen der Methoden zur Darstellung und Bewertung vorgenommen, die auf die Vergleichbarkeit im Jahresabschluss Einfluss haben könnten.</v>
      </c>
      <c r="C1067" s="289" t="str">
        <f>"Data for the previous financial year have not changed in comparison with the approved financial statements for "&amp;IF(LEN(ro)&gt;4,_xlfn.TEXTBEFORE(ro,"/")-1&amp;"/"&amp;_xlfn.TEXTAFTER(ro,"/")-1,ro-1)&amp;". Also no significant changes have been made to the methods of presentation and valuation which could affect the comparability of data in the financial statements."</f>
        <v>Data for the previous financial year have not changed in comparison with the approved financial statements for 2023. Also no significant changes have been made to the methods of presentation and valuation which could affect the comparability of data in the financial statements.</v>
      </c>
    </row>
    <row r="1068" spans="1:6" ht="51">
      <c r="A1068" s="289" t="s">
        <v>2575</v>
      </c>
      <c r="B1068" s="291" t="s">
        <v>2576</v>
      </c>
      <c r="C1068" s="289" t="s">
        <v>2577</v>
      </c>
    </row>
    <row r="1069" spans="1:6" ht="51">
      <c r="A1069" s="289" t="s">
        <v>2578</v>
      </c>
      <c r="B1069" s="291" t="s">
        <v>2579</v>
      </c>
      <c r="C1069" s="289" t="s">
        <v>2580</v>
      </c>
    </row>
    <row r="1070" spans="1:6" ht="25.5">
      <c r="A1070" s="496" t="s">
        <v>2581</v>
      </c>
      <c r="B1070" s="496" t="s">
        <v>2582</v>
      </c>
      <c r="C1070" s="496" t="s">
        <v>2583</v>
      </c>
      <c r="D1070" s="496"/>
      <c r="E1070" s="496"/>
      <c r="F1070" s="496"/>
    </row>
    <row r="1071" spans="1:6">
      <c r="A1071" s="289" t="s">
        <v>841</v>
      </c>
      <c r="B1071" s="291" t="s">
        <v>842</v>
      </c>
      <c r="C1071" s="289" t="s">
        <v>843</v>
      </c>
    </row>
    <row r="1072" spans="1:6">
      <c r="A1072" s="289" t="s">
        <v>990</v>
      </c>
      <c r="B1072" s="291" t="s">
        <v>991</v>
      </c>
      <c r="C1072" s="289" t="s">
        <v>992</v>
      </c>
    </row>
    <row r="1073" spans="1:4">
      <c r="A1073" s="289" t="s">
        <v>2584</v>
      </c>
      <c r="B1073" s="291" t="s">
        <v>2585</v>
      </c>
      <c r="C1073" s="289" t="s">
        <v>2586</v>
      </c>
    </row>
    <row r="1074" spans="1:4">
      <c r="A1074" s="289" t="str">
        <f>"Dane zatwierdzone na "&amp;pdz</f>
        <v>Dane zatwierdzone na 31.12.2023</v>
      </c>
      <c r="B1074" s="291" t="str">
        <f>"Zum "&amp;pdz&amp;" festgestellte Angaben"</f>
        <v>Zum 31.12.2023 festgestellte Angaben</v>
      </c>
      <c r="C1074" s="289" t="str">
        <f>"Data approved as of "&amp;pdz</f>
        <v>Data approved as of 31.12.2023</v>
      </c>
    </row>
    <row r="1075" spans="1:4">
      <c r="A1075" s="289" t="str">
        <f>"Przekształcone dane na "&amp;pdz</f>
        <v>Przekształcone dane na 31.12.2023</v>
      </c>
      <c r="B1075" s="291" t="str">
        <f>"Zum "&amp;pdz&amp;" angepasste Angaben"</f>
        <v>Zum 31.12.2023 angepasste Angaben</v>
      </c>
      <c r="C1075" s="289" t="str">
        <f>"Converted data as of "&amp;pdz</f>
        <v>Converted data as of 31.12.2023</v>
      </c>
    </row>
    <row r="1076" spans="1:4">
      <c r="A1076" s="289" t="s">
        <v>2587</v>
      </c>
      <c r="B1076" s="291" t="s">
        <v>2588</v>
      </c>
      <c r="C1076" s="289" t="s">
        <v>2589</v>
      </c>
    </row>
    <row r="1077" spans="1:4">
      <c r="A1077" s="289" t="str">
        <f>"Dane zatwierdzone za rok "&amp;IF(LEN(ro)&gt;4,_xlfn.TEXTBEFORE(ro,"/")-1&amp;"/"&amp;_xlfn.TEXTAFTER(ro,"/")-1,ro-1)</f>
        <v>Dane zatwierdzone za rok 2023</v>
      </c>
      <c r="B1077" s="291" t="str">
        <f>"Festgestellte Angaben für "&amp;IF(LEN(ro)&gt;4,_xlfn.TEXTBEFORE(ro,"/")-1&amp;"/"&amp;_xlfn.TEXTAFTER(ro,"/")-1,ro-1)</f>
        <v>Festgestellte Angaben für 2023</v>
      </c>
      <c r="C1077" s="289" t="str">
        <f>"Approved data for "&amp;IF(LEN(ro)&gt;4,_xlfn.TEXTBEFORE(ro,"/")-1&amp;"/"&amp;_xlfn.TEXTAFTER(ro,"/")-1,ro-1)</f>
        <v>Approved data for 2023</v>
      </c>
    </row>
    <row r="1078" spans="1:4">
      <c r="A1078" s="289" t="str">
        <f>"Przekształcone dane za rok "&amp;IF(LEN(ro)&gt;4,_xlfn.TEXTBEFORE(ro,"/")-1&amp;"/"&amp;_xlfn.TEXTAFTER(ro,"/")-1,ro-1)</f>
        <v>Przekształcone dane za rok 2023</v>
      </c>
      <c r="B1078" s="291" t="str">
        <f>"Angepasste Angaben für "&amp;IF(LEN(ro)&gt;4,_xlfn.TEXTBEFORE(ro,"/")-1&amp;"/"&amp;_xlfn.TEXTAFTER(ro,"/")-1,ro-1)</f>
        <v>Angepasste Angaben für 2023</v>
      </c>
      <c r="C1078" s="289" t="str">
        <f>"Converted data for "&amp;IF(LEN(ro)&gt;4,_xlfn.TEXTBEFORE(ro,"/")-1&amp;"/"&amp;_xlfn.TEXTAFTER(ro,"/")-1,ro-1)</f>
        <v>Converted data for 2023</v>
      </c>
    </row>
    <row r="1079" spans="1:4">
      <c r="A1079" s="289" t="s">
        <v>2590</v>
      </c>
      <c r="B1079" s="291" t="s">
        <v>2591</v>
      </c>
      <c r="C1079" s="289" t="s">
        <v>2592</v>
      </c>
    </row>
    <row r="1080" spans="1:4" ht="13.5" thickBot="1">
      <c r="A1080" s="627" t="s">
        <v>39</v>
      </c>
      <c r="B1080" s="629"/>
      <c r="C1080" s="628"/>
    </row>
    <row r="1081" spans="1:4" ht="25.5">
      <c r="A1081" s="289" t="s">
        <v>2593</v>
      </c>
      <c r="B1081" s="289" t="s">
        <v>2594</v>
      </c>
      <c r="C1081" s="491" t="s">
        <v>2595</v>
      </c>
      <c r="D1081" s="513"/>
    </row>
    <row r="1082" spans="1:4" ht="25.5">
      <c r="A1082" s="289" t="s">
        <v>2596</v>
      </c>
      <c r="B1082" s="291" t="s">
        <v>2597</v>
      </c>
      <c r="C1082" s="491" t="s">
        <v>2598</v>
      </c>
    </row>
    <row r="1083" spans="1:4" ht="25.5">
      <c r="A1083" s="289" t="s">
        <v>2599</v>
      </c>
      <c r="B1083" s="291" t="s">
        <v>2600</v>
      </c>
      <c r="C1083" s="491" t="s">
        <v>2601</v>
      </c>
    </row>
    <row r="1084" spans="1:4" ht="38.25">
      <c r="A1084" s="289" t="s">
        <v>2602</v>
      </c>
      <c r="B1084" s="291" t="s">
        <v>2603</v>
      </c>
      <c r="C1084" s="491" t="s">
        <v>2604</v>
      </c>
      <c r="D1084" s="486"/>
    </row>
    <row r="1085" spans="1:4" ht="51">
      <c r="A1085" s="289" t="s">
        <v>2605</v>
      </c>
      <c r="B1085" s="291" t="s">
        <v>2606</v>
      </c>
      <c r="C1085" s="491" t="s">
        <v>2607</v>
      </c>
    </row>
    <row r="1086" spans="1:4">
      <c r="A1086" s="289" t="s">
        <v>2608</v>
      </c>
      <c r="B1086" s="291" t="s">
        <v>2609</v>
      </c>
      <c r="C1086" s="491" t="s">
        <v>2610</v>
      </c>
    </row>
    <row r="1087" spans="1:4" ht="25.5">
      <c r="A1087" s="289" t="s">
        <v>2611</v>
      </c>
      <c r="B1087" s="291" t="s">
        <v>2612</v>
      </c>
      <c r="C1087" s="491" t="s">
        <v>2613</v>
      </c>
    </row>
    <row r="1088" spans="1:4" ht="25.5">
      <c r="A1088" s="289" t="s">
        <v>2614</v>
      </c>
      <c r="B1088" s="291" t="s">
        <v>2615</v>
      </c>
      <c r="C1088" s="491" t="s">
        <v>2616</v>
      </c>
    </row>
    <row r="1089" spans="1:3" ht="25.5">
      <c r="A1089" s="289" t="s">
        <v>2617</v>
      </c>
      <c r="B1089" s="291" t="s">
        <v>2618</v>
      </c>
      <c r="C1089" s="491" t="s">
        <v>2619</v>
      </c>
    </row>
    <row r="1090" spans="1:3" ht="25.5">
      <c r="A1090" s="289" t="s">
        <v>2620</v>
      </c>
      <c r="B1090" s="291" t="s">
        <v>2621</v>
      </c>
      <c r="C1090" s="491" t="s">
        <v>2622</v>
      </c>
    </row>
    <row r="1091" spans="1:3">
      <c r="A1091" s="289" t="s">
        <v>2623</v>
      </c>
      <c r="B1091" s="291" t="s">
        <v>2624</v>
      </c>
      <c r="C1091" s="491" t="s">
        <v>2625</v>
      </c>
    </row>
    <row r="1092" spans="1:3" ht="25.5" customHeight="1">
      <c r="A1092" s="289" t="s">
        <v>2626</v>
      </c>
      <c r="B1092" s="291" t="s">
        <v>2627</v>
      </c>
      <c r="C1092" s="491" t="s">
        <v>2628</v>
      </c>
    </row>
    <row r="1093" spans="1:3" ht="25.5" customHeight="1">
      <c r="A1093" s="289" t="s">
        <v>2629</v>
      </c>
      <c r="B1093" s="291" t="s">
        <v>2630</v>
      </c>
      <c r="C1093" s="491" t="s">
        <v>2631</v>
      </c>
    </row>
    <row r="1094" spans="1:3" ht="40.5" customHeight="1">
      <c r="A1094" s="289" t="str">
        <f>"W roku obrotowym "&amp;ro&amp;" Spółka nie przeprowadzała transakcji z podmiotami powiązanymi."</f>
        <v>W roku obrotowym 2024 Spółka nie przeprowadzała transakcji z podmiotami powiązanymi.</v>
      </c>
      <c r="B1094" s="291" t="str">
        <f>"Im Geschäftsjahr "&amp;ro&amp;" tätigte die Gesellschaft keine Geschäfte mit verbundenen Unternehmen."</f>
        <v>Im Geschäftsjahr 2024 tätigte die Gesellschaft keine Geschäfte mit verbundenen Unternehmen.</v>
      </c>
      <c r="C1094" s="289" t="str">
        <f>"The Company did not make any transactions with related parties in the financial year "&amp;ro&amp;"."</f>
        <v>The Company did not make any transactions with related parties in the financial year 2024.</v>
      </c>
    </row>
    <row r="1095" spans="1:3" ht="40.5" customHeight="1">
      <c r="A1095" s="289" t="str">
        <f>"W roku obrotowym "&amp;ro&amp;" Oddział nie przeprowadzał transakcji z podmiotami powiązanymi."</f>
        <v>W roku obrotowym 2024 Oddział nie przeprowadzał transakcji z podmiotami powiązanymi.</v>
      </c>
      <c r="B1095" s="659" t="str">
        <f>"Im Geschäftsjahr "&amp;ro&amp;" tätigte die Gesellschaft keine Geschäfte mit verbundenen Unternehmen."</f>
        <v>Im Geschäftsjahr 2024 tätigte die Gesellschaft keine Geschäfte mit verbundenen Unternehmen.</v>
      </c>
      <c r="C1095" s="658" t="str">
        <f>"The Company did not make any transactions with related parties in the financial year "&amp;ro&amp;"."</f>
        <v>The Company did not make any transactions with related parties in the financial year 2024.</v>
      </c>
    </row>
    <row r="1096" spans="1:3" ht="38.25">
      <c r="A1096" s="289" t="str">
        <f>"W roku obrotowym "&amp;IF(LEN(ro)&gt;4,_xlfn.TEXTBEFORE(ro,"/")-1&amp;"/"&amp;_xlfn.TEXTAFTER(ro,"/")-1,ro-1)&amp;" Spółka nie przeprowadzała transakcji z podmiotami powiązanymi."</f>
        <v>W roku obrotowym 2023 Spółka nie przeprowadzała transakcji z podmiotami powiązanymi.</v>
      </c>
      <c r="B1096" s="291" t="str">
        <f>"Im Geschäftsjahr "&amp;IF(LEN(ro)&gt;4,_xlfn.TEXTBEFORE(ro,"/")-1&amp;"/"&amp;_xlfn.TEXTAFTER(ro,"/")-1,ro-1)&amp;" tätigte die Gesellschaft keine Geschäfte mit verbundenen Unternehmen."</f>
        <v>Im Geschäftsjahr 2023 tätigte die Gesellschaft keine Geschäfte mit verbundenen Unternehmen.</v>
      </c>
      <c r="C1096" s="289" t="str">
        <f>"The Company did not make any transactions with related parties in the financial year "&amp;IF(LEN(ro)&gt;4,_xlfn.TEXTBEFORE(ro,"/")-1&amp;"/"&amp;_xlfn.TEXTAFTER(ro,"/")-1,ro-1)&amp;"."</f>
        <v>The Company did not make any transactions with related parties in the financial year 2023.</v>
      </c>
    </row>
    <row r="1097" spans="1:3" ht="38.25">
      <c r="A1097" s="289" t="str">
        <f>"W roku obrotowym "&amp;IF(LEN(ro)&gt;4,_xlfn.TEXTBEFORE(ro,"/")-1&amp;"/"&amp;_xlfn.TEXTAFTER(ro,"/")-1,ro-1)&amp;" Oddział nie przeprowadzał transakcji z podmiotami powiązanymi."</f>
        <v>W roku obrotowym 2023 Oddział nie przeprowadzał transakcji z podmiotami powiązanymi.</v>
      </c>
      <c r="B1097" s="659" t="str">
        <f>"Im Geschäftsjahr "&amp;IF(LEN(ro)&gt;4,_xlfn.TEXTBEFORE(ro,"/")-1&amp;"/"&amp;_xlfn.TEXTAFTER(ro,"/")-1,ro-1)&amp;" tätigte die Gesellschaft keine Geschäfte mit verbundenen Unternehmen."</f>
        <v>Im Geschäftsjahr 2023 tätigte die Gesellschaft keine Geschäfte mit verbundenen Unternehmen.</v>
      </c>
      <c r="C1097" s="658" t="str">
        <f>"The Company did not make any transactions with related parties in the financial year "&amp;IF(LEN(ro)&gt;4,_xlfn.TEXTBEFORE(ro,"/")-1&amp;"/"&amp;_xlfn.TEXTAFTER(ro,"/")-1,ro-1)&amp;"."</f>
        <v>The Company did not make any transactions with related parties in the financial year 2023.</v>
      </c>
    </row>
    <row r="1098" spans="1:3" ht="38.25">
      <c r="A1098" s="289" t="str">
        <f>"W roku obrotowym "&amp;ro&amp;" Spółka nie przeprowadzała transakcji z podmiotami powiązanymi."</f>
        <v>W roku obrotowym 2024 Spółka nie przeprowadzała transakcji z podmiotami powiązanymi.</v>
      </c>
      <c r="B1098" s="291" t="str">
        <f>"Die Gesellschaft tätigte  "&amp;ro&amp;" noch im vorausgehenden Geschäftsjahr Geschäfte mit verbundenen Unternehmen."</f>
        <v>Die Gesellschaft tätigte  2024 noch im vorausgehenden Geschäftsjahr Geschäfte mit verbundenen Unternehmen.</v>
      </c>
      <c r="C1098" s="289" t="str">
        <f>"The Company did not make any transactions with related parties either in the financial year "&amp;ro&amp;" or in the previous year."</f>
        <v>The Company did not make any transactions with related parties either in the financial year 2024 or in the previous year.</v>
      </c>
    </row>
    <row r="1099" spans="1:3" ht="38.25">
      <c r="A1099" s="289" t="str">
        <f>"Zarówno w roku obrotowym "&amp;ro&amp;", jak i w roku poprzednim Spółka nie przeprowadzała transakcji z podmiotami powiązanymi."</f>
        <v>Zarówno w roku obrotowym 2024, jak i w roku poprzednim Spółka nie przeprowadzała transakcji z podmiotami powiązanymi.</v>
      </c>
      <c r="B1099" s="291" t="str">
        <f>"Die Gesellschaft tätigte weder "&amp;ro&amp;" noch im vorausgehenden Geschäftsjahr Geschäfte mit verbundenen Unternehmen."</f>
        <v>Die Gesellschaft tätigte weder 2024 noch im vorausgehenden Geschäftsjahr Geschäfte mit verbundenen Unternehmen.</v>
      </c>
      <c r="C1099" s="289" t="str">
        <f>"The Company did not make any transactions with related parties either in the financial year "&amp;ro&amp;" or in the previous year."</f>
        <v>The Company did not make any transactions with related parties either in the financial year 2024 or in the previous year.</v>
      </c>
    </row>
    <row r="1100" spans="1:3" ht="38.25">
      <c r="A1100" s="289" t="str">
        <f>"Zarówno w roku obrotowym "&amp;ro&amp;", jak i w roku poprzednim Oddział nie przeprowadzał transakcji z podmiotami powiązanymi."</f>
        <v>Zarówno w roku obrotowym 2024, jak i w roku poprzednim Oddział nie przeprowadzał transakcji z podmiotami powiązanymi.</v>
      </c>
      <c r="B1100" s="659" t="str">
        <f>"Die Gesellschaft tätigte weder "&amp;ro&amp;" noch im vorausgehenden Geschäftsjahr Geschäfte mit verbundenen Unternehmen."</f>
        <v>Die Gesellschaft tätigte weder 2024 noch im vorausgehenden Geschäftsjahr Geschäfte mit verbundenen Unternehmen.</v>
      </c>
      <c r="C1100" s="658" t="str">
        <f>"The Company did not make any transactions with related parties either in the financial year "&amp;ro&amp;" or in the previous year."</f>
        <v>The Company did not make any transactions with related parties either in the financial year 2024 or in the previous year.</v>
      </c>
    </row>
    <row r="1101" spans="1:3">
      <c r="A1101" s="289" t="s">
        <v>2632</v>
      </c>
      <c r="B1101" s="291" t="s">
        <v>2633</v>
      </c>
      <c r="C1101" s="491" t="s">
        <v>2634</v>
      </c>
    </row>
    <row r="1102" spans="1:3">
      <c r="A1102" s="289" t="s">
        <v>2635</v>
      </c>
      <c r="B1102" s="291" t="s">
        <v>2636</v>
      </c>
      <c r="C1102" s="491" t="s">
        <v>2637</v>
      </c>
    </row>
    <row r="1103" spans="1:3">
      <c r="A1103" s="289" t="s">
        <v>2638</v>
      </c>
      <c r="B1103" s="291" t="s">
        <v>2639</v>
      </c>
      <c r="C1103" s="491" t="s">
        <v>2640</v>
      </c>
    </row>
    <row r="1104" spans="1:3">
      <c r="A1104" s="289" t="s">
        <v>2641</v>
      </c>
      <c r="B1104" s="291" t="s">
        <v>2642</v>
      </c>
      <c r="C1104" s="491" t="s">
        <v>2643</v>
      </c>
    </row>
    <row r="1105" spans="1:4">
      <c r="A1105" s="289" t="s">
        <v>2644</v>
      </c>
      <c r="B1105" s="291" t="s">
        <v>2645</v>
      </c>
      <c r="C1105" s="491" t="s">
        <v>2646</v>
      </c>
    </row>
    <row r="1106" spans="1:4">
      <c r="A1106" s="289" t="s">
        <v>2647</v>
      </c>
      <c r="B1106" s="291" t="s">
        <v>2648</v>
      </c>
      <c r="C1106" s="491" t="s">
        <v>2649</v>
      </c>
    </row>
    <row r="1107" spans="1:4">
      <c r="A1107" s="289" t="s">
        <v>1465</v>
      </c>
      <c r="B1107" s="291" t="s">
        <v>2650</v>
      </c>
      <c r="C1107" s="491" t="s">
        <v>1467</v>
      </c>
    </row>
    <row r="1108" spans="1:4">
      <c r="A1108" s="289" t="s">
        <v>2651</v>
      </c>
      <c r="B1108" s="291" t="s">
        <v>2652</v>
      </c>
      <c r="C1108" s="491" t="s">
        <v>2653</v>
      </c>
    </row>
    <row r="1109" spans="1:4">
      <c r="A1109" s="289" t="s">
        <v>2654</v>
      </c>
      <c r="B1109" s="291" t="s">
        <v>2655</v>
      </c>
      <c r="C1109" s="491" t="s">
        <v>2656</v>
      </c>
    </row>
    <row r="1110" spans="1:4">
      <c r="A1110" s="289" t="s">
        <v>2657</v>
      </c>
      <c r="B1110" s="291" t="s">
        <v>1362</v>
      </c>
      <c r="C1110" s="491" t="s">
        <v>2658</v>
      </c>
    </row>
    <row r="1111" spans="1:4">
      <c r="A1111" s="289" t="s">
        <v>2659</v>
      </c>
      <c r="B1111" s="291" t="s">
        <v>2660</v>
      </c>
      <c r="C1111" s="491" t="s">
        <v>2661</v>
      </c>
    </row>
    <row r="1112" spans="1:4">
      <c r="A1112" s="289" t="s">
        <v>2662</v>
      </c>
      <c r="B1112" s="291" t="s">
        <v>2663</v>
      </c>
      <c r="C1112" s="491" t="s">
        <v>2664</v>
      </c>
    </row>
    <row r="1113" spans="1:4">
      <c r="A1113" s="289" t="s">
        <v>2665</v>
      </c>
      <c r="B1113" s="291" t="s">
        <v>2666</v>
      </c>
      <c r="C1113" s="491" t="s">
        <v>2667</v>
      </c>
      <c r="D1113" s="513"/>
    </row>
    <row r="1114" spans="1:4" ht="51">
      <c r="A1114" s="289" t="s">
        <v>2668</v>
      </c>
      <c r="B1114" s="291" t="s">
        <v>2669</v>
      </c>
      <c r="C1114" s="491" t="s">
        <v>2670</v>
      </c>
      <c r="D1114" s="513"/>
    </row>
    <row r="1115" spans="1:4">
      <c r="A1115" s="289" t="s">
        <v>2671</v>
      </c>
      <c r="B1115" s="291" t="s">
        <v>123</v>
      </c>
      <c r="C1115" s="491" t="s">
        <v>2672</v>
      </c>
      <c r="D1115" s="513"/>
    </row>
    <row r="1116" spans="1:4">
      <c r="A1116" s="289" t="s">
        <v>2673</v>
      </c>
      <c r="B1116" s="291" t="s">
        <v>2674</v>
      </c>
      <c r="C1116" s="491" t="s">
        <v>2675</v>
      </c>
      <c r="D1116" s="513"/>
    </row>
    <row r="1117" spans="1:4">
      <c r="A1117" s="289" t="s">
        <v>2676</v>
      </c>
      <c r="B1117" s="291" t="s">
        <v>2677</v>
      </c>
      <c r="C1117" s="491" t="s">
        <v>2678</v>
      </c>
    </row>
    <row r="1118" spans="1:4" ht="25.5">
      <c r="A1118" s="289" t="s">
        <v>2679</v>
      </c>
      <c r="B1118" s="291" t="s">
        <v>2680</v>
      </c>
      <c r="C1118" s="491" t="s">
        <v>2681</v>
      </c>
    </row>
    <row r="1119" spans="1:4" ht="25.5">
      <c r="A1119" s="289" t="s">
        <v>2682</v>
      </c>
      <c r="B1119" s="291" t="s">
        <v>2683</v>
      </c>
      <c r="C1119" s="491" t="s">
        <v>2684</v>
      </c>
      <c r="D1119" s="496"/>
    </row>
    <row r="1120" spans="1:4" ht="51">
      <c r="A1120" s="289" t="s">
        <v>2685</v>
      </c>
      <c r="B1120" s="291" t="s">
        <v>2686</v>
      </c>
      <c r="C1120" s="491" t="s">
        <v>2687</v>
      </c>
      <c r="D1120" s="505"/>
    </row>
    <row r="1121" spans="1:7" ht="38.25">
      <c r="A1121" s="289" t="s">
        <v>2688</v>
      </c>
      <c r="B1121" s="291" t="s">
        <v>2689</v>
      </c>
      <c r="C1121" s="495" t="s">
        <v>2690</v>
      </c>
      <c r="D1121" s="505"/>
    </row>
    <row r="1122" spans="1:7" ht="51">
      <c r="A1122" s="289" t="s">
        <v>2691</v>
      </c>
      <c r="B1122" s="291" t="s">
        <v>2692</v>
      </c>
      <c r="C1122" s="495" t="s">
        <v>2693</v>
      </c>
      <c r="D1122" s="505"/>
    </row>
    <row r="1123" spans="1:7" ht="63.75">
      <c r="A1123" s="289" t="s">
        <v>2694</v>
      </c>
      <c r="B1123" s="291" t="s">
        <v>2695</v>
      </c>
      <c r="C1123" s="495" t="s">
        <v>2696</v>
      </c>
      <c r="D1123" s="505"/>
    </row>
    <row r="1124" spans="1:7" ht="38.25">
      <c r="A1124" s="496" t="s">
        <v>2697</v>
      </c>
      <c r="B1124" s="529" t="s">
        <v>2698</v>
      </c>
      <c r="C1124" s="495" t="s">
        <v>2699</v>
      </c>
      <c r="D1124" s="505"/>
    </row>
    <row r="1125" spans="1:7" ht="38.25">
      <c r="A1125" s="289" t="s">
        <v>2700</v>
      </c>
      <c r="B1125" s="291" t="s">
        <v>2701</v>
      </c>
      <c r="C1125" s="495" t="s">
        <v>2702</v>
      </c>
      <c r="D1125" s="505"/>
    </row>
    <row r="1126" spans="1:7" ht="25.5">
      <c r="A1126" s="289" t="s">
        <v>2703</v>
      </c>
      <c r="B1126" s="291" t="s">
        <v>2704</v>
      </c>
      <c r="C1126" s="289" t="s">
        <v>2705</v>
      </c>
      <c r="D1126" s="505"/>
    </row>
    <row r="1127" spans="1:7">
      <c r="A1127" s="289" t="s">
        <v>2706</v>
      </c>
      <c r="B1127" s="291" t="s">
        <v>2707</v>
      </c>
      <c r="C1127" s="289" t="s">
        <v>2708</v>
      </c>
      <c r="D1127" s="95"/>
    </row>
    <row r="1128" spans="1:7">
      <c r="A1128" s="289" t="s">
        <v>2709</v>
      </c>
      <c r="B1128" s="291" t="s">
        <v>2710</v>
      </c>
      <c r="C1128" s="289" t="s">
        <v>2711</v>
      </c>
      <c r="D1128" s="95"/>
    </row>
    <row r="1129" spans="1:7" ht="13.5" thickBot="1">
      <c r="A1129" s="627" t="s">
        <v>42</v>
      </c>
      <c r="B1129" s="629"/>
      <c r="C1129" s="628"/>
      <c r="D1129" s="95"/>
    </row>
    <row r="1130" spans="1:7" ht="38.25">
      <c r="A1130" s="289" t="s">
        <v>2712</v>
      </c>
      <c r="B1130" s="291" t="s">
        <v>2713</v>
      </c>
      <c r="C1130" s="289" t="s">
        <v>2714</v>
      </c>
      <c r="D1130" s="95"/>
    </row>
    <row r="1131" spans="1:7">
      <c r="A1131" s="289" t="s">
        <v>2245</v>
      </c>
      <c r="B1131" s="291" t="s">
        <v>2246</v>
      </c>
      <c r="C1131" s="289" t="s">
        <v>2247</v>
      </c>
    </row>
    <row r="1132" spans="1:7" ht="25.5">
      <c r="A1132" s="289" t="s">
        <v>2715</v>
      </c>
      <c r="B1132" s="291" t="s">
        <v>2716</v>
      </c>
      <c r="C1132" s="289" t="s">
        <v>2717</v>
      </c>
    </row>
    <row r="1133" spans="1:7" ht="63.75">
      <c r="A1133" s="658" t="str">
        <f>"Dane finansowe ujęte w sprawozdaniu finansowym Oddziału podlegają łączeniu z danymi finansowymi jednostki macierzystej, tj. "&amp;E1133&amp;" z siedzibią w "&amp;G1133&amp;"."</f>
        <v>Dane finansowe ujęte w sprawozdaniu finansowym Oddziału podlegają łączeniu z danymi finansowymi jednostki macierzystej, tj. XYZ GmbH z siedzibią w Mannheim.</v>
      </c>
      <c r="B1133" s="289" t="str">
        <f>"Die im Jahresabschluss der Niederlassung enthaltenen Finanzdaten werden mit den Finanzdaten der Muttergesellschaft, d.h. "&amp;E1133&amp;" mit Sitz in "&amp;G1133&amp;", zusammengefasst."</f>
        <v>Die im Jahresabschluss der Niederlassung enthaltenen Finanzdaten werden mit den Finanzdaten der Muttergesellschaft, d.h. XYZ GmbH mit Sitz in Mannheim, zusammengefasst.</v>
      </c>
      <c r="C1133" s="289" t="str">
        <f>"Financial figures disclosed in the Branch Office’s financial statements are subject to consolidation with the numbers of the parent company, i.e. "&amp;E1133&amp;" of "&amp;G1133&amp;"."</f>
        <v>Financial figures disclosed in the Branch Office’s financial statements are subject to consolidation with the numbers of the parent company, i.e. XYZ GmbH of Mannheim.</v>
      </c>
      <c r="D1133" s="289" t="s">
        <v>2718</v>
      </c>
      <c r="E1133" s="507" t="s">
        <v>2719</v>
      </c>
      <c r="F1133" s="289" t="s">
        <v>131</v>
      </c>
      <c r="G1133" s="507" t="s">
        <v>2720</v>
      </c>
    </row>
    <row r="1134" spans="1:7">
      <c r="A1134" s="289" t="s">
        <v>2721</v>
      </c>
      <c r="B1134" s="494" t="s">
        <v>123</v>
      </c>
      <c r="C1134" s="491" t="s">
        <v>2722</v>
      </c>
    </row>
    <row r="1135" spans="1:7" ht="25.5">
      <c r="A1135" s="289" t="s">
        <v>2723</v>
      </c>
      <c r="B1135" s="494" t="s">
        <v>2724</v>
      </c>
      <c r="C1135" s="491" t="s">
        <v>2725</v>
      </c>
    </row>
    <row r="1136" spans="1:7" ht="25.5">
      <c r="A1136" s="289" t="s">
        <v>2726</v>
      </c>
      <c r="B1136" s="494" t="s">
        <v>2727</v>
      </c>
      <c r="C1136" s="491" t="s">
        <v>2728</v>
      </c>
      <c r="E1136" s="513"/>
    </row>
    <row r="1137" spans="1:4">
      <c r="A1137" s="289" t="s">
        <v>2729</v>
      </c>
      <c r="B1137" s="494" t="s">
        <v>2730</v>
      </c>
      <c r="C1137" s="491" t="s">
        <v>2731</v>
      </c>
      <c r="D1137" s="513"/>
    </row>
    <row r="1138" spans="1:4">
      <c r="A1138" s="289" t="s">
        <v>2732</v>
      </c>
      <c r="B1138" s="494" t="s">
        <v>2733</v>
      </c>
      <c r="C1138" s="491" t="s">
        <v>2734</v>
      </c>
    </row>
    <row r="1139" spans="1:4">
      <c r="A1139" s="289" t="s">
        <v>2735</v>
      </c>
      <c r="B1139" s="494" t="s">
        <v>2736</v>
      </c>
      <c r="C1139" s="491" t="s">
        <v>2737</v>
      </c>
    </row>
    <row r="1140" spans="1:4" ht="38.25">
      <c r="A1140" s="289" t="s">
        <v>2738</v>
      </c>
      <c r="B1140" s="494" t="s">
        <v>2739</v>
      </c>
      <c r="C1140" s="491" t="s">
        <v>2740</v>
      </c>
    </row>
    <row r="1141" spans="1:4">
      <c r="A1141" s="289" t="s">
        <v>2741</v>
      </c>
      <c r="B1141" s="494" t="s">
        <v>2742</v>
      </c>
      <c r="C1141" s="491" t="s">
        <v>2743</v>
      </c>
    </row>
    <row r="1142" spans="1:4" ht="38.25">
      <c r="A1142" s="289" t="s">
        <v>2744</v>
      </c>
      <c r="B1142" s="494" t="s">
        <v>2745</v>
      </c>
      <c r="C1142" s="491" t="s">
        <v>2746</v>
      </c>
    </row>
    <row r="1143" spans="1:4">
      <c r="A1143" s="289" t="s">
        <v>2104</v>
      </c>
      <c r="B1143" s="494" t="s">
        <v>2105</v>
      </c>
      <c r="C1143" s="491" t="s">
        <v>2106</v>
      </c>
    </row>
    <row r="1144" spans="1:4">
      <c r="A1144" s="289" t="s">
        <v>2151</v>
      </c>
      <c r="B1144" s="494" t="s">
        <v>2152</v>
      </c>
      <c r="C1144" s="491" t="s">
        <v>2747</v>
      </c>
    </row>
    <row r="1145" spans="1:4">
      <c r="A1145" s="289" t="s">
        <v>2154</v>
      </c>
      <c r="B1145" s="494" t="s">
        <v>2155</v>
      </c>
      <c r="C1145" s="491" t="s">
        <v>2376</v>
      </c>
    </row>
    <row r="1146" spans="1:4">
      <c r="A1146" s="289" t="s">
        <v>2748</v>
      </c>
      <c r="B1146" s="494" t="s">
        <v>2749</v>
      </c>
      <c r="C1146" s="491" t="s">
        <v>2750</v>
      </c>
    </row>
    <row r="1147" spans="1:4">
      <c r="A1147" s="289" t="s">
        <v>2751</v>
      </c>
      <c r="B1147" s="494" t="s">
        <v>2752</v>
      </c>
      <c r="C1147" s="491" t="s">
        <v>2753</v>
      </c>
    </row>
    <row r="1148" spans="1:4">
      <c r="A1148" s="289" t="s">
        <v>2754</v>
      </c>
      <c r="B1148" s="494" t="s">
        <v>2755</v>
      </c>
      <c r="C1148" s="491" t="s">
        <v>2756</v>
      </c>
    </row>
    <row r="1149" spans="1:4" ht="25.5">
      <c r="A1149" s="149" t="s">
        <v>2757</v>
      </c>
      <c r="B1149" s="494" t="s">
        <v>2758</v>
      </c>
      <c r="C1149" s="491" t="s">
        <v>2759</v>
      </c>
    </row>
    <row r="1150" spans="1:4" ht="25.5">
      <c r="A1150" s="149" t="s">
        <v>2760</v>
      </c>
      <c r="B1150" s="494" t="s">
        <v>2761</v>
      </c>
      <c r="C1150" s="491" t="s">
        <v>2762</v>
      </c>
    </row>
    <row r="1151" spans="1:4">
      <c r="A1151" s="149" t="s">
        <v>2763</v>
      </c>
      <c r="B1151" s="494" t="s">
        <v>2764</v>
      </c>
      <c r="C1151" s="491" t="s">
        <v>2765</v>
      </c>
    </row>
    <row r="1152" spans="1:4" ht="25.5">
      <c r="A1152" s="289" t="s">
        <v>2766</v>
      </c>
      <c r="B1152" s="494" t="s">
        <v>2767</v>
      </c>
      <c r="C1152" s="491" t="s">
        <v>2768</v>
      </c>
    </row>
    <row r="1153" spans="1:4" ht="25.5">
      <c r="A1153" s="289" t="s">
        <v>2769</v>
      </c>
      <c r="B1153" s="494" t="s">
        <v>2770</v>
      </c>
      <c r="C1153" s="491" t="s">
        <v>2771</v>
      </c>
      <c r="D1153" s="513"/>
    </row>
    <row r="1154" spans="1:4" ht="13.5" thickBot="1">
      <c r="A1154" s="627" t="s">
        <v>2772</v>
      </c>
      <c r="B1154" s="629"/>
      <c r="C1154" s="628"/>
      <c r="D1154" s="513"/>
    </row>
    <row r="1155" spans="1:4" ht="127.5">
      <c r="A1155" s="289" t="s">
        <v>2773</v>
      </c>
      <c r="B1155" s="291" t="s">
        <v>2774</v>
      </c>
      <c r="C1155" s="491" t="s">
        <v>2775</v>
      </c>
    </row>
    <row r="1156" spans="1:4" ht="38.25">
      <c r="A1156" s="289" t="s">
        <v>2776</v>
      </c>
      <c r="B1156" s="291" t="s">
        <v>2777</v>
      </c>
      <c r="C1156" s="491" t="s">
        <v>2778</v>
      </c>
    </row>
    <row r="1157" spans="1:4" ht="38.25">
      <c r="A1157" s="289" t="s">
        <v>2779</v>
      </c>
      <c r="B1157" s="659" t="s">
        <v>2777</v>
      </c>
      <c r="C1157" s="664" t="s">
        <v>2778</v>
      </c>
    </row>
    <row r="1158" spans="1:4" ht="13.5" thickBot="1">
      <c r="A1158" s="627" t="s">
        <v>2780</v>
      </c>
      <c r="B1158" s="627"/>
      <c r="C1158" s="628"/>
    </row>
    <row r="1159" spans="1:4" ht="63.75">
      <c r="A1159" s="289" t="s">
        <v>2781</v>
      </c>
      <c r="B1159" s="494" t="s">
        <v>2782</v>
      </c>
      <c r="C1159" s="491" t="s">
        <v>2783</v>
      </c>
    </row>
    <row r="1160" spans="1:4" ht="13.5" thickBot="1">
      <c r="A1160" s="627" t="s">
        <v>2784</v>
      </c>
      <c r="B1160" s="627"/>
      <c r="C1160" s="628"/>
    </row>
    <row r="1161" spans="1:4" ht="76.5">
      <c r="A1161" s="289" t="str">
        <f>"Informacje uzupełniające dotyczące przyszłych opłat leasingowych oraz opłat z tytułu najmu lub dzierżawy, według stanu na "&amp;dzb&amp;", wynikające z zawartych umów ważnych na dzień bilansowy"</f>
        <v>Informacje uzupełniające dotyczące przyszłych opłat leasingowych oraz opłat z tytułu najmu lub dzierżawy, według stanu na 31.12.2024, wynikające z zawartych umów ważnych na dzień bilansowy</v>
      </c>
      <c r="B1161" s="494" t="str">
        <f>"Ergänzende Informationen über künftige Leasinggebühren sowie Gebühren aus Miete oder Pacht, nach dem Stand zum "&amp;dzb&amp;", die sich aus den geschlossenen und zum Bilanzstichtag gültigen Verträgen ergeben."</f>
        <v>Ergänzende Informationen über künftige Leasinggebühren sowie Gebühren aus Miete oder Pacht, nach dem Stand zum 31.12.2024, die sich aus den geschlossenen und zum Bilanzstichtag gültigen Verträgen ergeben.</v>
      </c>
      <c r="C1161" s="289" t="str">
        <f>"Additional information on future lease instalments and fees under leasehold or rental, as of "&amp;dzb&amp;", arising from contracts and agreements in force as of the balance sheet date"</f>
        <v>Additional information on future lease instalments and fees under leasehold or rental, as of 31.12.2024, arising from contracts and agreements in force as of the balance sheet date</v>
      </c>
    </row>
    <row r="1162" spans="1:4" ht="89.25">
      <c r="A1162" s="289" t="s">
        <v>2785</v>
      </c>
      <c r="B1162" s="638" t="s">
        <v>2786</v>
      </c>
      <c r="C1162" s="289" t="s">
        <v>2787</v>
      </c>
    </row>
    <row r="1163" spans="1:4" ht="89.25">
      <c r="A1163" s="289" t="s">
        <v>2788</v>
      </c>
      <c r="B1163" s="665" t="s">
        <v>2786</v>
      </c>
      <c r="C1163" s="658" t="s">
        <v>2787</v>
      </c>
    </row>
    <row r="1164" spans="1:4">
      <c r="A1164" s="289" t="s">
        <v>2024</v>
      </c>
      <c r="B1164" s="494" t="s">
        <v>2025</v>
      </c>
      <c r="C1164" s="491" t="s">
        <v>2026</v>
      </c>
    </row>
    <row r="1165" spans="1:4" ht="25.5">
      <c r="A1165" s="289" t="s">
        <v>2789</v>
      </c>
      <c r="B1165" s="289" t="s">
        <v>2790</v>
      </c>
      <c r="C1165" s="491" t="s">
        <v>2791</v>
      </c>
    </row>
    <row r="1166" spans="1:4">
      <c r="A1166" s="289" t="s">
        <v>2792</v>
      </c>
      <c r="B1166" s="289" t="s">
        <v>2793</v>
      </c>
      <c r="C1166" s="491" t="s">
        <v>2794</v>
      </c>
    </row>
    <row r="1167" spans="1:4">
      <c r="A1167" s="289" t="s">
        <v>2795</v>
      </c>
      <c r="B1167" s="289" t="s">
        <v>2796</v>
      </c>
      <c r="C1167" s="491" t="s">
        <v>2797</v>
      </c>
    </row>
    <row r="1168" spans="1:4">
      <c r="A1168" s="289" t="s">
        <v>2798</v>
      </c>
      <c r="B1168" s="289" t="s">
        <v>2799</v>
      </c>
      <c r="C1168" s="491" t="s">
        <v>2800</v>
      </c>
    </row>
    <row r="1169" spans="1:10">
      <c r="A1169" s="289" t="s">
        <v>2801</v>
      </c>
      <c r="B1169" s="289" t="s">
        <v>2802</v>
      </c>
      <c r="C1169" s="491" t="s">
        <v>2803</v>
      </c>
    </row>
    <row r="1170" spans="1:10">
      <c r="A1170" s="289" t="s">
        <v>2804</v>
      </c>
      <c r="B1170" s="496" t="s">
        <v>2805</v>
      </c>
      <c r="C1170" s="491" t="s">
        <v>2806</v>
      </c>
    </row>
    <row r="1171" spans="1:10" ht="25.5">
      <c r="A1171" s="289" t="str">
        <f>"od 1 do 5 lat"
&amp;IF(LEN(ro)&gt;4,"","(do spłaty w latach "&amp;rok+2&amp;" - "&amp;rok+5&amp;")")</f>
        <v>od 1 do 5 lat(do spłaty w latach 2026 - 2029)</v>
      </c>
      <c r="B1171" s="289" t="str">
        <f>"von 1 bis zu 5 Jahren"
&amp;IF(LEN(ro)&gt;4,"","(Rückzahlung zwischen "&amp;rok+2&amp;" - "&amp;rok+5&amp;")")</f>
        <v>von 1 bis zu 5 Jahren(Rückzahlung zwischen 2026 - 2029)</v>
      </c>
      <c r="C1171" s="289" t="str">
        <f>"from 1 to 5 years"
&amp;IF(LEN(ro)&gt;4,"","(to be repaid in "&amp;rok+2&amp;" - "&amp;rok+5&amp;")")</f>
        <v>from 1 to 5 years(to be repaid in 2026 - 2029)</v>
      </c>
      <c r="E1171" s="291"/>
      <c r="G1171" s="418"/>
      <c r="H1171" s="418"/>
      <c r="I1171" s="418"/>
      <c r="J1171" s="418"/>
    </row>
    <row r="1172" spans="1:10" ht="25.5">
      <c r="A1172" s="289" t="s">
        <v>2807</v>
      </c>
      <c r="B1172" s="289" t="s">
        <v>2808</v>
      </c>
      <c r="C1172" s="289" t="s">
        <v>2809</v>
      </c>
      <c r="E1172" s="291"/>
      <c r="G1172" s="418"/>
      <c r="H1172" s="418"/>
      <c r="I1172" s="418"/>
      <c r="J1172" s="418"/>
    </row>
    <row r="1173" spans="1:10" ht="25.5">
      <c r="A1173" s="289" t="s">
        <v>2810</v>
      </c>
      <c r="B1173" s="289" t="s">
        <v>2811</v>
      </c>
      <c r="C1173" s="289" t="s">
        <v>2812</v>
      </c>
      <c r="E1173" s="291"/>
      <c r="G1173" s="418"/>
      <c r="H1173" s="418"/>
      <c r="I1173" s="418"/>
      <c r="J1173" s="418"/>
    </row>
    <row r="1174" spans="1:10" ht="38.25">
      <c r="A1174" s="289" t="str">
        <f>"Informacje uzupełniające dotyczące skutków wyceny kontraktów długoterminowych, niezakończonych na dzień "&amp;dzb</f>
        <v>Informacje uzupełniające dotyczące skutków wyceny kontraktów długoterminowych, niezakończonych na dzień 31.12.2024</v>
      </c>
      <c r="B1174" s="289" t="s">
        <v>2813</v>
      </c>
      <c r="C1174" s="289" t="s">
        <v>2814</v>
      </c>
      <c r="E1174" s="291"/>
      <c r="G1174" s="418"/>
      <c r="H1174" s="418"/>
      <c r="I1174" s="418"/>
      <c r="J1174" s="418"/>
    </row>
    <row r="1175" spans="1:10">
      <c r="A1175" s="289" t="s">
        <v>2815</v>
      </c>
      <c r="B1175" s="289" t="s">
        <v>2816</v>
      </c>
      <c r="C1175" s="289" t="s">
        <v>2817</v>
      </c>
      <c r="E1175" s="291"/>
      <c r="G1175" s="418"/>
      <c r="H1175" s="418"/>
      <c r="I1175" s="418"/>
      <c r="J1175" s="418"/>
    </row>
    <row r="1176" spans="1:10" ht="25.5">
      <c r="A1176" s="496" t="s">
        <v>2818</v>
      </c>
      <c r="B1176" s="496" t="s">
        <v>2819</v>
      </c>
      <c r="C1176" s="496" t="s">
        <v>2820</v>
      </c>
      <c r="E1176" s="291"/>
      <c r="G1176" s="418"/>
      <c r="H1176" s="418"/>
      <c r="I1176" s="418"/>
      <c r="J1176" s="418"/>
    </row>
    <row r="1177" spans="1:10" ht="38.25">
      <c r="A1177" s="496" t="s">
        <v>2821</v>
      </c>
      <c r="B1177" s="496" t="s">
        <v>2822</v>
      </c>
      <c r="C1177" s="496" t="s">
        <v>2823</v>
      </c>
      <c r="E1177" s="291"/>
      <c r="G1177" s="418"/>
      <c r="H1177" s="418"/>
      <c r="I1177" s="418"/>
      <c r="J1177" s="418"/>
    </row>
    <row r="1178" spans="1:10">
      <c r="A1178" s="289" t="s">
        <v>2824</v>
      </c>
      <c r="B1178" s="289" t="s">
        <v>2825</v>
      </c>
      <c r="C1178" s="289" t="s">
        <v>2826</v>
      </c>
      <c r="E1178" s="291"/>
      <c r="G1178" s="418"/>
      <c r="H1178" s="418"/>
      <c r="I1178" s="418"/>
      <c r="J1178" s="418"/>
    </row>
    <row r="1179" spans="1:10">
      <c r="A1179" s="289" t="s">
        <v>2827</v>
      </c>
      <c r="B1179" s="289" t="s">
        <v>2828</v>
      </c>
      <c r="C1179" s="289" t="s">
        <v>2829</v>
      </c>
      <c r="E1179" s="291"/>
      <c r="G1179" s="418"/>
      <c r="H1179" s="418"/>
      <c r="I1179" s="418"/>
      <c r="J1179" s="418"/>
    </row>
    <row r="1180" spans="1:10">
      <c r="A1180" s="289" t="s">
        <v>2830</v>
      </c>
      <c r="B1180" s="289" t="s">
        <v>2831</v>
      </c>
      <c r="C1180" s="289" t="s">
        <v>2832</v>
      </c>
      <c r="E1180" s="291"/>
      <c r="G1180" s="418"/>
      <c r="H1180" s="418"/>
      <c r="I1180" s="418"/>
      <c r="J1180" s="418"/>
    </row>
    <row r="1181" spans="1:10">
      <c r="A1181" s="289" t="s">
        <v>2833</v>
      </c>
      <c r="B1181" s="289" t="s">
        <v>2834</v>
      </c>
      <c r="C1181" s="289" t="s">
        <v>2835</v>
      </c>
      <c r="E1181" s="291"/>
      <c r="G1181" s="418"/>
      <c r="H1181" s="418"/>
      <c r="I1181" s="418"/>
      <c r="J1181" s="418"/>
    </row>
    <row r="1182" spans="1:10" ht="25.5">
      <c r="A1182" s="289" t="s">
        <v>2836</v>
      </c>
      <c r="B1182" s="289" t="s">
        <v>2837</v>
      </c>
      <c r="C1182" s="289" t="s">
        <v>2838</v>
      </c>
      <c r="E1182" s="291"/>
      <c r="G1182" s="418"/>
      <c r="H1182" s="418"/>
      <c r="I1182" s="418"/>
      <c r="J1182" s="418"/>
    </row>
    <row r="1183" spans="1:10" ht="25.5">
      <c r="A1183" s="289" t="str">
        <f>A1172</f>
        <v>Aktywa z tytułu niezakończonych umów długoterminowych</v>
      </c>
      <c r="B1183" s="289" t="s">
        <v>2808</v>
      </c>
      <c r="C1183" s="289" t="s">
        <v>2809</v>
      </c>
      <c r="E1183" s="291"/>
      <c r="G1183" s="418"/>
      <c r="H1183" s="418"/>
      <c r="I1183" s="418"/>
      <c r="J1183" s="418"/>
    </row>
    <row r="1184" spans="1:10">
      <c r="A1184" s="289" t="s">
        <v>2839</v>
      </c>
      <c r="B1184" s="289" t="s">
        <v>2840</v>
      </c>
      <c r="C1184" s="289" t="s">
        <v>2841</v>
      </c>
      <c r="E1184" s="291"/>
      <c r="G1184" s="418"/>
      <c r="H1184" s="418"/>
      <c r="I1184" s="418"/>
      <c r="J1184" s="418"/>
    </row>
    <row r="1185" spans="1:10">
      <c r="A1185" s="289" t="s">
        <v>2842</v>
      </c>
      <c r="B1185" s="289" t="s">
        <v>2843</v>
      </c>
      <c r="C1185" s="289" t="s">
        <v>2844</v>
      </c>
      <c r="E1185" s="291"/>
      <c r="G1185" s="418"/>
      <c r="H1185" s="418"/>
      <c r="I1185" s="418"/>
      <c r="J1185" s="418"/>
    </row>
    <row r="1186" spans="1:10" ht="25.5">
      <c r="A1186" s="289" t="str">
        <f>A1173</f>
        <v>Rozliczenia międzyokresowe umów długoterminowych</v>
      </c>
      <c r="B1186" s="289" t="s">
        <v>2811</v>
      </c>
      <c r="C1186" s="289" t="s">
        <v>2812</v>
      </c>
      <c r="E1186" s="291"/>
      <c r="G1186" s="418"/>
      <c r="H1186" s="418"/>
      <c r="I1186" s="418"/>
      <c r="J1186" s="418"/>
    </row>
    <row r="1187" spans="1:10">
      <c r="A1187" s="289" t="s">
        <v>2845</v>
      </c>
      <c r="B1187" s="289" t="s">
        <v>2846</v>
      </c>
      <c r="C1187" s="289" t="s">
        <v>2847</v>
      </c>
      <c r="E1187" s="291"/>
      <c r="G1187" s="418"/>
      <c r="H1187" s="418"/>
      <c r="I1187" s="418"/>
      <c r="J1187" s="418"/>
    </row>
    <row r="1188" spans="1:10">
      <c r="A1188" s="289" t="s">
        <v>2848</v>
      </c>
      <c r="B1188" s="289" t="s">
        <v>2849</v>
      </c>
      <c r="C1188" s="289" t="s">
        <v>2850</v>
      </c>
      <c r="E1188" s="291"/>
      <c r="G1188" s="418"/>
      <c r="H1188" s="418"/>
      <c r="I1188" s="418"/>
      <c r="J1188" s="418"/>
    </row>
    <row r="1189" spans="1:10" ht="38.25">
      <c r="A1189" s="289" t="s">
        <v>2851</v>
      </c>
      <c r="B1189" s="289" t="s">
        <v>2852</v>
      </c>
      <c r="C1189" s="289" t="s">
        <v>2853</v>
      </c>
      <c r="E1189" s="291"/>
      <c r="G1189" s="418"/>
      <c r="H1189" s="418"/>
      <c r="I1189" s="418"/>
      <c r="J1189" s="418"/>
    </row>
    <row r="1190" spans="1:10" ht="25.5">
      <c r="A1190" s="289" t="s">
        <v>2854</v>
      </c>
      <c r="B1190" s="289" t="s">
        <v>2855</v>
      </c>
      <c r="C1190" s="289" t="s">
        <v>2856</v>
      </c>
      <c r="E1190" s="291"/>
      <c r="G1190" s="418"/>
      <c r="H1190" s="418"/>
      <c r="I1190" s="418"/>
      <c r="J1190" s="418"/>
    </row>
    <row r="1191" spans="1:10" ht="51">
      <c r="A1191" s="289" t="s">
        <v>2857</v>
      </c>
      <c r="B1191" s="289" t="s">
        <v>2858</v>
      </c>
      <c r="C1191" s="289" t="s">
        <v>2859</v>
      </c>
      <c r="E1191" s="291"/>
      <c r="G1191" s="418"/>
      <c r="H1191" s="418"/>
      <c r="I1191" s="418"/>
      <c r="J1191" s="418"/>
    </row>
    <row r="1192" spans="1:10">
      <c r="A1192" s="289" t="str">
        <f>"Rok obrotowy "&amp;rok</f>
        <v>Rok obrotowy 2024</v>
      </c>
      <c r="B1192" s="289" t="str">
        <f>"Geschaftsjähr "&amp;rok</f>
        <v>Geschaftsjähr 2024</v>
      </c>
      <c r="C1192" s="289" t="str">
        <f>"Financial year "&amp;rok</f>
        <v>Financial year 2024</v>
      </c>
      <c r="E1192" s="291"/>
      <c r="G1192" s="418"/>
      <c r="H1192" s="418"/>
      <c r="I1192" s="418"/>
      <c r="J1192" s="418"/>
    </row>
    <row r="1193" spans="1:10" ht="13.5" thickBot="1">
      <c r="A1193" s="634" t="s">
        <v>2860</v>
      </c>
      <c r="B1193" s="627"/>
      <c r="C1193" s="628"/>
    </row>
    <row r="1194" spans="1:10" ht="102">
      <c r="A1194" s="289" t="s">
        <v>2861</v>
      </c>
      <c r="B1194" s="530" t="s">
        <v>2862</v>
      </c>
      <c r="C1194" s="531" t="s">
        <v>2863</v>
      </c>
    </row>
    <row r="1195" spans="1:10" ht="25.5" customHeight="1">
      <c r="A1195" s="289" t="s">
        <v>2864</v>
      </c>
      <c r="B1195" s="291" t="s">
        <v>2865</v>
      </c>
      <c r="C1195" s="528" t="s">
        <v>2866</v>
      </c>
    </row>
    <row r="1196" spans="1:10" ht="25.5" customHeight="1">
      <c r="A1196" s="289" t="s">
        <v>2867</v>
      </c>
      <c r="B1196" s="659" t="s">
        <v>2865</v>
      </c>
      <c r="C1196" s="663" t="s">
        <v>2866</v>
      </c>
    </row>
    <row r="1197" spans="1:10" ht="25.5" customHeight="1">
      <c r="A1197" s="289" t="s">
        <v>2868</v>
      </c>
      <c r="B1197" s="291" t="s">
        <v>2869</v>
      </c>
      <c r="C1197" s="528" t="s">
        <v>2870</v>
      </c>
    </row>
    <row r="1198" spans="1:10" ht="25.5" customHeight="1">
      <c r="A1198" s="291" t="s">
        <v>2871</v>
      </c>
      <c r="B1198" s="289" t="s">
        <v>2872</v>
      </c>
      <c r="C1198" s="528" t="s">
        <v>2873</v>
      </c>
    </row>
    <row r="1199" spans="1:10" ht="25.5" customHeight="1">
      <c r="A1199" s="289" t="s">
        <v>2874</v>
      </c>
      <c r="B1199" s="289" t="s">
        <v>2875</v>
      </c>
      <c r="C1199" s="528" t="s">
        <v>2876</v>
      </c>
    </row>
    <row r="1200" spans="1:10" ht="25.5" customHeight="1">
      <c r="A1200" s="289" t="s">
        <v>2877</v>
      </c>
      <c r="B1200" s="289" t="s">
        <v>2878</v>
      </c>
      <c r="C1200" s="289" t="s">
        <v>2879</v>
      </c>
    </row>
    <row r="1201" spans="1:3" ht="38.25" customHeight="1">
      <c r="A1201" s="291" t="s">
        <v>2880</v>
      </c>
      <c r="B1201" s="289" t="s">
        <v>2881</v>
      </c>
      <c r="C1201" s="289" t="s">
        <v>2882</v>
      </c>
    </row>
    <row r="1202" spans="1:3" ht="25.5">
      <c r="A1202" s="291" t="s">
        <v>2883</v>
      </c>
      <c r="B1202" s="289" t="s">
        <v>2884</v>
      </c>
      <c r="C1202" s="289" t="s">
        <v>2885</v>
      </c>
    </row>
    <row r="1203" spans="1:3" ht="38.25">
      <c r="A1203" s="289" t="s">
        <v>2886</v>
      </c>
      <c r="B1203" s="289" t="s">
        <v>2887</v>
      </c>
      <c r="C1203" s="289" t="s">
        <v>2888</v>
      </c>
    </row>
    <row r="1204" spans="1:3" ht="38.25">
      <c r="A1204" s="291" t="s">
        <v>2889</v>
      </c>
      <c r="B1204" s="289" t="s">
        <v>2890</v>
      </c>
      <c r="C1204" s="501" t="s">
        <v>2891</v>
      </c>
    </row>
    <row r="1205" spans="1:3">
      <c r="A1205" s="291" t="s">
        <v>2892</v>
      </c>
      <c r="B1205" s="289" t="s">
        <v>2893</v>
      </c>
      <c r="C1205" s="501" t="s">
        <v>2894</v>
      </c>
    </row>
    <row r="1206" spans="1:3">
      <c r="A1206" s="291" t="s">
        <v>2662</v>
      </c>
      <c r="B1206" s="289" t="s">
        <v>2895</v>
      </c>
      <c r="C1206" s="501" t="s">
        <v>2664</v>
      </c>
    </row>
    <row r="1207" spans="1:3">
      <c r="A1207" s="291" t="s">
        <v>2896</v>
      </c>
      <c r="B1207" s="289" t="s">
        <v>2897</v>
      </c>
      <c r="C1207" s="289" t="s">
        <v>2898</v>
      </c>
    </row>
    <row r="1208" spans="1:3">
      <c r="A1208" s="291" t="s">
        <v>2899</v>
      </c>
      <c r="B1208" s="289" t="s">
        <v>2900</v>
      </c>
      <c r="C1208" s="501" t="s">
        <v>2901</v>
      </c>
    </row>
    <row r="1209" spans="1:3">
      <c r="A1209" s="291" t="s">
        <v>2902</v>
      </c>
      <c r="B1209" s="289" t="s">
        <v>2903</v>
      </c>
      <c r="C1209" s="501" t="s">
        <v>2904</v>
      </c>
    </row>
    <row r="1210" spans="1:3">
      <c r="A1210" s="291" t="s">
        <v>2905</v>
      </c>
      <c r="B1210" s="289" t="s">
        <v>2906</v>
      </c>
      <c r="C1210" s="501" t="s">
        <v>2907</v>
      </c>
    </row>
    <row r="1211" spans="1:3" ht="25.5">
      <c r="A1211" s="289" t="s">
        <v>2908</v>
      </c>
      <c r="B1211" s="289" t="s">
        <v>2909</v>
      </c>
      <c r="C1211" s="501" t="s">
        <v>2910</v>
      </c>
    </row>
    <row r="1212" spans="1:3" ht="51">
      <c r="A1212" s="289" t="s">
        <v>2911</v>
      </c>
      <c r="B1212" s="289" t="s">
        <v>2912</v>
      </c>
      <c r="C1212" s="532" t="s">
        <v>2913</v>
      </c>
    </row>
    <row r="1213" spans="1:3" ht="38.25">
      <c r="A1213" s="289" t="s">
        <v>2914</v>
      </c>
      <c r="B1213" s="289" t="s">
        <v>2915</v>
      </c>
      <c r="C1213" s="532" t="s">
        <v>2916</v>
      </c>
    </row>
    <row r="1214" spans="1:3" ht="25.5">
      <c r="A1214" s="289" t="s">
        <v>2917</v>
      </c>
      <c r="B1214" s="289" t="s">
        <v>2918</v>
      </c>
      <c r="C1214" s="532" t="s">
        <v>2919</v>
      </c>
    </row>
    <row r="1215" spans="1:3" ht="25.5">
      <c r="A1215" s="289" t="s">
        <v>2920</v>
      </c>
      <c r="B1215" s="289" t="s">
        <v>2921</v>
      </c>
      <c r="C1215" s="514" t="s">
        <v>2922</v>
      </c>
    </row>
    <row r="1216" spans="1:3">
      <c r="A1216" s="289" t="s">
        <v>2923</v>
      </c>
      <c r="B1216" s="289" t="s">
        <v>2924</v>
      </c>
      <c r="C1216" s="514" t="s">
        <v>2925</v>
      </c>
    </row>
    <row r="1217" spans="1:3">
      <c r="A1217" s="289" t="s">
        <v>2926</v>
      </c>
      <c r="B1217" s="289" t="s">
        <v>2927</v>
      </c>
      <c r="C1217" s="514" t="s">
        <v>1431</v>
      </c>
    </row>
    <row r="1218" spans="1:3" ht="24.75" customHeight="1">
      <c r="A1218" s="289" t="s">
        <v>2928</v>
      </c>
      <c r="B1218" s="289" t="s">
        <v>2929</v>
      </c>
      <c r="C1218" s="514" t="s">
        <v>2930</v>
      </c>
    </row>
    <row r="1219" spans="1:3" ht="105" customHeight="1">
      <c r="A1219" s="289" t="s">
        <v>2931</v>
      </c>
      <c r="B1219" s="289" t="s">
        <v>2932</v>
      </c>
      <c r="C1219" s="531" t="s">
        <v>2933</v>
      </c>
    </row>
    <row r="1220" spans="1:3" ht="105" customHeight="1">
      <c r="A1220" s="289" t="s">
        <v>2934</v>
      </c>
      <c r="B1220" s="291" t="s">
        <v>2935</v>
      </c>
      <c r="C1220" s="514" t="s">
        <v>2936</v>
      </c>
    </row>
    <row r="1221" spans="1:3" ht="105" customHeight="1">
      <c r="A1221" s="291" t="s">
        <v>2937</v>
      </c>
      <c r="B1221" s="659" t="s">
        <v>2935</v>
      </c>
      <c r="C1221" s="666" t="s">
        <v>2936</v>
      </c>
    </row>
    <row r="1222" spans="1:3" ht="127.5">
      <c r="A1222" s="289" t="s">
        <v>2938</v>
      </c>
      <c r="B1222" s="528" t="s">
        <v>2939</v>
      </c>
      <c r="C1222" s="514" t="s">
        <v>2940</v>
      </c>
    </row>
    <row r="1223" spans="1:3" ht="127.5">
      <c r="A1223" s="289" t="s">
        <v>2941</v>
      </c>
      <c r="B1223" s="663" t="s">
        <v>2939</v>
      </c>
      <c r="C1223" s="666" t="s">
        <v>2940</v>
      </c>
    </row>
    <row r="1224" spans="1:3" ht="127.5">
      <c r="A1224" s="289" t="s">
        <v>2938</v>
      </c>
      <c r="B1224" s="528" t="s">
        <v>2942</v>
      </c>
      <c r="C1224" s="514" t="s">
        <v>2940</v>
      </c>
    </row>
    <row r="1225" spans="1:3" ht="127.5">
      <c r="A1225" s="289" t="s">
        <v>2943</v>
      </c>
      <c r="B1225" s="663" t="s">
        <v>2942</v>
      </c>
      <c r="C1225" s="666" t="s">
        <v>2940</v>
      </c>
    </row>
    <row r="1226" spans="1:3" ht="38.25">
      <c r="A1226" s="289" t="s">
        <v>2944</v>
      </c>
      <c r="B1226" s="501" t="s">
        <v>2945</v>
      </c>
      <c r="C1226" s="514" t="s">
        <v>2946</v>
      </c>
    </row>
    <row r="1227" spans="1:3" ht="38.25">
      <c r="A1227" s="289" t="s">
        <v>2947</v>
      </c>
      <c r="B1227" s="661" t="s">
        <v>2945</v>
      </c>
      <c r="C1227" s="666" t="s">
        <v>2946</v>
      </c>
    </row>
    <row r="1228" spans="1:3">
      <c r="A1228" s="496" t="s">
        <v>2948</v>
      </c>
      <c r="B1228" s="529" t="s">
        <v>2949</v>
      </c>
      <c r="C1228" s="515" t="s">
        <v>2950</v>
      </c>
    </row>
    <row r="1229" spans="1:3">
      <c r="A1229" s="496" t="s">
        <v>2951</v>
      </c>
      <c r="B1229" s="529" t="s">
        <v>2952</v>
      </c>
      <c r="C1229" s="515" t="s">
        <v>2953</v>
      </c>
    </row>
    <row r="1230" spans="1:3">
      <c r="A1230" s="496" t="s">
        <v>2954</v>
      </c>
      <c r="B1230" s="529" t="s">
        <v>2955</v>
      </c>
      <c r="C1230" s="515" t="s">
        <v>2956</v>
      </c>
    </row>
    <row r="1231" spans="1:3">
      <c r="A1231" s="496" t="s">
        <v>2957</v>
      </c>
      <c r="B1231" s="529" t="s">
        <v>2958</v>
      </c>
      <c r="C1231" s="515" t="s">
        <v>2959</v>
      </c>
    </row>
    <row r="1232" spans="1:3" ht="38.25">
      <c r="A1232" s="289" t="s">
        <v>2960</v>
      </c>
      <c r="B1232" s="291" t="s">
        <v>2961</v>
      </c>
      <c r="C1232" s="531" t="s">
        <v>2962</v>
      </c>
    </row>
    <row r="1233" spans="1:11">
      <c r="A1233" s="289" t="s">
        <v>2963</v>
      </c>
      <c r="B1233" s="291" t="s">
        <v>2246</v>
      </c>
      <c r="C1233" s="531" t="s">
        <v>2964</v>
      </c>
    </row>
    <row r="1234" spans="1:11">
      <c r="A1234" s="289" t="s">
        <v>2024</v>
      </c>
      <c r="B1234" s="291" t="s">
        <v>2025</v>
      </c>
      <c r="C1234" s="531" t="s">
        <v>2026</v>
      </c>
    </row>
    <row r="1235" spans="1:11">
      <c r="A1235" s="289" t="s">
        <v>2965</v>
      </c>
      <c r="B1235" s="291" t="s">
        <v>2966</v>
      </c>
      <c r="C1235" s="531" t="s">
        <v>2967</v>
      </c>
    </row>
    <row r="1236" spans="1:11">
      <c r="A1236" s="289" t="str">
        <f>"Wartość zobowiązania na "&amp;dzb</f>
        <v>Wartość zobowiązania na 31.12.2024</v>
      </c>
      <c r="B1236" s="291" t="str">
        <f>"Wert der Verbindlichkeit zum "&amp;dzb</f>
        <v>Wert der Verbindlichkeit zum 31.12.2024</v>
      </c>
      <c r="C1236" s="531" t="str">
        <f>"Liability as of "&amp;dzb</f>
        <v>Liability as of 31.12.2024</v>
      </c>
    </row>
    <row r="1237" spans="1:11">
      <c r="A1237" s="289" t="str">
        <f>"Wartość zobowiązania na "&amp;pdz</f>
        <v>Wartość zobowiązania na 31.12.2023</v>
      </c>
      <c r="B1237" s="291" t="str">
        <f>"Wert der Verbindlichkeit zum "&amp;pdz</f>
        <v>Wert der Verbindlichkeit zum 31.12.2023</v>
      </c>
      <c r="C1237" s="531" t="str">
        <f>"Liability as of "&amp;pdz</f>
        <v>Liability as of 31.12.2023</v>
      </c>
    </row>
    <row r="1238" spans="1:11">
      <c r="A1238" s="289" t="s">
        <v>2968</v>
      </c>
      <c r="B1238" s="291" t="s">
        <v>2969</v>
      </c>
      <c r="C1238" s="531" t="s">
        <v>1851</v>
      </c>
    </row>
    <row r="1239" spans="1:11">
      <c r="A1239" s="289" t="s">
        <v>2970</v>
      </c>
      <c r="B1239" s="291" t="s">
        <v>2971</v>
      </c>
      <c r="C1239" s="531" t="s">
        <v>1855</v>
      </c>
    </row>
    <row r="1240" spans="1:11">
      <c r="A1240" s="289" t="s">
        <v>2972</v>
      </c>
      <c r="B1240" s="291" t="s">
        <v>2973</v>
      </c>
      <c r="C1240" s="531" t="s">
        <v>2974</v>
      </c>
    </row>
    <row r="1241" spans="1:11" ht="15">
      <c r="A1241" s="289" t="s">
        <v>2975</v>
      </c>
      <c r="B1241" s="291" t="s">
        <v>2976</v>
      </c>
      <c r="C1241" s="531" t="s">
        <v>2977</v>
      </c>
      <c r="D1241" s="533"/>
      <c r="E1241" s="534"/>
      <c r="F1241" s="535"/>
      <c r="G1241" s="535"/>
      <c r="H1241" s="535"/>
      <c r="I1241" s="535"/>
      <c r="J1241" s="535"/>
      <c r="K1241" s="535"/>
    </row>
    <row r="1242" spans="1:11" ht="17.25" customHeight="1">
      <c r="A1242" s="289" t="s">
        <v>2978</v>
      </c>
      <c r="B1242" s="291" t="s">
        <v>2979</v>
      </c>
      <c r="C1242" s="514" t="s">
        <v>2980</v>
      </c>
      <c r="D1242" s="536"/>
      <c r="E1242" s="535"/>
      <c r="F1242" s="535"/>
      <c r="G1242" s="535"/>
      <c r="H1242" s="535"/>
      <c r="I1242" s="535"/>
      <c r="J1242" s="535"/>
      <c r="K1242" s="535"/>
    </row>
    <row r="1243" spans="1:11">
      <c r="A1243" s="289" t="s">
        <v>2981</v>
      </c>
      <c r="B1243" s="291" t="s">
        <v>2982</v>
      </c>
      <c r="C1243" s="514" t="s">
        <v>2983</v>
      </c>
      <c r="D1243" s="537"/>
      <c r="E1243" s="537"/>
      <c r="F1243" s="537"/>
      <c r="G1243" s="537"/>
      <c r="H1243" s="537"/>
      <c r="I1243" s="537"/>
      <c r="J1243" s="537"/>
      <c r="K1243" s="537"/>
    </row>
    <row r="1244" spans="1:11" ht="25.5">
      <c r="A1244" s="289" t="s">
        <v>2984</v>
      </c>
      <c r="B1244" s="291" t="s">
        <v>2985</v>
      </c>
      <c r="C1244" s="514" t="s">
        <v>2986</v>
      </c>
      <c r="D1244" s="537"/>
      <c r="E1244" s="537"/>
      <c r="F1244" s="537"/>
      <c r="G1244" s="537"/>
      <c r="H1244" s="537"/>
      <c r="I1244" s="537"/>
      <c r="J1244" s="537"/>
      <c r="K1244" s="537"/>
    </row>
    <row r="1245" spans="1:11">
      <c r="A1245" s="289" t="s">
        <v>2987</v>
      </c>
      <c r="B1245" s="291" t="s">
        <v>2988</v>
      </c>
      <c r="C1245" s="514" t="s">
        <v>2989</v>
      </c>
      <c r="D1245" s="538"/>
      <c r="E1245" s="538"/>
      <c r="F1245" s="538"/>
      <c r="G1245" s="538"/>
      <c r="H1245" s="538"/>
      <c r="I1245" s="538"/>
      <c r="J1245" s="538"/>
      <c r="K1245" s="538"/>
    </row>
    <row r="1246" spans="1:11">
      <c r="A1246" s="289" t="s">
        <v>2990</v>
      </c>
      <c r="B1246" s="291" t="s">
        <v>2991</v>
      </c>
      <c r="C1246" s="514" t="s">
        <v>2992</v>
      </c>
      <c r="D1246" s="536"/>
      <c r="E1246" s="535"/>
      <c r="F1246" s="535"/>
      <c r="G1246" s="535"/>
      <c r="H1246" s="535"/>
      <c r="I1246" s="535"/>
      <c r="J1246" s="535"/>
      <c r="K1246" s="535"/>
    </row>
    <row r="1247" spans="1:11">
      <c r="A1247" s="289" t="s">
        <v>2993</v>
      </c>
      <c r="B1247" s="291" t="s">
        <v>2994</v>
      </c>
      <c r="C1247" s="514" t="s">
        <v>2995</v>
      </c>
      <c r="D1247" s="536"/>
      <c r="E1247" s="535"/>
      <c r="F1247" s="535"/>
      <c r="G1247" s="535"/>
      <c r="H1247" s="535"/>
      <c r="I1247" s="535"/>
      <c r="J1247" s="535"/>
      <c r="K1247" s="535"/>
    </row>
    <row r="1248" spans="1:11">
      <c r="A1248" s="289" t="s">
        <v>2996</v>
      </c>
      <c r="B1248" s="291" t="s">
        <v>2997</v>
      </c>
      <c r="C1248" s="514" t="s">
        <v>2998</v>
      </c>
      <c r="D1248" s="539"/>
      <c r="E1248" s="539"/>
      <c r="F1248" s="539"/>
      <c r="G1248" s="539"/>
      <c r="H1248" s="539"/>
      <c r="I1248" s="539"/>
      <c r="J1248" s="539"/>
      <c r="K1248" s="539"/>
    </row>
    <row r="1249" spans="1:11">
      <c r="A1249" s="289" t="s">
        <v>2999</v>
      </c>
      <c r="B1249" s="291" t="s">
        <v>948</v>
      </c>
      <c r="C1249" s="514" t="s">
        <v>3000</v>
      </c>
      <c r="D1249" s="540"/>
      <c r="E1249" s="540"/>
      <c r="F1249" s="540"/>
      <c r="G1249" s="540"/>
      <c r="H1249" s="540"/>
      <c r="I1249" s="540"/>
      <c r="J1249" s="540"/>
      <c r="K1249" s="540"/>
    </row>
    <row r="1250" spans="1:11" ht="25.5">
      <c r="A1250" s="289" t="s">
        <v>3001</v>
      </c>
      <c r="B1250" s="291" t="s">
        <v>3002</v>
      </c>
      <c r="C1250" s="514" t="s">
        <v>3003</v>
      </c>
      <c r="D1250" s="540"/>
      <c r="E1250" s="540"/>
      <c r="F1250" s="540"/>
      <c r="G1250" s="540"/>
      <c r="H1250" s="540"/>
      <c r="I1250" s="540"/>
      <c r="J1250" s="540"/>
      <c r="K1250" s="540"/>
    </row>
    <row r="1251" spans="1:11">
      <c r="A1251" s="289" t="s">
        <v>1070</v>
      </c>
      <c r="B1251" s="291" t="s">
        <v>1071</v>
      </c>
      <c r="C1251" s="514" t="s">
        <v>3004</v>
      </c>
    </row>
    <row r="1252" spans="1:11">
      <c r="A1252" s="289" t="s">
        <v>3005</v>
      </c>
      <c r="B1252" s="291" t="s">
        <v>3006</v>
      </c>
      <c r="C1252" s="514" t="s">
        <v>3007</v>
      </c>
    </row>
    <row r="1253" spans="1:11" ht="64.5" customHeight="1">
      <c r="A1253" s="289" t="s">
        <v>3008</v>
      </c>
      <c r="B1253" s="291" t="s">
        <v>2927</v>
      </c>
      <c r="C1253" s="514" t="s">
        <v>1078</v>
      </c>
    </row>
    <row r="1254" spans="1:11">
      <c r="A1254" s="289" t="s">
        <v>3009</v>
      </c>
      <c r="B1254" s="291" t="s">
        <v>3010</v>
      </c>
      <c r="C1254" s="514" t="s">
        <v>3011</v>
      </c>
    </row>
    <row r="1255" spans="1:11" ht="63.75">
      <c r="A1255" s="289" t="s">
        <v>3012</v>
      </c>
      <c r="B1255" s="291" t="s">
        <v>3013</v>
      </c>
      <c r="C1255" s="514" t="s">
        <v>3014</v>
      </c>
    </row>
    <row r="1256" spans="1:11">
      <c r="A1256" s="289" t="s">
        <v>3015</v>
      </c>
      <c r="B1256" s="291" t="s">
        <v>3016</v>
      </c>
      <c r="C1256" s="514" t="s">
        <v>3017</v>
      </c>
    </row>
    <row r="1257" spans="1:11" ht="25.5">
      <c r="A1257" s="541" t="s">
        <v>3018</v>
      </c>
      <c r="B1257" s="291" t="s">
        <v>3019</v>
      </c>
      <c r="C1257" s="514" t="s">
        <v>3020</v>
      </c>
    </row>
    <row r="1258" spans="1:11" ht="25.5">
      <c r="A1258" s="541" t="s">
        <v>3021</v>
      </c>
      <c r="B1258" s="659" t="s">
        <v>3019</v>
      </c>
      <c r="C1258" s="666" t="s">
        <v>3020</v>
      </c>
    </row>
    <row r="1259" spans="1:11">
      <c r="A1259" s="541" t="s">
        <v>3022</v>
      </c>
      <c r="B1259" s="529" t="s">
        <v>3023</v>
      </c>
      <c r="C1259" s="542" t="s">
        <v>3024</v>
      </c>
    </row>
    <row r="1260" spans="1:11">
      <c r="A1260" s="541" t="s">
        <v>3025</v>
      </c>
      <c r="B1260" s="529" t="s">
        <v>3026</v>
      </c>
      <c r="C1260" s="542" t="s">
        <v>3027</v>
      </c>
    </row>
    <row r="1261" spans="1:11" ht="25.5">
      <c r="A1261" s="541" t="s">
        <v>3028</v>
      </c>
      <c r="B1261" s="529" t="s">
        <v>3029</v>
      </c>
      <c r="C1261" s="542" t="s">
        <v>3030</v>
      </c>
    </row>
    <row r="1262" spans="1:11">
      <c r="A1262" s="541" t="s">
        <v>3031</v>
      </c>
      <c r="B1262" s="529" t="s">
        <v>3032</v>
      </c>
      <c r="C1262" s="542" t="s">
        <v>3033</v>
      </c>
    </row>
    <row r="1263" spans="1:11">
      <c r="A1263" s="541" t="s">
        <v>3034</v>
      </c>
      <c r="B1263" s="541" t="s">
        <v>3035</v>
      </c>
      <c r="C1263" s="541" t="s">
        <v>3036</v>
      </c>
    </row>
    <row r="1264" spans="1:11" ht="25.5">
      <c r="A1264" s="541" t="s">
        <v>3037</v>
      </c>
      <c r="B1264" s="291" t="s">
        <v>3038</v>
      </c>
      <c r="C1264" s="541" t="s">
        <v>3039</v>
      </c>
    </row>
    <row r="1265" spans="1:3" ht="25.5">
      <c r="A1265" s="541" t="s">
        <v>3040</v>
      </c>
      <c r="B1265" s="659" t="s">
        <v>3038</v>
      </c>
      <c r="C1265" s="667" t="s">
        <v>3039</v>
      </c>
    </row>
    <row r="1266" spans="1:3" ht="25.5">
      <c r="A1266" s="542" t="s">
        <v>3041</v>
      </c>
      <c r="B1266" s="543" t="s">
        <v>3042</v>
      </c>
      <c r="C1266" s="542" t="s">
        <v>3043</v>
      </c>
    </row>
    <row r="1267" spans="1:3" ht="25.5">
      <c r="A1267" s="542" t="s">
        <v>3044</v>
      </c>
      <c r="B1267" s="543" t="s">
        <v>3045</v>
      </c>
      <c r="C1267" s="542" t="s">
        <v>3046</v>
      </c>
    </row>
    <row r="1268" spans="1:3" ht="38.25">
      <c r="A1268" s="542" t="s">
        <v>3047</v>
      </c>
      <c r="B1268" s="291" t="s">
        <v>3048</v>
      </c>
      <c r="C1268" s="514" t="s">
        <v>3049</v>
      </c>
    </row>
    <row r="1269" spans="1:3">
      <c r="A1269" s="542" t="s">
        <v>3050</v>
      </c>
      <c r="B1269" s="291" t="s">
        <v>3051</v>
      </c>
      <c r="C1269" s="514" t="s">
        <v>3052</v>
      </c>
    </row>
    <row r="1270" spans="1:3">
      <c r="A1270" s="542"/>
      <c r="B1270" s="542"/>
      <c r="C1270" s="514"/>
    </row>
    <row r="1271" spans="1:3">
      <c r="A1271" s="542" t="s">
        <v>3053</v>
      </c>
      <c r="B1271" s="291" t="s">
        <v>3054</v>
      </c>
      <c r="C1271" s="514" t="s">
        <v>3055</v>
      </c>
    </row>
    <row r="1272" spans="1:3">
      <c r="A1272" s="542" t="s">
        <v>3056</v>
      </c>
      <c r="B1272" s="528" t="s">
        <v>3057</v>
      </c>
      <c r="C1272" s="514" t="s">
        <v>3058</v>
      </c>
    </row>
    <row r="1273" spans="1:3">
      <c r="A1273" s="542" t="str">
        <f>"Wartość bilansowa na "&amp;dzb</f>
        <v>Wartość bilansowa na 31.12.2024</v>
      </c>
      <c r="B1273" s="529" t="str">
        <f>"Bilanzwert zum "&amp;dzb</f>
        <v>Bilanzwert zum 31.12.2024</v>
      </c>
      <c r="C1273" s="514" t="s">
        <v>3059</v>
      </c>
    </row>
    <row r="1274" spans="1:3">
      <c r="A1274" s="542" t="s">
        <v>3060</v>
      </c>
      <c r="B1274" s="528" t="s">
        <v>3061</v>
      </c>
      <c r="C1274" s="514" t="s">
        <v>3062</v>
      </c>
    </row>
    <row r="1275" spans="1:3">
      <c r="A1275" s="542" t="s">
        <v>3063</v>
      </c>
      <c r="B1275" s="291" t="s">
        <v>3064</v>
      </c>
      <c r="C1275" s="514" t="s">
        <v>3065</v>
      </c>
    </row>
    <row r="1276" spans="1:3">
      <c r="A1276" s="542" t="s">
        <v>3066</v>
      </c>
      <c r="B1276" s="291" t="s">
        <v>3067</v>
      </c>
      <c r="C1276" s="514" t="s">
        <v>3068</v>
      </c>
    </row>
    <row r="1277" spans="1:3">
      <c r="A1277" s="542" t="s">
        <v>3069</v>
      </c>
      <c r="B1277" s="291" t="s">
        <v>3070</v>
      </c>
      <c r="C1277" s="514" t="s">
        <v>2664</v>
      </c>
    </row>
    <row r="1278" spans="1:3">
      <c r="A1278" s="542" t="s">
        <v>3071</v>
      </c>
      <c r="B1278" s="291" t="s">
        <v>3072</v>
      </c>
      <c r="C1278" s="514" t="s">
        <v>3073</v>
      </c>
    </row>
    <row r="1279" spans="1:3">
      <c r="A1279" s="542" t="s">
        <v>3074</v>
      </c>
      <c r="B1279" s="291" t="s">
        <v>3075</v>
      </c>
      <c r="C1279" s="514" t="s">
        <v>3076</v>
      </c>
    </row>
    <row r="1280" spans="1:3">
      <c r="A1280" s="542" t="s">
        <v>3077</v>
      </c>
      <c r="B1280" s="291" t="s">
        <v>3078</v>
      </c>
      <c r="C1280" s="514" t="s">
        <v>3079</v>
      </c>
    </row>
    <row r="1281" spans="1:3">
      <c r="A1281" s="542" t="s">
        <v>3080</v>
      </c>
      <c r="B1281" s="291" t="s">
        <v>3081</v>
      </c>
      <c r="C1281" s="514" t="s">
        <v>3082</v>
      </c>
    </row>
    <row r="1282" spans="1:3">
      <c r="A1282" s="289" t="s">
        <v>3083</v>
      </c>
      <c r="B1282" s="291" t="s">
        <v>3084</v>
      </c>
      <c r="C1282" s="514" t="s">
        <v>3085</v>
      </c>
    </row>
    <row r="1283" spans="1:3" ht="25.5">
      <c r="A1283" s="289" t="s">
        <v>3086</v>
      </c>
      <c r="B1283" s="528" t="s">
        <v>3087</v>
      </c>
      <c r="C1283" s="514" t="s">
        <v>3088</v>
      </c>
    </row>
    <row r="1284" spans="1:3" ht="25.5">
      <c r="A1284" s="289" t="s">
        <v>3089</v>
      </c>
      <c r="B1284" s="663" t="s">
        <v>3087</v>
      </c>
      <c r="C1284" s="666" t="s">
        <v>3088</v>
      </c>
    </row>
    <row r="1285" spans="1:3">
      <c r="A1285" s="496" t="s">
        <v>3090</v>
      </c>
      <c r="B1285" s="529" t="s">
        <v>3091</v>
      </c>
      <c r="C1285" s="514" t="s">
        <v>3092</v>
      </c>
    </row>
    <row r="1286" spans="1:3" ht="25.5">
      <c r="A1286" s="496" t="s">
        <v>3093</v>
      </c>
      <c r="B1286" s="529" t="s">
        <v>3094</v>
      </c>
      <c r="C1286" s="514" t="s">
        <v>3095</v>
      </c>
    </row>
    <row r="1287" spans="1:3">
      <c r="A1287" s="496" t="s">
        <v>3096</v>
      </c>
      <c r="B1287" s="529" t="s">
        <v>3097</v>
      </c>
      <c r="C1287" s="514" t="s">
        <v>3098</v>
      </c>
    </row>
    <row r="1288" spans="1:3" ht="25.5">
      <c r="A1288" s="496" t="s">
        <v>3099</v>
      </c>
      <c r="B1288" s="529" t="s">
        <v>3100</v>
      </c>
      <c r="C1288" s="514" t="s">
        <v>3101</v>
      </c>
    </row>
    <row r="1289" spans="1:3" ht="54" customHeight="1">
      <c r="A1289" s="289" t="s">
        <v>3102</v>
      </c>
      <c r="B1289" s="528" t="s">
        <v>3103</v>
      </c>
      <c r="C1289" s="514" t="s">
        <v>3104</v>
      </c>
    </row>
    <row r="1290" spans="1:3" ht="54" customHeight="1">
      <c r="A1290" s="289" t="s">
        <v>3105</v>
      </c>
      <c r="B1290" s="663" t="s">
        <v>3103</v>
      </c>
      <c r="C1290" s="666" t="s">
        <v>3104</v>
      </c>
    </row>
    <row r="1291" spans="1:3" ht="54" customHeight="1">
      <c r="A1291" s="289" t="s">
        <v>3106</v>
      </c>
      <c r="B1291" s="291" t="s">
        <v>3107</v>
      </c>
      <c r="C1291" s="514" t="s">
        <v>3108</v>
      </c>
    </row>
    <row r="1292" spans="1:3" ht="54" customHeight="1">
      <c r="A1292" s="289" t="s">
        <v>3109</v>
      </c>
      <c r="B1292" s="659" t="s">
        <v>3107</v>
      </c>
      <c r="C1292" s="666" t="s">
        <v>3108</v>
      </c>
    </row>
    <row r="1293" spans="1:3" ht="63.75">
      <c r="A1293" s="289" t="s">
        <v>3110</v>
      </c>
      <c r="B1293" s="528" t="s">
        <v>3111</v>
      </c>
      <c r="C1293" s="514" t="s">
        <v>3112</v>
      </c>
    </row>
    <row r="1294" spans="1:3" ht="51">
      <c r="A1294" s="289" t="s">
        <v>3110</v>
      </c>
      <c r="B1294" s="528" t="s">
        <v>3113</v>
      </c>
      <c r="C1294" s="514" t="s">
        <v>3112</v>
      </c>
    </row>
    <row r="1295" spans="1:3">
      <c r="A1295" s="289" t="s">
        <v>3114</v>
      </c>
      <c r="B1295" s="291" t="s">
        <v>3115</v>
      </c>
      <c r="C1295" s="514" t="s">
        <v>3116</v>
      </c>
    </row>
    <row r="1296" spans="1:3" ht="51">
      <c r="A1296" s="289" t="s">
        <v>3117</v>
      </c>
      <c r="B1296" s="291" t="s">
        <v>3118</v>
      </c>
      <c r="C1296" s="514" t="s">
        <v>3119</v>
      </c>
    </row>
    <row r="1297" spans="1:3" ht="51">
      <c r="A1297" s="289" t="s">
        <v>3120</v>
      </c>
      <c r="B1297" s="659" t="s">
        <v>3118</v>
      </c>
      <c r="C1297" s="666" t="s">
        <v>3119</v>
      </c>
    </row>
    <row r="1298" spans="1:3" ht="51">
      <c r="A1298" s="620" t="s">
        <v>3117</v>
      </c>
      <c r="B1298" s="291" t="s">
        <v>3121</v>
      </c>
      <c r="C1298" s="514" t="s">
        <v>3122</v>
      </c>
    </row>
    <row r="1299" spans="1:3">
      <c r="A1299" s="620"/>
      <c r="B1299" s="291"/>
      <c r="C1299" s="514"/>
    </row>
    <row r="1300" spans="1:3" ht="25.5">
      <c r="A1300" s="496" t="s">
        <v>3123</v>
      </c>
      <c r="B1300" s="543" t="s">
        <v>3124</v>
      </c>
      <c r="C1300" s="515" t="s">
        <v>3125</v>
      </c>
    </row>
    <row r="1301" spans="1:3" ht="25.5">
      <c r="A1301" s="496" t="s">
        <v>3126</v>
      </c>
      <c r="B1301" s="543" t="s">
        <v>3127</v>
      </c>
      <c r="C1301" s="515" t="s">
        <v>3128</v>
      </c>
    </row>
    <row r="1302" spans="1:3" ht="25.5">
      <c r="A1302" s="496" t="s">
        <v>3129</v>
      </c>
      <c r="B1302" s="543" t="s">
        <v>3130</v>
      </c>
      <c r="C1302" s="515" t="s">
        <v>3131</v>
      </c>
    </row>
    <row r="1303" spans="1:3" ht="25.5">
      <c r="A1303" s="496" t="s">
        <v>3132</v>
      </c>
      <c r="B1303" s="543" t="s">
        <v>3133</v>
      </c>
      <c r="C1303" s="515" t="s">
        <v>3134</v>
      </c>
    </row>
    <row r="1304" spans="1:3">
      <c r="A1304" s="289" t="s">
        <v>3135</v>
      </c>
      <c r="B1304" s="528" t="s">
        <v>3136</v>
      </c>
      <c r="C1304" s="514" t="s">
        <v>3137</v>
      </c>
    </row>
    <row r="1305" spans="1:3" ht="76.5">
      <c r="A1305" s="289" t="s">
        <v>3138</v>
      </c>
      <c r="B1305" s="528" t="s">
        <v>3139</v>
      </c>
      <c r="C1305" s="514" t="s">
        <v>3140</v>
      </c>
    </row>
    <row r="1306" spans="1:3" ht="25.5">
      <c r="A1306" s="289" t="s">
        <v>3141</v>
      </c>
      <c r="B1306" s="528" t="s">
        <v>3142</v>
      </c>
      <c r="C1306" s="514" t="s">
        <v>3143</v>
      </c>
    </row>
    <row r="1307" spans="1:3" ht="25.5">
      <c r="A1307" s="289" t="s">
        <v>3141</v>
      </c>
      <c r="B1307" s="528" t="s">
        <v>3144</v>
      </c>
      <c r="C1307" s="514" t="s">
        <v>3143</v>
      </c>
    </row>
    <row r="1308" spans="1:3" ht="38.25">
      <c r="A1308" s="496" t="s">
        <v>3145</v>
      </c>
      <c r="B1308" s="543" t="s">
        <v>3146</v>
      </c>
      <c r="C1308" s="515" t="s">
        <v>3147</v>
      </c>
    </row>
    <row r="1309" spans="1:3">
      <c r="A1309" s="496" t="s">
        <v>3148</v>
      </c>
      <c r="B1309" s="543" t="s">
        <v>3149</v>
      </c>
      <c r="C1309" s="515" t="s">
        <v>3150</v>
      </c>
    </row>
    <row r="1310" spans="1:3" ht="38.25">
      <c r="A1310" s="496" t="s">
        <v>3151</v>
      </c>
      <c r="B1310" s="543" t="s">
        <v>3152</v>
      </c>
      <c r="C1310" s="515" t="s">
        <v>3153</v>
      </c>
    </row>
    <row r="1311" spans="1:3" ht="25.5">
      <c r="A1311" s="496" t="s">
        <v>3154</v>
      </c>
      <c r="B1311" s="543" t="s">
        <v>3155</v>
      </c>
      <c r="C1311" s="515" t="s">
        <v>3156</v>
      </c>
    </row>
    <row r="1312" spans="1:3" ht="63.75">
      <c r="A1312" s="624" t="s">
        <v>3157</v>
      </c>
      <c r="B1312" s="636" t="s">
        <v>3158</v>
      </c>
      <c r="C1312" s="624" t="s">
        <v>3159</v>
      </c>
    </row>
    <row r="1313" spans="1:3" ht="51">
      <c r="A1313" s="624" t="s">
        <v>3157</v>
      </c>
      <c r="B1313" s="636" t="s">
        <v>3160</v>
      </c>
      <c r="C1313" s="624" t="s">
        <v>3159</v>
      </c>
    </row>
    <row r="1314" spans="1:3">
      <c r="A1314" s="496" t="s">
        <v>3161</v>
      </c>
      <c r="B1314" s="496" t="s">
        <v>3162</v>
      </c>
      <c r="C1314" s="514" t="s">
        <v>3163</v>
      </c>
    </row>
    <row r="1315" spans="1:3" ht="51">
      <c r="A1315" s="624" t="s">
        <v>3164</v>
      </c>
      <c r="B1315" s="636" t="s">
        <v>3165</v>
      </c>
      <c r="C1315" s="624" t="s">
        <v>3166</v>
      </c>
    </row>
    <row r="1316" spans="1:3" ht="63.75">
      <c r="A1316" s="624" t="s">
        <v>3167</v>
      </c>
      <c r="B1316" s="636" t="s">
        <v>3168</v>
      </c>
      <c r="C1316" s="624" t="s">
        <v>3169</v>
      </c>
    </row>
    <row r="1317" spans="1:3" ht="63.75">
      <c r="A1317" s="624" t="s">
        <v>3170</v>
      </c>
      <c r="B1317" s="636" t="s">
        <v>3171</v>
      </c>
      <c r="C1317" s="624" t="s">
        <v>3172</v>
      </c>
    </row>
    <row r="1318" spans="1:3" ht="63.75">
      <c r="A1318" s="624" t="s">
        <v>3173</v>
      </c>
      <c r="B1318" s="636" t="s">
        <v>3174</v>
      </c>
      <c r="C1318" s="624" t="s">
        <v>3175</v>
      </c>
    </row>
    <row r="1319" spans="1:3" ht="51">
      <c r="A1319" s="624" t="s">
        <v>3176</v>
      </c>
      <c r="B1319" s="636" t="s">
        <v>3177</v>
      </c>
      <c r="C1319" s="624" t="s">
        <v>3178</v>
      </c>
    </row>
    <row r="1320" spans="1:3">
      <c r="A1320" s="624"/>
      <c r="B1320" s="496"/>
      <c r="C1320" s="514"/>
    </row>
    <row r="1321" spans="1:3">
      <c r="A1321" s="624"/>
      <c r="B1321" s="496"/>
      <c r="C1321" s="514"/>
    </row>
    <row r="1322" spans="1:3" ht="51">
      <c r="A1322" s="624" t="s">
        <v>3179</v>
      </c>
      <c r="B1322" s="636" t="s">
        <v>3180</v>
      </c>
      <c r="C1322" s="624" t="s">
        <v>3181</v>
      </c>
    </row>
    <row r="1323" spans="1:3">
      <c r="A1323" s="496" t="s">
        <v>3182</v>
      </c>
      <c r="B1323" s="544" t="s">
        <v>3183</v>
      </c>
      <c r="C1323" s="514" t="s">
        <v>3184</v>
      </c>
    </row>
    <row r="1324" spans="1:3">
      <c r="A1324" s="496" t="s">
        <v>1651</v>
      </c>
      <c r="B1324" s="544" t="s">
        <v>3185</v>
      </c>
      <c r="C1324" s="514" t="s">
        <v>1653</v>
      </c>
    </row>
    <row r="1325" spans="1:3" ht="25.5">
      <c r="A1325" s="496" t="s">
        <v>3186</v>
      </c>
      <c r="B1325" s="526" t="s">
        <v>3187</v>
      </c>
      <c r="C1325" s="514" t="s">
        <v>3188</v>
      </c>
    </row>
    <row r="1326" spans="1:3" ht="25.5">
      <c r="A1326" s="496" t="s">
        <v>3189</v>
      </c>
      <c r="B1326" s="545" t="s">
        <v>3190</v>
      </c>
      <c r="C1326" s="514" t="s">
        <v>3191</v>
      </c>
    </row>
    <row r="1327" spans="1:3" ht="25.5">
      <c r="A1327" s="496" t="s">
        <v>3192</v>
      </c>
      <c r="B1327" s="529" t="s">
        <v>3193</v>
      </c>
      <c r="C1327" s="514" t="s">
        <v>3194</v>
      </c>
    </row>
    <row r="1328" spans="1:3" ht="25.5">
      <c r="A1328" s="496" t="s">
        <v>3195</v>
      </c>
      <c r="B1328" s="543" t="s">
        <v>3196</v>
      </c>
      <c r="C1328" s="514" t="s">
        <v>3197</v>
      </c>
    </row>
    <row r="1329" spans="1:3" ht="25.5">
      <c r="A1329" s="496" t="s">
        <v>3198</v>
      </c>
      <c r="B1329" s="543" t="s">
        <v>3199</v>
      </c>
      <c r="C1329" s="514" t="s">
        <v>3200</v>
      </c>
    </row>
    <row r="1330" spans="1:3" ht="13.5" thickBot="1">
      <c r="A1330" s="627" t="s">
        <v>3201</v>
      </c>
      <c r="B1330" s="629"/>
      <c r="C1330" s="628"/>
    </row>
    <row r="1331" spans="1:3">
      <c r="A1331" s="289" t="s">
        <v>3202</v>
      </c>
      <c r="B1331" s="514" t="s">
        <v>3203</v>
      </c>
      <c r="C1331" s="289" t="s">
        <v>3204</v>
      </c>
    </row>
    <row r="1332" spans="1:3" ht="25.5">
      <c r="A1332" s="289" t="s">
        <v>3205</v>
      </c>
      <c r="B1332" s="291" t="s">
        <v>3206</v>
      </c>
      <c r="C1332" s="289" t="s">
        <v>3207</v>
      </c>
    </row>
    <row r="1333" spans="1:3">
      <c r="A1333" s="289" t="s">
        <v>3208</v>
      </c>
      <c r="B1333" s="291" t="s">
        <v>3209</v>
      </c>
      <c r="C1333" s="289" t="s">
        <v>3210</v>
      </c>
    </row>
    <row r="1334" spans="1:3">
      <c r="A1334" s="289" t="s">
        <v>3211</v>
      </c>
      <c r="B1334" s="291" t="s">
        <v>3212</v>
      </c>
      <c r="C1334" s="289" t="s">
        <v>3213</v>
      </c>
    </row>
    <row r="1335" spans="1:3" ht="25.5">
      <c r="A1335" s="289" t="s">
        <v>3214</v>
      </c>
      <c r="B1335" s="291" t="s">
        <v>3215</v>
      </c>
      <c r="C1335" s="289" t="s">
        <v>3216</v>
      </c>
    </row>
    <row r="1336" spans="1:3" ht="25.5">
      <c r="A1336" s="289" t="s">
        <v>3217</v>
      </c>
      <c r="B1336" s="291" t="s">
        <v>3218</v>
      </c>
      <c r="C1336" s="289" t="s">
        <v>3219</v>
      </c>
    </row>
    <row r="1337" spans="1:3" ht="25.5">
      <c r="A1337" s="289" t="s">
        <v>3220</v>
      </c>
      <c r="B1337" s="291" t="s">
        <v>3221</v>
      </c>
      <c r="C1337" s="289" t="s">
        <v>3222</v>
      </c>
    </row>
    <row r="1338" spans="1:3" ht="25.5">
      <c r="A1338" s="289" t="s">
        <v>3223</v>
      </c>
      <c r="B1338" s="291" t="s">
        <v>3224</v>
      </c>
      <c r="C1338" s="289" t="s">
        <v>3225</v>
      </c>
    </row>
    <row r="1339" spans="1:3" ht="25.5">
      <c r="A1339" s="289" t="s">
        <v>3226</v>
      </c>
      <c r="B1339" s="291" t="s">
        <v>3227</v>
      </c>
      <c r="C1339" s="289" t="s">
        <v>3228</v>
      </c>
    </row>
    <row r="1340" spans="1:3" ht="38.25">
      <c r="A1340" s="289" t="s">
        <v>3229</v>
      </c>
      <c r="B1340" s="291" t="s">
        <v>3230</v>
      </c>
      <c r="C1340" s="546" t="s">
        <v>3231</v>
      </c>
    </row>
    <row r="1341" spans="1:3" ht="25.5">
      <c r="A1341" s="289" t="s">
        <v>3232</v>
      </c>
      <c r="B1341" s="291" t="s">
        <v>3233</v>
      </c>
      <c r="C1341" s="291" t="s">
        <v>3234</v>
      </c>
    </row>
    <row r="1342" spans="1:3" ht="25.5">
      <c r="A1342" s="289" t="s">
        <v>3235</v>
      </c>
      <c r="B1342" s="291" t="s">
        <v>3236</v>
      </c>
      <c r="C1342" s="289" t="s">
        <v>3237</v>
      </c>
    </row>
    <row r="1343" spans="1:3" ht="102">
      <c r="A1343" s="289" t="s">
        <v>3238</v>
      </c>
      <c r="B1343" s="291" t="s">
        <v>3239</v>
      </c>
      <c r="C1343" s="291" t="s">
        <v>3240</v>
      </c>
    </row>
    <row r="1344" spans="1:3" ht="25.5">
      <c r="A1344" s="289" t="s">
        <v>3241</v>
      </c>
      <c r="B1344" s="291" t="s">
        <v>3242</v>
      </c>
      <c r="C1344" s="291" t="s">
        <v>3243</v>
      </c>
    </row>
    <row r="1345" spans="1:6">
      <c r="A1345" s="289" t="s">
        <v>3244</v>
      </c>
      <c r="B1345" s="291" t="s">
        <v>3245</v>
      </c>
      <c r="C1345" s="291" t="s">
        <v>3246</v>
      </c>
    </row>
    <row r="1346" spans="1:6" ht="51">
      <c r="A1346" s="289" t="s">
        <v>3247</v>
      </c>
      <c r="B1346" s="291" t="s">
        <v>3248</v>
      </c>
      <c r="C1346" s="291" t="s">
        <v>3249</v>
      </c>
    </row>
    <row r="1347" spans="1:6" ht="25.5">
      <c r="A1347" s="289" t="s">
        <v>3250</v>
      </c>
      <c r="B1347" s="291" t="s">
        <v>3251</v>
      </c>
      <c r="C1347" s="291" t="s">
        <v>3252</v>
      </c>
    </row>
    <row r="1348" spans="1:6" ht="38.25">
      <c r="A1348" s="289" t="s">
        <v>3253</v>
      </c>
      <c r="B1348" s="291" t="s">
        <v>3254</v>
      </c>
      <c r="C1348" s="291" t="s">
        <v>3255</v>
      </c>
      <c r="D1348" s="547"/>
      <c r="E1348" s="548"/>
      <c r="F1348" s="549"/>
    </row>
    <row r="1349" spans="1:6">
      <c r="A1349" s="289" t="s">
        <v>3256</v>
      </c>
      <c r="B1349" s="291" t="s">
        <v>3257</v>
      </c>
      <c r="C1349" s="291" t="s">
        <v>3258</v>
      </c>
    </row>
    <row r="1350" spans="1:6" ht="38.25">
      <c r="A1350" s="289" t="s">
        <v>3259</v>
      </c>
      <c r="B1350" s="289" t="s">
        <v>3260</v>
      </c>
      <c r="C1350" s="291" t="s">
        <v>3261</v>
      </c>
    </row>
    <row r="1351" spans="1:6" ht="51">
      <c r="A1351" s="289" t="s">
        <v>3262</v>
      </c>
      <c r="B1351" s="289" t="s">
        <v>3263</v>
      </c>
      <c r="C1351" s="291" t="s">
        <v>3264</v>
      </c>
    </row>
    <row r="1352" spans="1:6" ht="165.75">
      <c r="A1352" s="289" t="s">
        <v>3265</v>
      </c>
      <c r="B1352" s="291" t="s">
        <v>3266</v>
      </c>
      <c r="C1352" s="291" t="s">
        <v>3267</v>
      </c>
    </row>
    <row r="1353" spans="1:6" ht="51">
      <c r="A1353" s="289" t="s">
        <v>3268</v>
      </c>
      <c r="B1353" s="291" t="s">
        <v>3269</v>
      </c>
      <c r="C1353" s="291" t="s">
        <v>3270</v>
      </c>
    </row>
    <row r="1354" spans="1:6" ht="25.5">
      <c r="A1354" s="289" t="s">
        <v>3271</v>
      </c>
      <c r="B1354" s="291" t="s">
        <v>3272</v>
      </c>
      <c r="C1354" s="291" t="s">
        <v>3273</v>
      </c>
    </row>
    <row r="1355" spans="1:6" ht="38.25">
      <c r="A1355" s="289" t="s">
        <v>3274</v>
      </c>
      <c r="B1355" s="291" t="s">
        <v>3275</v>
      </c>
      <c r="C1355" s="291" t="s">
        <v>3276</v>
      </c>
    </row>
    <row r="1356" spans="1:6" ht="76.5">
      <c r="A1356" s="289" t="s">
        <v>3277</v>
      </c>
      <c r="B1356" s="291" t="s">
        <v>3278</v>
      </c>
      <c r="C1356" s="291" t="s">
        <v>3279</v>
      </c>
    </row>
    <row r="1357" spans="1:6" ht="89.25">
      <c r="A1357" s="289" t="s">
        <v>3280</v>
      </c>
      <c r="B1357" s="291" t="s">
        <v>3281</v>
      </c>
      <c r="C1357" s="291" t="s">
        <v>3282</v>
      </c>
    </row>
    <row r="1358" spans="1:6" ht="38.25">
      <c r="A1358" s="289" t="s">
        <v>3283</v>
      </c>
      <c r="B1358" s="291" t="s">
        <v>3284</v>
      </c>
      <c r="C1358" s="291" t="s">
        <v>3285</v>
      </c>
    </row>
    <row r="1359" spans="1:6" ht="25.5">
      <c r="A1359" s="289" t="s">
        <v>3286</v>
      </c>
      <c r="B1359" s="291" t="s">
        <v>3287</v>
      </c>
      <c r="C1359" s="291" t="s">
        <v>3288</v>
      </c>
      <c r="D1359" s="513"/>
    </row>
    <row r="1360" spans="1:6">
      <c r="A1360" s="289" t="s">
        <v>3289</v>
      </c>
      <c r="B1360" s="291" t="s">
        <v>3290</v>
      </c>
      <c r="C1360" s="291" t="s">
        <v>3291</v>
      </c>
      <c r="D1360" s="513"/>
    </row>
    <row r="1361" spans="1:3" ht="25.5">
      <c r="A1361" s="289" t="s">
        <v>3292</v>
      </c>
      <c r="B1361" s="291" t="s">
        <v>3293</v>
      </c>
      <c r="C1361" s="289" t="s">
        <v>3294</v>
      </c>
    </row>
    <row r="1362" spans="1:3" ht="38.25">
      <c r="A1362" s="289" t="s">
        <v>3295</v>
      </c>
      <c r="B1362" s="291" t="s">
        <v>3296</v>
      </c>
      <c r="C1362" s="291" t="s">
        <v>3297</v>
      </c>
    </row>
    <row r="1363" spans="1:3" ht="25.5">
      <c r="A1363" s="289" t="s">
        <v>3298</v>
      </c>
      <c r="B1363" s="291" t="s">
        <v>3299</v>
      </c>
      <c r="C1363" s="289" t="s">
        <v>3300</v>
      </c>
    </row>
    <row r="1364" spans="1:3" ht="13.5" thickBot="1">
      <c r="A1364" s="634" t="s">
        <v>3301</v>
      </c>
      <c r="B1364" s="627"/>
      <c r="C1364" s="628"/>
    </row>
    <row r="1365" spans="1:3">
      <c r="A1365" s="289" t="s">
        <v>3302</v>
      </c>
      <c r="B1365" s="291" t="s">
        <v>2627</v>
      </c>
      <c r="C1365" s="289" t="s">
        <v>3303</v>
      </c>
    </row>
    <row r="1366" spans="1:3" ht="25.5">
      <c r="A1366" s="289" t="s">
        <v>3304</v>
      </c>
      <c r="B1366" s="291" t="s">
        <v>3305</v>
      </c>
      <c r="C1366" s="289" t="s">
        <v>3306</v>
      </c>
    </row>
    <row r="1367" spans="1:3" ht="13.5" thickBot="1">
      <c r="A1367" s="634" t="s">
        <v>3307</v>
      </c>
      <c r="B1367" s="627"/>
      <c r="C1367" s="628"/>
    </row>
    <row r="1368" spans="1:3" ht="25.5">
      <c r="A1368" s="481" t="s">
        <v>3308</v>
      </c>
      <c r="B1368" s="291" t="s">
        <v>3309</v>
      </c>
      <c r="C1368" s="481" t="s">
        <v>3310</v>
      </c>
    </row>
    <row r="1369" spans="1:3" ht="25.5">
      <c r="A1369" s="289" t="s">
        <v>3311</v>
      </c>
      <c r="B1369" s="291" t="s">
        <v>3312</v>
      </c>
      <c r="C1369" s="289" t="s">
        <v>3313</v>
      </c>
    </row>
    <row r="1370" spans="1:3" ht="25.5">
      <c r="A1370" s="289" t="s">
        <v>3314</v>
      </c>
      <c r="B1370" s="291" t="s">
        <v>3315</v>
      </c>
      <c r="C1370" s="289" t="s">
        <v>3316</v>
      </c>
    </row>
    <row r="1371" spans="1:3">
      <c r="A1371" s="289" t="s">
        <v>3317</v>
      </c>
      <c r="B1371" s="291" t="s">
        <v>3318</v>
      </c>
      <c r="C1371" s="289" t="s">
        <v>3319</v>
      </c>
    </row>
    <row r="1372" spans="1:3">
      <c r="A1372" s="289" t="s">
        <v>3320</v>
      </c>
      <c r="B1372" s="291" t="s">
        <v>3321</v>
      </c>
      <c r="C1372" s="289" t="s">
        <v>3322</v>
      </c>
    </row>
    <row r="1373" spans="1:3">
      <c r="A1373" s="289" t="s">
        <v>3323</v>
      </c>
      <c r="B1373" s="291" t="s">
        <v>3324</v>
      </c>
      <c r="C1373" s="289" t="s">
        <v>3325</v>
      </c>
    </row>
    <row r="1374" spans="1:3">
      <c r="A1374" s="289" t="s">
        <v>3326</v>
      </c>
      <c r="B1374" s="291" t="s">
        <v>3327</v>
      </c>
      <c r="C1374" s="289" t="s">
        <v>3328</v>
      </c>
    </row>
    <row r="1375" spans="1:3">
      <c r="A1375" s="289" t="s">
        <v>3320</v>
      </c>
      <c r="B1375" s="291" t="s">
        <v>3321</v>
      </c>
      <c r="C1375" s="289" t="s">
        <v>3329</v>
      </c>
    </row>
    <row r="1376" spans="1:3">
      <c r="A1376" s="289" t="s">
        <v>3323</v>
      </c>
      <c r="B1376" s="291" t="s">
        <v>3330</v>
      </c>
      <c r="C1376" s="289" t="s">
        <v>3325</v>
      </c>
    </row>
    <row r="1377" spans="1:5">
      <c r="A1377" s="289" t="s">
        <v>3331</v>
      </c>
      <c r="B1377" s="291" t="s">
        <v>3332</v>
      </c>
      <c r="C1377" s="289" t="s">
        <v>3333</v>
      </c>
    </row>
    <row r="1378" spans="1:5">
      <c r="A1378" s="289" t="s">
        <v>3320</v>
      </c>
      <c r="B1378" s="291" t="s">
        <v>3321</v>
      </c>
      <c r="C1378" s="289" t="s">
        <v>3322</v>
      </c>
    </row>
    <row r="1379" spans="1:5">
      <c r="A1379" s="289" t="s">
        <v>3323</v>
      </c>
      <c r="B1379" s="291" t="s">
        <v>3330</v>
      </c>
      <c r="C1379" s="289" t="s">
        <v>3325</v>
      </c>
    </row>
    <row r="1380" spans="1:5">
      <c r="A1380" s="289" t="s">
        <v>3334</v>
      </c>
      <c r="B1380" s="291" t="s">
        <v>3335</v>
      </c>
      <c r="C1380" s="289" t="s">
        <v>3336</v>
      </c>
      <c r="E1380" s="513"/>
    </row>
    <row r="1381" spans="1:5">
      <c r="A1381" s="289" t="s">
        <v>3337</v>
      </c>
      <c r="B1381" s="291" t="s">
        <v>3338</v>
      </c>
      <c r="C1381" s="289" t="s">
        <v>3339</v>
      </c>
    </row>
    <row r="1382" spans="1:5" ht="25.5">
      <c r="A1382" s="289" t="s">
        <v>1417</v>
      </c>
      <c r="B1382" s="291" t="s">
        <v>3340</v>
      </c>
      <c r="C1382" s="289" t="s">
        <v>3341</v>
      </c>
    </row>
    <row r="1383" spans="1:5">
      <c r="A1383" s="289" t="s">
        <v>3342</v>
      </c>
      <c r="B1383" s="291" t="s">
        <v>3343</v>
      </c>
      <c r="C1383" s="289" t="s">
        <v>3344</v>
      </c>
    </row>
    <row r="1384" spans="1:5">
      <c r="A1384" s="289" t="s">
        <v>3345</v>
      </c>
      <c r="B1384" s="291" t="s">
        <v>3346</v>
      </c>
      <c r="C1384" s="289" t="s">
        <v>3347</v>
      </c>
    </row>
    <row r="1385" spans="1:5" ht="38.25">
      <c r="A1385" s="289" t="s">
        <v>3348</v>
      </c>
      <c r="B1385" s="291" t="s">
        <v>3349</v>
      </c>
      <c r="C1385" s="289" t="s">
        <v>3350</v>
      </c>
    </row>
    <row r="1386" spans="1:5" ht="25.5">
      <c r="A1386" s="289" t="s">
        <v>1190</v>
      </c>
      <c r="B1386" s="291" t="s">
        <v>1191</v>
      </c>
      <c r="C1386" s="289" t="s">
        <v>1192</v>
      </c>
      <c r="D1386" s="513"/>
    </row>
    <row r="1387" spans="1:5" ht="25.5">
      <c r="A1387" s="289" t="s">
        <v>3351</v>
      </c>
      <c r="B1387" s="291" t="s">
        <v>3352</v>
      </c>
      <c r="C1387" s="289" t="s">
        <v>1206</v>
      </c>
    </row>
    <row r="1388" spans="1:5">
      <c r="A1388" s="289" t="s">
        <v>3353</v>
      </c>
      <c r="B1388" s="291" t="s">
        <v>3354</v>
      </c>
      <c r="C1388" s="289" t="s">
        <v>3355</v>
      </c>
    </row>
    <row r="1389" spans="1:5">
      <c r="A1389" s="289" t="s">
        <v>3356</v>
      </c>
      <c r="B1389" s="291" t="s">
        <v>3357</v>
      </c>
      <c r="C1389" s="289" t="s">
        <v>3358</v>
      </c>
    </row>
    <row r="1390" spans="1:5" ht="25.5">
      <c r="A1390" s="289" t="s">
        <v>3359</v>
      </c>
      <c r="B1390" s="291" t="s">
        <v>3360</v>
      </c>
      <c r="C1390" s="289" t="s">
        <v>3361</v>
      </c>
    </row>
    <row r="1391" spans="1:5" ht="38.25">
      <c r="A1391" s="289" t="s">
        <v>3362</v>
      </c>
      <c r="B1391" s="291" t="s">
        <v>3363</v>
      </c>
      <c r="C1391" s="289" t="s">
        <v>3364</v>
      </c>
    </row>
    <row r="1392" spans="1:5" ht="25.5">
      <c r="A1392" s="289" t="s">
        <v>3365</v>
      </c>
      <c r="B1392" s="291" t="s">
        <v>3366</v>
      </c>
      <c r="C1392" s="289" t="s">
        <v>3367</v>
      </c>
    </row>
    <row r="1393" spans="1:3" ht="25.5">
      <c r="A1393" s="289" t="s">
        <v>3368</v>
      </c>
      <c r="B1393" s="291" t="s">
        <v>3369</v>
      </c>
      <c r="C1393" s="289" t="s">
        <v>3370</v>
      </c>
    </row>
    <row r="1394" spans="1:3">
      <c r="A1394" s="289" t="s">
        <v>3371</v>
      </c>
      <c r="B1394" s="291" t="s">
        <v>3372</v>
      </c>
      <c r="C1394" s="289" t="s">
        <v>3373</v>
      </c>
    </row>
    <row r="1395" spans="1:3" ht="25.5">
      <c r="A1395" s="289" t="s">
        <v>3374</v>
      </c>
      <c r="B1395" s="291" t="s">
        <v>3375</v>
      </c>
      <c r="C1395" s="289" t="s">
        <v>3376</v>
      </c>
    </row>
    <row r="1396" spans="1:3" ht="25.5">
      <c r="A1396" s="289" t="s">
        <v>3377</v>
      </c>
      <c r="B1396" s="291" t="s">
        <v>3378</v>
      </c>
      <c r="C1396" s="289" t="s">
        <v>3379</v>
      </c>
    </row>
    <row r="1397" spans="1:3">
      <c r="A1397" s="289" t="s">
        <v>1038</v>
      </c>
      <c r="B1397" s="291" t="s">
        <v>1039</v>
      </c>
      <c r="C1397" s="289" t="s">
        <v>1040</v>
      </c>
    </row>
    <row r="1398" spans="1:3">
      <c r="A1398" s="289" t="s">
        <v>3380</v>
      </c>
      <c r="B1398" s="291" t="s">
        <v>3381</v>
      </c>
      <c r="C1398" s="289" t="s">
        <v>3382</v>
      </c>
    </row>
    <row r="1399" spans="1:3" ht="25.5">
      <c r="A1399" s="289" t="s">
        <v>3383</v>
      </c>
      <c r="B1399" s="291" t="s">
        <v>3384</v>
      </c>
      <c r="C1399" s="291" t="s">
        <v>3385</v>
      </c>
    </row>
    <row r="1400" spans="1:3">
      <c r="A1400" s="289" t="s">
        <v>3386</v>
      </c>
      <c r="B1400" s="291" t="s">
        <v>3387</v>
      </c>
      <c r="C1400" s="289" t="s">
        <v>3388</v>
      </c>
    </row>
    <row r="1401" spans="1:3" ht="25.5">
      <c r="A1401" s="289" t="s">
        <v>1320</v>
      </c>
      <c r="B1401" s="291" t="s">
        <v>1321</v>
      </c>
      <c r="C1401" s="289" t="s">
        <v>1322</v>
      </c>
    </row>
    <row r="1402" spans="1:3" ht="25.5">
      <c r="A1402" s="289" t="s">
        <v>3389</v>
      </c>
      <c r="B1402" s="291" t="s">
        <v>3390</v>
      </c>
      <c r="C1402" s="289" t="s">
        <v>3391</v>
      </c>
    </row>
    <row r="1403" spans="1:3">
      <c r="A1403" s="289" t="s">
        <v>3392</v>
      </c>
      <c r="B1403" s="291" t="s">
        <v>3393</v>
      </c>
      <c r="C1403" s="289" t="s">
        <v>3394</v>
      </c>
    </row>
    <row r="1404" spans="1:3">
      <c r="A1404" s="289" t="s">
        <v>3395</v>
      </c>
      <c r="B1404" s="291" t="s">
        <v>3396</v>
      </c>
      <c r="C1404" s="289" t="s">
        <v>3397</v>
      </c>
    </row>
    <row r="1405" spans="1:3">
      <c r="A1405" s="289" t="s">
        <v>1323</v>
      </c>
      <c r="B1405" s="291" t="s">
        <v>1324</v>
      </c>
      <c r="C1405" s="289" t="s">
        <v>1325</v>
      </c>
    </row>
    <row r="1406" spans="1:3" ht="25.5">
      <c r="A1406" s="289" t="s">
        <v>3398</v>
      </c>
      <c r="B1406" s="291" t="s">
        <v>3399</v>
      </c>
      <c r="C1406" s="289" t="s">
        <v>3400</v>
      </c>
    </row>
    <row r="1407" spans="1:3">
      <c r="A1407" s="289" t="s">
        <v>864</v>
      </c>
      <c r="B1407" s="291" t="s">
        <v>865</v>
      </c>
      <c r="C1407" s="289" t="s">
        <v>3401</v>
      </c>
    </row>
    <row r="1408" spans="1:3" ht="25.5">
      <c r="A1408" s="289" t="s">
        <v>3402</v>
      </c>
      <c r="B1408" s="291" t="s">
        <v>3403</v>
      </c>
      <c r="C1408" s="289" t="s">
        <v>3404</v>
      </c>
    </row>
    <row r="1409" spans="1:3" ht="38.25">
      <c r="A1409" s="289" t="s">
        <v>3405</v>
      </c>
      <c r="B1409" s="510" t="s">
        <v>3406</v>
      </c>
      <c r="C1409" s="289" t="s">
        <v>3407</v>
      </c>
    </row>
    <row r="1410" spans="1:3" ht="25.5">
      <c r="A1410" s="289" t="s">
        <v>3408</v>
      </c>
      <c r="B1410" s="291" t="s">
        <v>3409</v>
      </c>
      <c r="C1410" s="289" t="s">
        <v>3410</v>
      </c>
    </row>
    <row r="1411" spans="1:3">
      <c r="A1411" s="289" t="s">
        <v>3411</v>
      </c>
      <c r="B1411" s="291" t="s">
        <v>3412</v>
      </c>
      <c r="C1411" s="289" t="s">
        <v>3413</v>
      </c>
    </row>
    <row r="1412" spans="1:3">
      <c r="A1412" s="289" t="s">
        <v>3380</v>
      </c>
      <c r="B1412" s="291" t="s">
        <v>3381</v>
      </c>
      <c r="C1412" s="289" t="s">
        <v>3382</v>
      </c>
    </row>
    <row r="1413" spans="1:3" ht="38.25">
      <c r="A1413" s="289" t="s">
        <v>3414</v>
      </c>
      <c r="B1413" s="291" t="s">
        <v>3415</v>
      </c>
      <c r="C1413" s="289" t="s">
        <v>3416</v>
      </c>
    </row>
    <row r="1414" spans="1:3">
      <c r="A1414" s="289" t="s">
        <v>1335</v>
      </c>
      <c r="B1414" s="291" t="s">
        <v>1336</v>
      </c>
      <c r="C1414" s="289" t="s">
        <v>1337</v>
      </c>
    </row>
    <row r="1415" spans="1:3" ht="25.5">
      <c r="A1415" s="289" t="s">
        <v>3417</v>
      </c>
      <c r="B1415" s="291" t="s">
        <v>3418</v>
      </c>
      <c r="C1415" s="289" t="s">
        <v>3419</v>
      </c>
    </row>
    <row r="1416" spans="1:3">
      <c r="A1416" s="289" t="s">
        <v>1326</v>
      </c>
      <c r="B1416" s="291" t="s">
        <v>1327</v>
      </c>
      <c r="C1416" s="289" t="s">
        <v>1328</v>
      </c>
    </row>
    <row r="1417" spans="1:3" ht="38.25">
      <c r="A1417" s="289" t="s">
        <v>3420</v>
      </c>
      <c r="B1417" s="291" t="s">
        <v>3421</v>
      </c>
      <c r="C1417" s="289" t="s">
        <v>3422</v>
      </c>
    </row>
    <row r="1418" spans="1:3" ht="25.5">
      <c r="A1418" s="289" t="s">
        <v>3423</v>
      </c>
      <c r="B1418" s="291" t="s">
        <v>3424</v>
      </c>
      <c r="C1418" s="289" t="s">
        <v>3425</v>
      </c>
    </row>
    <row r="1419" spans="1:3" ht="25.5">
      <c r="A1419" s="289" t="s">
        <v>3426</v>
      </c>
      <c r="B1419" s="291" t="s">
        <v>3427</v>
      </c>
      <c r="C1419" s="289" t="s">
        <v>3428</v>
      </c>
    </row>
    <row r="1420" spans="1:3">
      <c r="A1420" s="289" t="s">
        <v>1106</v>
      </c>
      <c r="B1420" s="291" t="s">
        <v>1107</v>
      </c>
      <c r="C1420" s="289" t="s">
        <v>1108</v>
      </c>
    </row>
    <row r="1421" spans="1:3">
      <c r="A1421" s="289" t="s">
        <v>3429</v>
      </c>
      <c r="B1421" s="291" t="s">
        <v>3430</v>
      </c>
      <c r="C1421" s="289" t="s">
        <v>3431</v>
      </c>
    </row>
    <row r="1422" spans="1:3" ht="25.5">
      <c r="A1422" s="289" t="s">
        <v>3432</v>
      </c>
      <c r="B1422" s="291" t="s">
        <v>3433</v>
      </c>
      <c r="C1422" s="289" t="s">
        <v>3434</v>
      </c>
    </row>
    <row r="1423" spans="1:3" ht="38.25">
      <c r="A1423" s="289" t="s">
        <v>3435</v>
      </c>
      <c r="B1423" s="291" t="s">
        <v>3436</v>
      </c>
      <c r="C1423" s="289" t="s">
        <v>3437</v>
      </c>
    </row>
    <row r="1424" spans="1:3" ht="38.25">
      <c r="A1424" s="289" t="s">
        <v>3438</v>
      </c>
      <c r="B1424" s="291" t="s">
        <v>3439</v>
      </c>
      <c r="C1424" s="289" t="s">
        <v>3440</v>
      </c>
    </row>
    <row r="1425" spans="1:5" ht="25.5">
      <c r="A1425" s="289" t="s">
        <v>3441</v>
      </c>
      <c r="B1425" s="291" t="s">
        <v>3442</v>
      </c>
      <c r="C1425" s="289" t="s">
        <v>3443</v>
      </c>
    </row>
    <row r="1426" spans="1:5" ht="25.5">
      <c r="A1426" s="289" t="s">
        <v>3444</v>
      </c>
      <c r="B1426" s="291" t="s">
        <v>3445</v>
      </c>
      <c r="C1426" s="289" t="s">
        <v>3446</v>
      </c>
      <c r="D1426" s="513"/>
    </row>
    <row r="1427" spans="1:5" ht="25.5">
      <c r="A1427" s="289" t="s">
        <v>3447</v>
      </c>
      <c r="B1427" s="291" t="s">
        <v>3448</v>
      </c>
      <c r="C1427" s="289" t="s">
        <v>3449</v>
      </c>
    </row>
    <row r="1428" spans="1:5" ht="25.5">
      <c r="A1428" s="289" t="s">
        <v>3450</v>
      </c>
      <c r="B1428" s="291" t="s">
        <v>3451</v>
      </c>
      <c r="C1428" s="289" t="s">
        <v>3452</v>
      </c>
    </row>
    <row r="1429" spans="1:5" ht="25.5">
      <c r="A1429" s="289" t="s">
        <v>3453</v>
      </c>
      <c r="B1429" s="291" t="s">
        <v>3454</v>
      </c>
      <c r="C1429" s="289" t="s">
        <v>3455</v>
      </c>
      <c r="D1429" s="69"/>
    </row>
    <row r="1430" spans="1:5" ht="25.5">
      <c r="A1430" s="289" t="s">
        <v>3456</v>
      </c>
      <c r="B1430" s="291" t="s">
        <v>3457</v>
      </c>
      <c r="C1430" s="289" t="s">
        <v>3458</v>
      </c>
      <c r="D1430" s="70"/>
    </row>
    <row r="1431" spans="1:5">
      <c r="A1431" s="289" t="s">
        <v>3459</v>
      </c>
      <c r="B1431" s="510" t="s">
        <v>2927</v>
      </c>
      <c r="C1431" s="289" t="s">
        <v>1431</v>
      </c>
    </row>
    <row r="1432" spans="1:5" ht="25.5">
      <c r="A1432" s="289" t="s">
        <v>3460</v>
      </c>
      <c r="B1432" s="291" t="s">
        <v>3461</v>
      </c>
      <c r="C1432" s="282" t="s">
        <v>3462</v>
      </c>
    </row>
    <row r="1433" spans="1:5" ht="38.25">
      <c r="A1433" s="289" t="s">
        <v>3463</v>
      </c>
      <c r="B1433" s="510" t="s">
        <v>3464</v>
      </c>
      <c r="C1433" s="282" t="s">
        <v>3465</v>
      </c>
    </row>
    <row r="1434" spans="1:5" ht="25.5">
      <c r="A1434" s="289" t="s">
        <v>3466</v>
      </c>
      <c r="B1434" s="291" t="s">
        <v>3467</v>
      </c>
      <c r="C1434" s="289" t="s">
        <v>3468</v>
      </c>
    </row>
    <row r="1435" spans="1:5">
      <c r="A1435" s="289" t="s">
        <v>3469</v>
      </c>
      <c r="B1435" s="291" t="s">
        <v>3470</v>
      </c>
      <c r="C1435" s="289" t="s">
        <v>3471</v>
      </c>
    </row>
    <row r="1436" spans="1:5" ht="25.5">
      <c r="A1436" s="289" t="s">
        <v>3472</v>
      </c>
      <c r="B1436" s="291" t="s">
        <v>3473</v>
      </c>
      <c r="C1436" s="289" t="s">
        <v>3474</v>
      </c>
    </row>
    <row r="1437" spans="1:5" ht="25.5">
      <c r="A1437" s="289" t="s">
        <v>3475</v>
      </c>
      <c r="B1437" s="291" t="s">
        <v>3476</v>
      </c>
      <c r="C1437" s="289" t="s">
        <v>3477</v>
      </c>
      <c r="D1437" s="95"/>
      <c r="E1437" s="290"/>
    </row>
    <row r="1438" spans="1:5" ht="25.5">
      <c r="A1438" s="289" t="s">
        <v>3478</v>
      </c>
      <c r="B1438" s="291" t="s">
        <v>3479</v>
      </c>
      <c r="C1438" s="289" t="s">
        <v>3480</v>
      </c>
      <c r="D1438" s="550"/>
    </row>
    <row r="1439" spans="1:5" ht="25.5">
      <c r="A1439" s="551" t="s">
        <v>3481</v>
      </c>
      <c r="B1439" s="282" t="s">
        <v>3482</v>
      </c>
      <c r="C1439" s="289" t="s">
        <v>3483</v>
      </c>
      <c r="D1439" s="95"/>
      <c r="E1439" s="504"/>
    </row>
    <row r="1440" spans="1:5" ht="25.5">
      <c r="A1440" s="551" t="s">
        <v>3484</v>
      </c>
      <c r="B1440" s="282" t="s">
        <v>3485</v>
      </c>
      <c r="C1440" s="289" t="s">
        <v>3486</v>
      </c>
    </row>
    <row r="1441" spans="1:5" ht="38.25">
      <c r="A1441" s="283" t="s">
        <v>3487</v>
      </c>
      <c r="B1441" s="284" t="s">
        <v>3488</v>
      </c>
      <c r="C1441" s="550" t="s">
        <v>3489</v>
      </c>
    </row>
    <row r="1442" spans="1:5" ht="38.25">
      <c r="A1442" s="289" t="s">
        <v>3490</v>
      </c>
      <c r="B1442" s="291" t="s">
        <v>3491</v>
      </c>
      <c r="C1442" s="289" t="s">
        <v>3492</v>
      </c>
    </row>
    <row r="1443" spans="1:5">
      <c r="A1443" s="283" t="s">
        <v>3493</v>
      </c>
      <c r="B1443" s="284" t="s">
        <v>3494</v>
      </c>
      <c r="C1443" s="550" t="s">
        <v>3495</v>
      </c>
      <c r="D1443" s="550"/>
    </row>
    <row r="1444" spans="1:5">
      <c r="A1444" s="551" t="s">
        <v>1113</v>
      </c>
      <c r="B1444" s="282" t="s">
        <v>1114</v>
      </c>
      <c r="C1444" s="289" t="s">
        <v>1115</v>
      </c>
      <c r="D1444" s="550"/>
      <c r="E1444" s="550"/>
    </row>
    <row r="1445" spans="1:5" ht="25.5">
      <c r="A1445" s="551" t="s">
        <v>3496</v>
      </c>
      <c r="B1445" s="282" t="s">
        <v>3497</v>
      </c>
      <c r="C1445" s="289" t="s">
        <v>3498</v>
      </c>
      <c r="D1445" s="550"/>
    </row>
    <row r="1446" spans="1:5" ht="25.5">
      <c r="A1446" s="551" t="s">
        <v>3499</v>
      </c>
      <c r="B1446" s="282" t="s">
        <v>3500</v>
      </c>
      <c r="C1446" s="289" t="s">
        <v>3501</v>
      </c>
      <c r="D1446" s="550"/>
    </row>
    <row r="1447" spans="1:5">
      <c r="A1447" s="283" t="s">
        <v>2482</v>
      </c>
      <c r="B1447" s="284" t="s">
        <v>1656</v>
      </c>
      <c r="C1447" s="550" t="s">
        <v>1657</v>
      </c>
    </row>
    <row r="1448" spans="1:5">
      <c r="A1448" s="283" t="s">
        <v>3502</v>
      </c>
      <c r="B1448" s="284" t="s">
        <v>3503</v>
      </c>
      <c r="C1448" s="550" t="s">
        <v>3504</v>
      </c>
    </row>
    <row r="1449" spans="1:5" ht="25.5">
      <c r="A1449" s="552" t="s">
        <v>3505</v>
      </c>
      <c r="B1449" s="284" t="s">
        <v>3506</v>
      </c>
      <c r="C1449" s="550" t="s">
        <v>3507</v>
      </c>
    </row>
    <row r="1450" spans="1:5">
      <c r="A1450" s="552" t="s">
        <v>3508</v>
      </c>
      <c r="B1450" s="284" t="s">
        <v>3509</v>
      </c>
      <c r="C1450" s="550" t="s">
        <v>3510</v>
      </c>
    </row>
    <row r="1451" spans="1:5" ht="38.25">
      <c r="A1451" s="553" t="s">
        <v>3511</v>
      </c>
      <c r="B1451" s="282" t="s">
        <v>3512</v>
      </c>
      <c r="C1451" s="289" t="s">
        <v>3513</v>
      </c>
      <c r="D1451" s="513"/>
    </row>
    <row r="1452" spans="1:5" ht="51">
      <c r="A1452" s="553" t="s">
        <v>3514</v>
      </c>
      <c r="B1452" s="282" t="s">
        <v>3515</v>
      </c>
      <c r="C1452" s="289" t="s">
        <v>3516</v>
      </c>
      <c r="D1452" s="513"/>
    </row>
    <row r="1453" spans="1:5" ht="63.75">
      <c r="A1453" s="553" t="s">
        <v>3517</v>
      </c>
      <c r="B1453" s="282" t="s">
        <v>3518</v>
      </c>
      <c r="C1453" s="289" t="s">
        <v>3519</v>
      </c>
    </row>
    <row r="1454" spans="1:5" ht="25.5">
      <c r="A1454" s="553" t="s">
        <v>3520</v>
      </c>
      <c r="B1454" s="282" t="s">
        <v>3521</v>
      </c>
      <c r="C1454" s="289" t="s">
        <v>3522</v>
      </c>
    </row>
    <row r="1455" spans="1:5" ht="25.5">
      <c r="A1455" s="553" t="s">
        <v>3523</v>
      </c>
      <c r="B1455" s="282" t="s">
        <v>3524</v>
      </c>
      <c r="C1455" s="289" t="s">
        <v>3525</v>
      </c>
      <c r="D1455" s="550"/>
    </row>
    <row r="1456" spans="1:5" ht="25.5">
      <c r="A1456" s="553" t="s">
        <v>3526</v>
      </c>
      <c r="B1456" s="282" t="s">
        <v>3527</v>
      </c>
      <c r="C1456" s="289" t="s">
        <v>3528</v>
      </c>
      <c r="D1456" s="550"/>
    </row>
    <row r="1457" spans="1:4" ht="38.25">
      <c r="A1457" s="553" t="s">
        <v>3529</v>
      </c>
      <c r="B1457" s="514" t="s">
        <v>3530</v>
      </c>
      <c r="C1457" s="289" t="s">
        <v>3531</v>
      </c>
      <c r="D1457" s="550"/>
    </row>
    <row r="1458" spans="1:4">
      <c r="A1458" s="553" t="s">
        <v>320</v>
      </c>
      <c r="B1458" s="282" t="s">
        <v>321</v>
      </c>
      <c r="C1458" s="289" t="s">
        <v>322</v>
      </c>
    </row>
    <row r="1459" spans="1:4">
      <c r="A1459" s="552" t="s">
        <v>2482</v>
      </c>
      <c r="B1459" s="284" t="s">
        <v>1656</v>
      </c>
      <c r="C1459" s="550" t="s">
        <v>1657</v>
      </c>
    </row>
    <row r="1460" spans="1:4">
      <c r="A1460" s="552" t="s">
        <v>3532</v>
      </c>
      <c r="B1460" s="284" t="s">
        <v>3533</v>
      </c>
      <c r="C1460" s="550" t="s">
        <v>3534</v>
      </c>
    </row>
    <row r="1461" spans="1:4" ht="25.5">
      <c r="A1461" s="552" t="s">
        <v>3535</v>
      </c>
      <c r="B1461" s="284" t="s">
        <v>3536</v>
      </c>
      <c r="C1461" s="550" t="s">
        <v>3537</v>
      </c>
    </row>
    <row r="1462" spans="1:4">
      <c r="A1462" s="553" t="s">
        <v>3538</v>
      </c>
      <c r="B1462" s="282" t="s">
        <v>3539</v>
      </c>
      <c r="C1462" s="289" t="s">
        <v>3540</v>
      </c>
    </row>
    <row r="1463" spans="1:4">
      <c r="A1463" s="553" t="s">
        <v>3541</v>
      </c>
      <c r="B1463" s="282" t="s">
        <v>3542</v>
      </c>
      <c r="C1463" s="289" t="s">
        <v>3543</v>
      </c>
      <c r="D1463" s="496"/>
    </row>
    <row r="1464" spans="1:4">
      <c r="A1464" s="553" t="s">
        <v>3544</v>
      </c>
      <c r="B1464" s="282" t="s">
        <v>3545</v>
      </c>
      <c r="C1464" s="289" t="s">
        <v>3546</v>
      </c>
      <c r="D1464" s="496"/>
    </row>
    <row r="1465" spans="1:4">
      <c r="A1465" s="553" t="s">
        <v>3547</v>
      </c>
      <c r="B1465" s="282" t="s">
        <v>3548</v>
      </c>
      <c r="C1465" s="289" t="s">
        <v>3549</v>
      </c>
      <c r="D1465" s="550"/>
    </row>
    <row r="1466" spans="1:4">
      <c r="A1466" s="553" t="s">
        <v>3550</v>
      </c>
      <c r="B1466" s="282" t="s">
        <v>3551</v>
      </c>
      <c r="C1466" s="496" t="s">
        <v>3552</v>
      </c>
      <c r="D1466" s="550"/>
    </row>
    <row r="1467" spans="1:4">
      <c r="A1467" s="553" t="s">
        <v>3553</v>
      </c>
      <c r="B1467" s="282" t="s">
        <v>3554</v>
      </c>
      <c r="C1467" s="496" t="s">
        <v>3555</v>
      </c>
    </row>
    <row r="1468" spans="1:4">
      <c r="A1468" s="553" t="s">
        <v>3556</v>
      </c>
      <c r="B1468" s="282" t="s">
        <v>3557</v>
      </c>
      <c r="C1468" s="496" t="s">
        <v>3558</v>
      </c>
      <c r="D1468" s="554"/>
    </row>
    <row r="1469" spans="1:4" ht="25.5">
      <c r="A1469" s="552" t="s">
        <v>3559</v>
      </c>
      <c r="B1469" s="284" t="s">
        <v>3560</v>
      </c>
      <c r="C1469" s="550" t="s">
        <v>3561</v>
      </c>
      <c r="D1469" s="550"/>
    </row>
    <row r="1470" spans="1:4" ht="25.5">
      <c r="A1470" s="552" t="s">
        <v>3562</v>
      </c>
      <c r="B1470" s="284" t="s">
        <v>3563</v>
      </c>
      <c r="C1470" s="550" t="s">
        <v>3564</v>
      </c>
    </row>
    <row r="1471" spans="1:4" ht="25.5">
      <c r="A1471" s="553" t="s">
        <v>3565</v>
      </c>
      <c r="B1471" s="282" t="s">
        <v>3566</v>
      </c>
      <c r="C1471" s="289" t="s">
        <v>3567</v>
      </c>
    </row>
    <row r="1472" spans="1:4" ht="25.5">
      <c r="A1472" s="552" t="s">
        <v>3568</v>
      </c>
      <c r="B1472" s="284" t="s">
        <v>3569</v>
      </c>
      <c r="C1472" s="550" t="s">
        <v>3570</v>
      </c>
    </row>
    <row r="1473" spans="1:3" ht="25.5">
      <c r="A1473" s="552" t="s">
        <v>3571</v>
      </c>
      <c r="B1473" s="284" t="s">
        <v>3572</v>
      </c>
      <c r="C1473" s="550" t="s">
        <v>3573</v>
      </c>
    </row>
    <row r="1474" spans="1:3" ht="13.5" thickBot="1">
      <c r="A1474" s="627" t="s">
        <v>3574</v>
      </c>
      <c r="B1474" s="629"/>
      <c r="C1474" s="628"/>
    </row>
    <row r="1475" spans="1:3" ht="25.5">
      <c r="A1475" s="289" t="s">
        <v>3575</v>
      </c>
      <c r="B1475" s="291" t="s">
        <v>3576</v>
      </c>
      <c r="C1475" s="289" t="s">
        <v>3577</v>
      </c>
    </row>
    <row r="1476" spans="1:3" ht="25.5">
      <c r="A1476" s="289" t="str">
        <f>"ZA OKRES OD " &amp;dzbo &amp;" DO " &amp;dzb</f>
        <v>ZA OKRES OD 01.01.2024 DO 31.12.2024</v>
      </c>
      <c r="B1476" s="291" t="str">
        <f>"FÜR DEN ZEITRAUM VOM " &amp;dzbo &amp;" BIS ZUM " &amp;dzb</f>
        <v>FÜR DEN ZEITRAUM VOM 01.01.2024 BIS ZUM 31.12.2024</v>
      </c>
      <c r="C1476" s="289" t="str">
        <f>"FOR THE PERIOD FROM " &amp;dzbo &amp;" TO " &amp;dzb</f>
        <v>FOR THE PERIOD FROM 01.01.2024 TO 31.12.2024</v>
      </c>
    </row>
    <row r="1477" spans="1:3">
      <c r="A1477" s="289" t="s">
        <v>3578</v>
      </c>
      <c r="B1477" s="289" t="s">
        <v>3203</v>
      </c>
      <c r="C1477" s="289" t="s">
        <v>3579</v>
      </c>
    </row>
    <row r="1478" spans="1:3">
      <c r="A1478" s="289" t="s">
        <v>3580</v>
      </c>
      <c r="B1478" s="289" t="s">
        <v>3581</v>
      </c>
      <c r="C1478" s="289" t="s">
        <v>3582</v>
      </c>
    </row>
    <row r="1479" spans="1:3">
      <c r="A1479" s="289" t="s">
        <v>3583</v>
      </c>
      <c r="B1479" s="289" t="s">
        <v>3584</v>
      </c>
      <c r="C1479" s="289" t="s">
        <v>3585</v>
      </c>
    </row>
    <row r="1480" spans="1:3">
      <c r="A1480" s="289" t="s">
        <v>3586</v>
      </c>
      <c r="B1480" s="289" t="s">
        <v>3587</v>
      </c>
      <c r="C1480" s="289" t="s">
        <v>3588</v>
      </c>
    </row>
    <row r="1481" spans="1:3">
      <c r="A1481" s="289" t="s">
        <v>3589</v>
      </c>
      <c r="B1481" s="289" t="s">
        <v>3590</v>
      </c>
      <c r="C1481" s="289" t="s">
        <v>3591</v>
      </c>
    </row>
    <row r="1482" spans="1:3">
      <c r="A1482" s="289" t="s">
        <v>3592</v>
      </c>
      <c r="B1482" s="289" t="s">
        <v>3593</v>
      </c>
      <c r="C1482" s="289" t="s">
        <v>3594</v>
      </c>
    </row>
    <row r="1483" spans="1:3">
      <c r="A1483" s="289" t="s">
        <v>3595</v>
      </c>
      <c r="B1483" s="289" t="s">
        <v>3596</v>
      </c>
      <c r="C1483" s="289" t="s">
        <v>3597</v>
      </c>
    </row>
    <row r="1484" spans="1:3" ht="25.5">
      <c r="A1484" s="289" t="s">
        <v>3598</v>
      </c>
      <c r="B1484" s="289" t="s">
        <v>3599</v>
      </c>
      <c r="C1484" s="289" t="s">
        <v>3600</v>
      </c>
    </row>
    <row r="1485" spans="1:3" ht="38.25">
      <c r="A1485" s="289" t="s">
        <v>3601</v>
      </c>
      <c r="B1485" s="291" t="s">
        <v>3602</v>
      </c>
      <c r="C1485" s="289" t="s">
        <v>3603</v>
      </c>
    </row>
    <row r="1486" spans="1:3" ht="25.5">
      <c r="A1486" s="289" t="s">
        <v>3604</v>
      </c>
      <c r="B1486" s="291" t="s">
        <v>3605</v>
      </c>
      <c r="C1486" s="289" t="s">
        <v>3606</v>
      </c>
    </row>
    <row r="1487" spans="1:3" ht="38.25">
      <c r="A1487" s="289" t="s">
        <v>3607</v>
      </c>
      <c r="B1487" s="291" t="s">
        <v>3608</v>
      </c>
      <c r="C1487" s="289" t="s">
        <v>3609</v>
      </c>
    </row>
    <row r="1488" spans="1:3" ht="25.5">
      <c r="A1488" s="289" t="s">
        <v>3610</v>
      </c>
      <c r="B1488" s="291" t="s">
        <v>3611</v>
      </c>
      <c r="C1488" s="289" t="s">
        <v>3612</v>
      </c>
    </row>
    <row r="1489" spans="1:4">
      <c r="A1489" s="289" t="s">
        <v>3613</v>
      </c>
      <c r="B1489" s="289" t="s">
        <v>3614</v>
      </c>
      <c r="C1489" s="289" t="s">
        <v>3615</v>
      </c>
    </row>
    <row r="1490" spans="1:4">
      <c r="A1490" s="289" t="s">
        <v>3616</v>
      </c>
      <c r="B1490" s="289" t="s">
        <v>3617</v>
      </c>
      <c r="C1490" s="289" t="s">
        <v>3618</v>
      </c>
    </row>
    <row r="1491" spans="1:4" ht="25.5">
      <c r="A1491" s="289" t="s">
        <v>3619</v>
      </c>
      <c r="B1491" s="289" t="s">
        <v>3620</v>
      </c>
      <c r="C1491" s="289" t="s">
        <v>3621</v>
      </c>
    </row>
    <row r="1492" spans="1:4" ht="25.5">
      <c r="A1492" s="289" t="str">
        <f>"Siedzibą Spółki "&amp;GA!H19 &amp;" " &amp;siedziba &amp;" " &amp;kod &amp;", ul. "&amp;adres</f>
        <v>Siedzibą Spółki jest Warszawa 02-595, ul. ul. Puławska 99</v>
      </c>
      <c r="B1492" s="289" t="str">
        <f>"Sitz der Gesellschaft ist " &amp;siedziba&amp;" " &amp;kod &amp;", ul. " &amp;adres</f>
        <v>Sitz der Gesellschaft ist Warszawa 02-595, ul. ul. Puławska 99</v>
      </c>
      <c r="C1492" s="289" t="str">
        <f>"The registered office of the Company is "&amp;siedziba&amp;" " &amp;kod &amp;", ul." &amp;adres</f>
        <v>The registered office of the Company is Warszawa 02-595, ul.ul. Puławska 99</v>
      </c>
    </row>
    <row r="1493" spans="1:4">
      <c r="A1493" s="289" t="s">
        <v>3622</v>
      </c>
      <c r="B1493" s="289" t="s">
        <v>997</v>
      </c>
      <c r="C1493" s="289" t="s">
        <v>3623</v>
      </c>
    </row>
    <row r="1494" spans="1:4">
      <c r="A1494" s="289" t="s">
        <v>3624</v>
      </c>
      <c r="B1494" s="289" t="s">
        <v>3625</v>
      </c>
      <c r="C1494" s="289" t="s">
        <v>3626</v>
      </c>
    </row>
    <row r="1495" spans="1:4" ht="25.5">
      <c r="A1495" s="289" t="s">
        <v>3627</v>
      </c>
      <c r="B1495" s="289" t="s">
        <v>3628</v>
      </c>
      <c r="C1495" s="289" t="s">
        <v>3629</v>
      </c>
    </row>
    <row r="1496" spans="1:4">
      <c r="A1496" s="289" t="s">
        <v>3630</v>
      </c>
      <c r="B1496" s="289" t="s">
        <v>3631</v>
      </c>
      <c r="C1496" s="289" t="s">
        <v>3632</v>
      </c>
    </row>
    <row r="1497" spans="1:4">
      <c r="A1497" s="289" t="s">
        <v>3633</v>
      </c>
      <c r="B1497" s="289" t="s">
        <v>3634</v>
      </c>
      <c r="C1497" s="289" t="s">
        <v>3635</v>
      </c>
    </row>
    <row r="1498" spans="1:4">
      <c r="A1498" s="289" t="s">
        <v>3636</v>
      </c>
      <c r="B1498" s="289" t="s">
        <v>3637</v>
      </c>
      <c r="C1498" s="289" t="s">
        <v>3638</v>
      </c>
    </row>
    <row r="1499" spans="1:4" ht="25.5">
      <c r="A1499" s="289" t="s">
        <v>3639</v>
      </c>
      <c r="B1499" s="289" t="s">
        <v>3640</v>
      </c>
      <c r="C1499" s="289" t="s">
        <v>3641</v>
      </c>
      <c r="D1499" s="513"/>
    </row>
    <row r="1500" spans="1:4">
      <c r="A1500" s="289" t="s">
        <v>3642</v>
      </c>
      <c r="B1500" s="289" t="s">
        <v>3643</v>
      </c>
      <c r="C1500" s="289" t="s">
        <v>3644</v>
      </c>
    </row>
    <row r="1501" spans="1:4">
      <c r="A1501" s="289" t="s">
        <v>3645</v>
      </c>
      <c r="B1501" s="289" t="s">
        <v>3646</v>
      </c>
      <c r="C1501" s="289" t="s">
        <v>3647</v>
      </c>
    </row>
    <row r="1502" spans="1:4">
      <c r="A1502" s="289" t="s">
        <v>3648</v>
      </c>
      <c r="B1502" s="289" t="s">
        <v>3649</v>
      </c>
      <c r="C1502" s="289" t="s">
        <v>3650</v>
      </c>
    </row>
    <row r="1503" spans="1:4" ht="25.5">
      <c r="A1503" s="289" t="s">
        <v>3651</v>
      </c>
      <c r="B1503" s="289" t="s">
        <v>3652</v>
      </c>
      <c r="C1503" s="289" t="s">
        <v>3653</v>
      </c>
    </row>
    <row r="1504" spans="1:4" ht="25.5">
      <c r="A1504" s="289" t="s">
        <v>3654</v>
      </c>
      <c r="B1504" s="289" t="s">
        <v>3655</v>
      </c>
      <c r="C1504" s="289" t="s">
        <v>3656</v>
      </c>
    </row>
    <row r="1505" spans="1:4" ht="25.5">
      <c r="A1505" s="289" t="s">
        <v>3657</v>
      </c>
      <c r="B1505" s="289" t="s">
        <v>3658</v>
      </c>
      <c r="C1505" s="289" t="s">
        <v>3659</v>
      </c>
    </row>
    <row r="1506" spans="1:4" ht="25.5">
      <c r="A1506" s="289" t="s">
        <v>3660</v>
      </c>
      <c r="B1506" s="289" t="s">
        <v>3661</v>
      </c>
      <c r="C1506" s="289" t="s">
        <v>3662</v>
      </c>
    </row>
    <row r="1507" spans="1:4" ht="25.5">
      <c r="A1507" s="289" t="s">
        <v>3663</v>
      </c>
      <c r="B1507" s="289" t="s">
        <v>3664</v>
      </c>
      <c r="C1507" s="289" t="s">
        <v>3665</v>
      </c>
    </row>
    <row r="1508" spans="1:4">
      <c r="A1508" s="289" t="s">
        <v>3666</v>
      </c>
      <c r="B1508" s="289" t="s">
        <v>3667</v>
      </c>
      <c r="C1508" s="289" t="s">
        <v>3668</v>
      </c>
    </row>
    <row r="1509" spans="1:4">
      <c r="A1509" s="289" t="s">
        <v>3669</v>
      </c>
      <c r="B1509" s="289" t="s">
        <v>3670</v>
      </c>
      <c r="C1509" s="289" t="s">
        <v>3671</v>
      </c>
    </row>
    <row r="1510" spans="1:4">
      <c r="A1510" s="289" t="s">
        <v>3672</v>
      </c>
      <c r="B1510" s="289" t="s">
        <v>3673</v>
      </c>
      <c r="C1510" s="289" t="s">
        <v>3674</v>
      </c>
    </row>
    <row r="1511" spans="1:4">
      <c r="A1511" s="289" t="s">
        <v>3675</v>
      </c>
      <c r="B1511" s="289" t="s">
        <v>3676</v>
      </c>
      <c r="C1511" s="289" t="s">
        <v>3677</v>
      </c>
    </row>
    <row r="1512" spans="1:4">
      <c r="A1512" s="289" t="s">
        <v>3678</v>
      </c>
      <c r="B1512" s="289" t="s">
        <v>3679</v>
      </c>
      <c r="C1512" s="289" t="s">
        <v>3680</v>
      </c>
    </row>
    <row r="1513" spans="1:4">
      <c r="A1513" s="289" t="s">
        <v>3681</v>
      </c>
      <c r="B1513" s="289" t="s">
        <v>3682</v>
      </c>
      <c r="C1513" s="289" t="s">
        <v>3683</v>
      </c>
      <c r="D1513" s="513"/>
    </row>
    <row r="1514" spans="1:4">
      <c r="A1514" s="289" t="s">
        <v>3684</v>
      </c>
      <c r="B1514" s="289" t="s">
        <v>3685</v>
      </c>
      <c r="C1514" s="289" t="s">
        <v>3686</v>
      </c>
    </row>
    <row r="1515" spans="1:4" ht="25.5">
      <c r="A1515" s="289" t="s">
        <v>3687</v>
      </c>
      <c r="B1515" s="289" t="s">
        <v>3688</v>
      </c>
      <c r="C1515" s="289" t="s">
        <v>3689</v>
      </c>
    </row>
    <row r="1516" spans="1:4">
      <c r="A1516" s="289" t="s">
        <v>3690</v>
      </c>
      <c r="B1516" s="289" t="s">
        <v>3691</v>
      </c>
      <c r="C1516" s="289" t="s">
        <v>3692</v>
      </c>
    </row>
    <row r="1517" spans="1:4" ht="25.5">
      <c r="A1517" s="289" t="s">
        <v>3693</v>
      </c>
      <c r="B1517" s="289" t="s">
        <v>3694</v>
      </c>
      <c r="C1517" s="289" t="s">
        <v>3695</v>
      </c>
    </row>
    <row r="1518" spans="1:4">
      <c r="A1518" s="289" t="s">
        <v>3696</v>
      </c>
      <c r="B1518" s="289" t="s">
        <v>3697</v>
      </c>
      <c r="C1518" s="289" t="s">
        <v>3698</v>
      </c>
    </row>
    <row r="1519" spans="1:4" ht="25.5">
      <c r="A1519" s="289" t="s">
        <v>3699</v>
      </c>
      <c r="B1519" s="289" t="s">
        <v>3700</v>
      </c>
      <c r="C1519" s="289" t="s">
        <v>3701</v>
      </c>
    </row>
    <row r="1520" spans="1:4">
      <c r="A1520" s="289" t="s">
        <v>3702</v>
      </c>
      <c r="B1520" s="289" t="s">
        <v>3703</v>
      </c>
      <c r="C1520" s="289" t="s">
        <v>3704</v>
      </c>
    </row>
    <row r="1521" spans="1:6" ht="25.5">
      <c r="A1521" s="289" t="s">
        <v>3705</v>
      </c>
      <c r="B1521" s="289" t="s">
        <v>3706</v>
      </c>
      <c r="C1521" s="289" t="s">
        <v>3707</v>
      </c>
    </row>
    <row r="1522" spans="1:6">
      <c r="A1522" s="289" t="s">
        <v>3708</v>
      </c>
      <c r="B1522" s="289" t="s">
        <v>3709</v>
      </c>
      <c r="C1522" s="289" t="s">
        <v>3710</v>
      </c>
    </row>
    <row r="1523" spans="1:6">
      <c r="A1523" s="289" t="s">
        <v>3711</v>
      </c>
      <c r="B1523" s="289" t="s">
        <v>3712</v>
      </c>
      <c r="C1523" s="289" t="s">
        <v>3713</v>
      </c>
    </row>
    <row r="1524" spans="1:6">
      <c r="A1524" s="289" t="s">
        <v>3714</v>
      </c>
      <c r="B1524" s="289" t="s">
        <v>3715</v>
      </c>
      <c r="C1524" s="289" t="s">
        <v>3716</v>
      </c>
    </row>
    <row r="1525" spans="1:6" ht="25.5">
      <c r="A1525" s="289" t="s">
        <v>3717</v>
      </c>
      <c r="B1525" s="289" t="s">
        <v>3718</v>
      </c>
      <c r="C1525" s="289" t="s">
        <v>3719</v>
      </c>
    </row>
    <row r="1526" spans="1:6">
      <c r="A1526" s="289" t="s">
        <v>3720</v>
      </c>
      <c r="B1526" s="289" t="s">
        <v>3721</v>
      </c>
      <c r="C1526" s="289" t="s">
        <v>3722</v>
      </c>
    </row>
    <row r="1527" spans="1:6" ht="25.5">
      <c r="A1527" s="289" t="s">
        <v>3723</v>
      </c>
      <c r="B1527" s="289" t="s">
        <v>3724</v>
      </c>
      <c r="C1527" s="289" t="s">
        <v>3725</v>
      </c>
      <c r="D1527" s="594"/>
      <c r="E1527" s="594"/>
      <c r="F1527" s="594"/>
    </row>
    <row r="1528" spans="1:6">
      <c r="A1528" s="289" t="s">
        <v>3726</v>
      </c>
      <c r="B1528" s="289" t="s">
        <v>3727</v>
      </c>
      <c r="C1528" s="289" t="s">
        <v>3728</v>
      </c>
    </row>
    <row r="1529" spans="1:6" ht="25.5">
      <c r="A1529" s="289" t="s">
        <v>3729</v>
      </c>
      <c r="B1529" s="289" t="s">
        <v>3730</v>
      </c>
      <c r="C1529" s="289" t="s">
        <v>3731</v>
      </c>
    </row>
    <row r="1530" spans="1:6">
      <c r="A1530" s="289" t="s">
        <v>3732</v>
      </c>
      <c r="B1530" s="289" t="s">
        <v>3733</v>
      </c>
      <c r="C1530" s="289" t="s">
        <v>3734</v>
      </c>
    </row>
    <row r="1531" spans="1:6" ht="25.5">
      <c r="A1531" s="289" t="s">
        <v>3735</v>
      </c>
      <c r="B1531" s="289" t="s">
        <v>3736</v>
      </c>
      <c r="C1531" s="289" t="s">
        <v>3737</v>
      </c>
    </row>
    <row r="1532" spans="1:6">
      <c r="A1532" s="289" t="s">
        <v>3738</v>
      </c>
      <c r="B1532" s="289" t="s">
        <v>3739</v>
      </c>
      <c r="C1532" s="289" t="s">
        <v>3740</v>
      </c>
    </row>
    <row r="1533" spans="1:6">
      <c r="A1533" s="289" t="s">
        <v>3741</v>
      </c>
      <c r="B1533" s="289" t="s">
        <v>3742</v>
      </c>
      <c r="C1533" s="289" t="s">
        <v>3743</v>
      </c>
    </row>
    <row r="1534" spans="1:6" ht="25.5">
      <c r="A1534" s="289" t="s">
        <v>3744</v>
      </c>
      <c r="B1534" s="289" t="s">
        <v>3745</v>
      </c>
      <c r="C1534" s="289" t="s">
        <v>3746</v>
      </c>
    </row>
    <row r="1535" spans="1:6">
      <c r="A1535" s="289" t="s">
        <v>3747</v>
      </c>
      <c r="B1535" s="289" t="s">
        <v>3748</v>
      </c>
      <c r="C1535" s="289" t="s">
        <v>3749</v>
      </c>
    </row>
    <row r="1536" spans="1:6" ht="51">
      <c r="A1536" s="289" t="s">
        <v>3750</v>
      </c>
      <c r="B1536" s="289" t="s">
        <v>3751</v>
      </c>
      <c r="C1536" s="289" t="s">
        <v>3752</v>
      </c>
    </row>
    <row r="1537" spans="1:4" ht="38.25">
      <c r="A1537" s="289" t="s">
        <v>3753</v>
      </c>
      <c r="B1537" s="289" t="s">
        <v>3754</v>
      </c>
      <c r="C1537" s="555" t="s">
        <v>3755</v>
      </c>
    </row>
    <row r="1538" spans="1:4">
      <c r="A1538" s="289" t="s">
        <v>3756</v>
      </c>
      <c r="B1538" s="289" t="s">
        <v>3757</v>
      </c>
      <c r="C1538" s="556" t="s">
        <v>3758</v>
      </c>
    </row>
    <row r="1539" spans="1:4" ht="38.25">
      <c r="A1539" s="289" t="s">
        <v>3759</v>
      </c>
      <c r="B1539" s="289" t="s">
        <v>3760</v>
      </c>
      <c r="C1539" s="555" t="s">
        <v>3761</v>
      </c>
      <c r="D1539" s="496"/>
    </row>
    <row r="1540" spans="1:4" ht="25.5">
      <c r="A1540" s="556" t="s">
        <v>3762</v>
      </c>
      <c r="B1540" s="555" t="s">
        <v>3763</v>
      </c>
      <c r="C1540" s="556" t="s">
        <v>3764</v>
      </c>
      <c r="D1540" s="496"/>
    </row>
    <row r="1541" spans="1:4">
      <c r="A1541" s="289" t="s">
        <v>3765</v>
      </c>
      <c r="B1541" s="289" t="s">
        <v>3766</v>
      </c>
      <c r="C1541" s="289" t="s">
        <v>3767</v>
      </c>
      <c r="D1541" s="496"/>
    </row>
    <row r="1542" spans="1:4" ht="51">
      <c r="A1542" s="289" t="s">
        <v>3768</v>
      </c>
      <c r="B1542" s="289" t="s">
        <v>3769</v>
      </c>
      <c r="C1542" s="289" t="s">
        <v>3770</v>
      </c>
      <c r="D1542" s="496"/>
    </row>
    <row r="1543" spans="1:4">
      <c r="A1543" s="289" t="s">
        <v>3771</v>
      </c>
      <c r="B1543" s="289" t="s">
        <v>3772</v>
      </c>
      <c r="C1543" s="496" t="s">
        <v>3773</v>
      </c>
      <c r="D1543" s="496"/>
    </row>
    <row r="1544" spans="1:4" ht="25.5">
      <c r="A1544" s="289" t="s">
        <v>3774</v>
      </c>
      <c r="B1544" s="289" t="s">
        <v>3775</v>
      </c>
      <c r="C1544" s="496" t="s">
        <v>3776</v>
      </c>
    </row>
    <row r="1545" spans="1:4">
      <c r="A1545" s="289" t="s">
        <v>3777</v>
      </c>
      <c r="B1545" s="289" t="s">
        <v>3778</v>
      </c>
      <c r="C1545" s="496" t="s">
        <v>3779</v>
      </c>
    </row>
    <row r="1546" spans="1:4" ht="25.5">
      <c r="A1546" s="289" t="s">
        <v>3780</v>
      </c>
      <c r="B1546" s="289" t="s">
        <v>3781</v>
      </c>
      <c r="C1546" s="496" t="s">
        <v>3782</v>
      </c>
    </row>
    <row r="1547" spans="1:4">
      <c r="A1547" s="289" t="s">
        <v>3783</v>
      </c>
      <c r="B1547" s="289" t="s">
        <v>3784</v>
      </c>
      <c r="C1547" s="496" t="s">
        <v>3785</v>
      </c>
    </row>
    <row r="1548" spans="1:4" ht="25.5">
      <c r="A1548" s="289" t="s">
        <v>3786</v>
      </c>
      <c r="B1548" s="291" t="s">
        <v>3787</v>
      </c>
      <c r="C1548" s="289" t="s">
        <v>3788</v>
      </c>
    </row>
    <row r="1549" spans="1:4" ht="25.5">
      <c r="A1549" s="289" t="s">
        <v>3789</v>
      </c>
      <c r="B1549" s="291" t="s">
        <v>3790</v>
      </c>
      <c r="C1549" s="289" t="s">
        <v>3791</v>
      </c>
    </row>
    <row r="1550" spans="1:4" ht="25.5">
      <c r="A1550" s="289" t="s">
        <v>3792</v>
      </c>
      <c r="B1550" s="291" t="s">
        <v>3793</v>
      </c>
      <c r="C1550" s="289" t="s">
        <v>3791</v>
      </c>
    </row>
    <row r="1551" spans="1:4">
      <c r="A1551" s="289" t="s">
        <v>3794</v>
      </c>
      <c r="B1551" s="291" t="s">
        <v>3795</v>
      </c>
      <c r="C1551" s="289" t="s">
        <v>3796</v>
      </c>
    </row>
    <row r="1552" spans="1:4" ht="25.5">
      <c r="A1552" s="289" t="s">
        <v>3797</v>
      </c>
      <c r="B1552" s="291" t="s">
        <v>3798</v>
      </c>
      <c r="C1552" s="289" t="s">
        <v>3799</v>
      </c>
    </row>
    <row r="1553" spans="1:3">
      <c r="A1553" s="289" t="s">
        <v>3800</v>
      </c>
      <c r="B1553" s="291" t="s">
        <v>3801</v>
      </c>
      <c r="C1553" s="289" t="s">
        <v>3802</v>
      </c>
    </row>
    <row r="1554" spans="1:3">
      <c r="A1554" s="289" t="s">
        <v>3803</v>
      </c>
      <c r="B1554" s="291" t="s">
        <v>3804</v>
      </c>
      <c r="C1554" s="289" t="s">
        <v>3805</v>
      </c>
    </row>
    <row r="1555" spans="1:3">
      <c r="A1555" s="289" t="s">
        <v>3806</v>
      </c>
      <c r="B1555" s="291" t="s">
        <v>3807</v>
      </c>
      <c r="C1555" s="289" t="s">
        <v>3808</v>
      </c>
    </row>
    <row r="1556" spans="1:3">
      <c r="A1556" s="289" t="s">
        <v>3809</v>
      </c>
      <c r="B1556" s="291" t="s">
        <v>3810</v>
      </c>
      <c r="C1556" s="289" t="s">
        <v>3811</v>
      </c>
    </row>
    <row r="1557" spans="1:3">
      <c r="A1557" s="289" t="s">
        <v>3812</v>
      </c>
      <c r="B1557" s="291" t="s">
        <v>3813</v>
      </c>
      <c r="C1557" s="289" t="s">
        <v>3814</v>
      </c>
    </row>
    <row r="1561" spans="1:3">
      <c r="B1561" s="289"/>
    </row>
    <row r="1563" spans="1:3" ht="51">
      <c r="A1563" s="289" t="s">
        <v>3815</v>
      </c>
      <c r="B1563" s="291" t="s">
        <v>3816</v>
      </c>
      <c r="C1563" s="289" t="s">
        <v>3817</v>
      </c>
    </row>
    <row r="1564" spans="1:3" ht="51">
      <c r="A1564" s="289" t="s">
        <v>3818</v>
      </c>
      <c r="B1564" s="291" t="s">
        <v>3819</v>
      </c>
      <c r="C1564" s="289" t="s">
        <v>3820</v>
      </c>
    </row>
    <row r="1565" spans="1:3" ht="51">
      <c r="A1565" s="289" t="s">
        <v>3821</v>
      </c>
      <c r="B1565" s="291" t="s">
        <v>3822</v>
      </c>
      <c r="C1565" s="289" t="s">
        <v>3823</v>
      </c>
    </row>
    <row r="1566" spans="1:3" ht="51">
      <c r="A1566" s="289" t="s">
        <v>3824</v>
      </c>
      <c r="B1566" s="291" t="s">
        <v>3825</v>
      </c>
      <c r="C1566" s="289" t="s">
        <v>3826</v>
      </c>
    </row>
    <row r="1567" spans="1:3" ht="51">
      <c r="A1567" s="289" t="s">
        <v>3827</v>
      </c>
      <c r="B1567" s="291" t="s">
        <v>3828</v>
      </c>
      <c r="C1567" s="289" t="s">
        <v>3829</v>
      </c>
    </row>
    <row r="1568" spans="1:3" ht="51">
      <c r="A1568" s="289" t="s">
        <v>3830</v>
      </c>
      <c r="B1568" s="291" t="s">
        <v>3831</v>
      </c>
      <c r="C1568" s="289" t="s">
        <v>3832</v>
      </c>
    </row>
    <row r="1569" spans="1:3" ht="89.25">
      <c r="A1569" s="289" t="s">
        <v>3833</v>
      </c>
      <c r="B1569" s="291" t="s">
        <v>3834</v>
      </c>
      <c r="C1569" s="289" t="s">
        <v>3835</v>
      </c>
    </row>
    <row r="1570" spans="1:3" ht="63.75">
      <c r="A1570" s="289" t="s">
        <v>3836</v>
      </c>
      <c r="B1570" s="291" t="s">
        <v>3837</v>
      </c>
      <c r="C1570" s="289" t="s">
        <v>3838</v>
      </c>
    </row>
    <row r="1571" spans="1:3" ht="51">
      <c r="A1571" s="289" t="s">
        <v>3839</v>
      </c>
      <c r="B1571" s="291" t="s">
        <v>3840</v>
      </c>
      <c r="C1571" s="289" t="s">
        <v>3841</v>
      </c>
    </row>
    <row r="1572" spans="1:3">
      <c r="A1572" s="289" t="s">
        <v>3842</v>
      </c>
      <c r="B1572" s="291" t="s">
        <v>3843</v>
      </c>
      <c r="C1572" s="289" t="s">
        <v>3844</v>
      </c>
    </row>
    <row r="1573" spans="1:3" ht="25.5">
      <c r="A1573" s="289" t="s">
        <v>3845</v>
      </c>
      <c r="B1573" s="291" t="s">
        <v>3846</v>
      </c>
      <c r="C1573" s="289" t="s">
        <v>3847</v>
      </c>
    </row>
    <row r="1574" spans="1:3">
      <c r="A1574" s="289" t="s">
        <v>3848</v>
      </c>
      <c r="B1574" s="291" t="s">
        <v>3849</v>
      </c>
      <c r="C1574" s="289" t="s">
        <v>3850</v>
      </c>
    </row>
    <row r="1575" spans="1:3" ht="25.5">
      <c r="A1575" s="289" t="s">
        <v>3851</v>
      </c>
      <c r="B1575" s="291" t="s">
        <v>3852</v>
      </c>
      <c r="C1575" s="289" t="s">
        <v>3853</v>
      </c>
    </row>
    <row r="1576" spans="1:3" ht="25.5">
      <c r="A1576" s="289" t="s">
        <v>3854</v>
      </c>
      <c r="B1576" s="291" t="s">
        <v>3855</v>
      </c>
      <c r="C1576" s="289" t="s">
        <v>3856</v>
      </c>
    </row>
    <row r="1577" spans="1:3" ht="25.5">
      <c r="A1577" s="289" t="s">
        <v>3857</v>
      </c>
      <c r="B1577" s="291" t="s">
        <v>3858</v>
      </c>
      <c r="C1577" s="289" t="s">
        <v>3859</v>
      </c>
    </row>
    <row r="1578" spans="1:3" ht="25.5">
      <c r="A1578" s="289" t="s">
        <v>3860</v>
      </c>
      <c r="B1578" s="291" t="s">
        <v>3861</v>
      </c>
      <c r="C1578" s="289" t="s">
        <v>3862</v>
      </c>
    </row>
    <row r="1579" spans="1:3" ht="51">
      <c r="A1579" s="289" t="s">
        <v>3863</v>
      </c>
      <c r="B1579" s="291" t="s">
        <v>3864</v>
      </c>
      <c r="C1579" s="289" t="s">
        <v>3865</v>
      </c>
    </row>
    <row r="1580" spans="1:3">
      <c r="A1580" s="289" t="s">
        <v>3848</v>
      </c>
      <c r="B1580" s="291" t="s">
        <v>3849</v>
      </c>
      <c r="C1580" s="289" t="s">
        <v>3850</v>
      </c>
    </row>
    <row r="1581" spans="1:3" ht="25.5">
      <c r="A1581" s="289" t="s">
        <v>3851</v>
      </c>
      <c r="B1581" s="291" t="s">
        <v>3852</v>
      </c>
      <c r="C1581" s="289" t="s">
        <v>3853</v>
      </c>
    </row>
    <row r="1582" spans="1:3" ht="25.5">
      <c r="A1582" s="289" t="s">
        <v>3854</v>
      </c>
      <c r="B1582" s="291" t="s">
        <v>3855</v>
      </c>
      <c r="C1582" s="289" t="s">
        <v>3856</v>
      </c>
    </row>
    <row r="1583" spans="1:3" ht="25.5">
      <c r="A1583" s="289" t="s">
        <v>3866</v>
      </c>
      <c r="B1583" s="291" t="s">
        <v>3867</v>
      </c>
      <c r="C1583" s="289" t="s">
        <v>3868</v>
      </c>
    </row>
    <row r="1584" spans="1:3" ht="25.5">
      <c r="A1584" s="289" t="s">
        <v>3869</v>
      </c>
      <c r="B1584" s="291" t="s">
        <v>3870</v>
      </c>
      <c r="C1584" s="289" t="s">
        <v>3871</v>
      </c>
    </row>
    <row r="1585" spans="1:3" ht="38.25">
      <c r="A1585" s="289" t="s">
        <v>3872</v>
      </c>
      <c r="B1585" s="291" t="s">
        <v>3873</v>
      </c>
      <c r="C1585" s="289" t="s">
        <v>3874</v>
      </c>
    </row>
    <row r="1586" spans="1:3" ht="25.5">
      <c r="A1586" s="289" t="s">
        <v>3875</v>
      </c>
      <c r="B1586" s="291" t="s">
        <v>3876</v>
      </c>
      <c r="C1586" s="289" t="s">
        <v>3877</v>
      </c>
    </row>
    <row r="1587" spans="1:3" ht="38.25">
      <c r="A1587" s="289" t="s">
        <v>3878</v>
      </c>
      <c r="B1587" s="291" t="s">
        <v>3879</v>
      </c>
      <c r="C1587" s="289" t="s">
        <v>3880</v>
      </c>
    </row>
    <row r="1588" spans="1:3" ht="51">
      <c r="A1588" s="289" t="s">
        <v>3881</v>
      </c>
      <c r="B1588" s="291" t="s">
        <v>3882</v>
      </c>
      <c r="C1588" s="289" t="s">
        <v>3883</v>
      </c>
    </row>
    <row r="1589" spans="1:3" ht="51">
      <c r="A1589" s="289" t="s">
        <v>3884</v>
      </c>
      <c r="B1589" s="291" t="s">
        <v>3885</v>
      </c>
      <c r="C1589" s="289" t="s">
        <v>3886</v>
      </c>
    </row>
    <row r="1590" spans="1:3" ht="38.25">
      <c r="A1590" s="289" t="s">
        <v>3887</v>
      </c>
      <c r="B1590" s="291" t="s">
        <v>3888</v>
      </c>
      <c r="C1590" s="289" t="s">
        <v>3889</v>
      </c>
    </row>
    <row r="1591" spans="1:3" ht="25.5">
      <c r="A1591" s="289" t="s">
        <v>3890</v>
      </c>
      <c r="B1591" s="291" t="s">
        <v>3891</v>
      </c>
      <c r="C1591" s="289" t="s">
        <v>3892</v>
      </c>
    </row>
    <row r="1592" spans="1:3" ht="51">
      <c r="A1592" s="289" t="s">
        <v>3893</v>
      </c>
      <c r="B1592" s="291" t="s">
        <v>3894</v>
      </c>
      <c r="C1592" s="289" t="s">
        <v>3895</v>
      </c>
    </row>
    <row r="1593" spans="1:3" ht="38.25">
      <c r="A1593" s="289" t="s">
        <v>3896</v>
      </c>
      <c r="B1593" s="291" t="s">
        <v>3897</v>
      </c>
      <c r="C1593" s="289" t="s">
        <v>3898</v>
      </c>
    </row>
    <row r="1594" spans="1:3" ht="25.5">
      <c r="A1594" s="289" t="s">
        <v>3899</v>
      </c>
      <c r="B1594" s="291" t="s">
        <v>3900</v>
      </c>
      <c r="C1594" s="289" t="s">
        <v>3901</v>
      </c>
    </row>
    <row r="1595" spans="1:3">
      <c r="A1595" s="289" t="s">
        <v>3902</v>
      </c>
      <c r="B1595" s="291" t="s">
        <v>3903</v>
      </c>
      <c r="C1595" s="289" t="s">
        <v>3904</v>
      </c>
    </row>
    <row r="1596" spans="1:3">
      <c r="B1596" s="291"/>
    </row>
    <row r="1597" spans="1:3">
      <c r="B1597" s="291"/>
    </row>
    <row r="1598" spans="1:3">
      <c r="B1598" s="291"/>
    </row>
    <row r="1599" spans="1:3" ht="25.5">
      <c r="A1599" s="289" t="s">
        <v>3905</v>
      </c>
      <c r="B1599" s="291" t="s">
        <v>3906</v>
      </c>
      <c r="C1599" s="289" t="s">
        <v>3907</v>
      </c>
    </row>
    <row r="1600" spans="1:3">
      <c r="A1600" s="289" t="s">
        <v>3908</v>
      </c>
      <c r="B1600" s="291" t="s">
        <v>3909</v>
      </c>
      <c r="C1600" s="289" t="s">
        <v>3910</v>
      </c>
    </row>
    <row r="1601" spans="1:3">
      <c r="A1601" s="289" t="s">
        <v>3911</v>
      </c>
      <c r="B1601" s="291" t="s">
        <v>3912</v>
      </c>
      <c r="C1601" s="289" t="s">
        <v>3913</v>
      </c>
    </row>
    <row r="1602" spans="1:3">
      <c r="A1602" s="289" t="s">
        <v>3914</v>
      </c>
      <c r="B1602" s="291" t="s">
        <v>3915</v>
      </c>
      <c r="C1602" s="289" t="s">
        <v>3916</v>
      </c>
    </row>
    <row r="1603" spans="1:3" ht="25.5">
      <c r="A1603" s="289" t="s">
        <v>3917</v>
      </c>
      <c r="B1603" s="291" t="s">
        <v>3918</v>
      </c>
      <c r="C1603" s="289" t="s">
        <v>3919</v>
      </c>
    </row>
    <row r="1604" spans="1:3">
      <c r="A1604" s="289" t="s">
        <v>3920</v>
      </c>
      <c r="B1604" s="291" t="s">
        <v>3557</v>
      </c>
      <c r="C1604" s="289" t="s">
        <v>3921</v>
      </c>
    </row>
    <row r="1605" spans="1:3" ht="38.25">
      <c r="A1605" s="289" t="s">
        <v>3922</v>
      </c>
      <c r="B1605" s="510" t="s">
        <v>3923</v>
      </c>
      <c r="C1605" s="289" t="s">
        <v>3924</v>
      </c>
    </row>
    <row r="1606" spans="1:3" ht="25.5">
      <c r="A1606" s="289" t="s">
        <v>3925</v>
      </c>
      <c r="B1606" s="291" t="s">
        <v>3926</v>
      </c>
      <c r="C1606" s="289" t="s">
        <v>3927</v>
      </c>
    </row>
    <row r="1607" spans="1:3" ht="25.5">
      <c r="A1607" s="289" t="s">
        <v>3928</v>
      </c>
      <c r="B1607" s="291" t="s">
        <v>3929</v>
      </c>
      <c r="C1607" s="289" t="s">
        <v>3930</v>
      </c>
    </row>
    <row r="1608" spans="1:3">
      <c r="A1608" s="289" t="s">
        <v>1655</v>
      </c>
      <c r="B1608" s="291" t="s">
        <v>1656</v>
      </c>
      <c r="C1608" s="289" t="s">
        <v>3931</v>
      </c>
    </row>
    <row r="1609" spans="1:3">
      <c r="A1609" s="289" t="s">
        <v>3932</v>
      </c>
      <c r="B1609" s="291" t="s">
        <v>3933</v>
      </c>
      <c r="C1609" s="289" t="s">
        <v>3934</v>
      </c>
    </row>
    <row r="1610" spans="1:3">
      <c r="A1610" s="289" t="s">
        <v>3935</v>
      </c>
      <c r="B1610" s="291" t="s">
        <v>3936</v>
      </c>
      <c r="C1610" s="289" t="s">
        <v>3937</v>
      </c>
    </row>
    <row r="1611" spans="1:3">
      <c r="A1611" s="289" t="s">
        <v>3938</v>
      </c>
      <c r="B1611" s="291" t="s">
        <v>3939</v>
      </c>
      <c r="C1611" s="289" t="s">
        <v>3940</v>
      </c>
    </row>
    <row r="1612" spans="1:3">
      <c r="A1612" s="289" t="s">
        <v>3941</v>
      </c>
      <c r="B1612" s="291" t="s">
        <v>3942</v>
      </c>
      <c r="C1612" s="289" t="s">
        <v>3943</v>
      </c>
    </row>
    <row r="1613" spans="1:3" ht="25.5">
      <c r="A1613" s="289" t="s">
        <v>3944</v>
      </c>
      <c r="B1613" s="291" t="s">
        <v>3945</v>
      </c>
      <c r="C1613" s="289" t="s">
        <v>3946</v>
      </c>
    </row>
    <row r="1614" spans="1:3">
      <c r="A1614" s="289" t="s">
        <v>3947</v>
      </c>
      <c r="B1614" s="291" t="s">
        <v>1880</v>
      </c>
      <c r="C1614" s="289" t="s">
        <v>3948</v>
      </c>
    </row>
    <row r="1615" spans="1:3">
      <c r="A1615" s="289" t="s">
        <v>3949</v>
      </c>
      <c r="B1615" s="291" t="s">
        <v>3950</v>
      </c>
      <c r="C1615" s="289" t="s">
        <v>3951</v>
      </c>
    </row>
    <row r="1616" spans="1:3">
      <c r="A1616" s="289" t="s">
        <v>3952</v>
      </c>
      <c r="B1616" s="291" t="s">
        <v>3953</v>
      </c>
      <c r="C1616" s="289" t="s">
        <v>3954</v>
      </c>
    </row>
    <row r="1617" spans="1:3">
      <c r="A1617" s="289" t="s">
        <v>3955</v>
      </c>
      <c r="B1617" s="291" t="s">
        <v>3956</v>
      </c>
      <c r="C1617" s="289" t="s">
        <v>3957</v>
      </c>
    </row>
    <row r="1618" spans="1:3">
      <c r="A1618" s="289" t="s">
        <v>3958</v>
      </c>
      <c r="B1618" s="291" t="s">
        <v>3959</v>
      </c>
      <c r="C1618" s="289" t="s">
        <v>3960</v>
      </c>
    </row>
    <row r="1619" spans="1:3">
      <c r="A1619" s="289" t="s">
        <v>3961</v>
      </c>
      <c r="B1619" s="291" t="s">
        <v>3962</v>
      </c>
      <c r="C1619" s="289" t="s">
        <v>3963</v>
      </c>
    </row>
    <row r="1620" spans="1:3">
      <c r="A1620" s="289" t="s">
        <v>3964</v>
      </c>
      <c r="B1620" s="291" t="s">
        <v>3965</v>
      </c>
      <c r="C1620" s="289" t="s">
        <v>3966</v>
      </c>
    </row>
    <row r="1621" spans="1:3">
      <c r="A1621" s="289" t="s">
        <v>3967</v>
      </c>
      <c r="B1621" s="291" t="s">
        <v>3332</v>
      </c>
      <c r="C1621" s="289" t="s">
        <v>3968</v>
      </c>
    </row>
    <row r="1622" spans="1:3" ht="25.5">
      <c r="A1622" s="289" t="s">
        <v>3969</v>
      </c>
      <c r="B1622" s="291" t="s">
        <v>3970</v>
      </c>
      <c r="C1622" s="289" t="s">
        <v>3971</v>
      </c>
    </row>
    <row r="1623" spans="1:3">
      <c r="A1623" s="289" t="s">
        <v>3972</v>
      </c>
      <c r="B1623" s="291" t="s">
        <v>3973</v>
      </c>
      <c r="C1623" s="289" t="s">
        <v>3974</v>
      </c>
    </row>
    <row r="1624" spans="1:3" ht="25.5">
      <c r="A1624" s="289" t="s">
        <v>3975</v>
      </c>
      <c r="B1624" s="291" t="s">
        <v>3976</v>
      </c>
      <c r="C1624" s="289" t="s">
        <v>3977</v>
      </c>
    </row>
    <row r="1625" spans="1:3">
      <c r="A1625" s="289" t="s">
        <v>3978</v>
      </c>
      <c r="B1625" s="291" t="s">
        <v>3979</v>
      </c>
      <c r="C1625" s="289" t="s">
        <v>3980</v>
      </c>
    </row>
    <row r="1626" spans="1:3" ht="25.5">
      <c r="A1626" s="289" t="s">
        <v>3981</v>
      </c>
      <c r="B1626" s="291" t="s">
        <v>3982</v>
      </c>
      <c r="C1626" s="289" t="s">
        <v>3983</v>
      </c>
    </row>
    <row r="1627" spans="1:3">
      <c r="A1627" s="289" t="s">
        <v>3984</v>
      </c>
      <c r="B1627" s="291" t="s">
        <v>3985</v>
      </c>
      <c r="C1627" s="289" t="s">
        <v>3986</v>
      </c>
    </row>
    <row r="1628" spans="1:3">
      <c r="A1628" s="289" t="s">
        <v>3987</v>
      </c>
      <c r="B1628" s="291" t="s">
        <v>951</v>
      </c>
      <c r="C1628" s="289" t="s">
        <v>3988</v>
      </c>
    </row>
    <row r="1629" spans="1:3">
      <c r="A1629" s="289" t="s">
        <v>3989</v>
      </c>
      <c r="B1629" s="291" t="s">
        <v>3990</v>
      </c>
      <c r="C1629" s="289" t="s">
        <v>3991</v>
      </c>
    </row>
    <row r="1630" spans="1:3">
      <c r="A1630" s="289" t="s">
        <v>3992</v>
      </c>
      <c r="B1630" s="291" t="s">
        <v>3993</v>
      </c>
      <c r="C1630" s="289" t="s">
        <v>3994</v>
      </c>
    </row>
    <row r="1631" spans="1:3">
      <c r="A1631" s="289" t="s">
        <v>3995</v>
      </c>
      <c r="B1631" s="291" t="s">
        <v>3996</v>
      </c>
      <c r="C1631" s="289" t="s">
        <v>3997</v>
      </c>
    </row>
    <row r="1632" spans="1:3">
      <c r="A1632" s="289" t="s">
        <v>3998</v>
      </c>
      <c r="B1632" s="291" t="s">
        <v>3999</v>
      </c>
      <c r="C1632" s="289" t="s">
        <v>4000</v>
      </c>
    </row>
    <row r="1633" spans="1:6" ht="51">
      <c r="A1633" s="289" t="s">
        <v>4001</v>
      </c>
      <c r="B1633" s="291" t="s">
        <v>4002</v>
      </c>
      <c r="C1633" s="289" t="s">
        <v>4003</v>
      </c>
    </row>
    <row r="1634" spans="1:6" ht="178.5">
      <c r="A1634" s="507" t="str">
        <f>"Zgodnie z art. 30 ust. 1 UoR składniki aktywów i pasywów wyrażone w walutach obcych"&amp;" zostały wycenione na dzień bilansowy po obowiązujących na ten dzień średnich kursach ustalonych dla określonych walut przez Narodowy Bank Polski."&amp;IF(GA!C22&lt;&gt;"jedna"," Walutami, które"," Walutą, którą")&amp;" należało objąć w spółce wyceną na dzień "&amp;dzb&amp;"r. "&amp;IF(GA!C22&lt;&gt;"jedna","były: ",IF(GA!D22="EUR","było ","był "))&amp;VLOOKUP(GA!D22,GA!$L$51:$P$54,4,0)&amp;IF(GA!C22="dwie",", "&amp;VLOOKUP(GA!E22,GA!$L$51:$P$54,4,0),IF(GA!C22="trzy",", "&amp;VLOOKUP(GA!E22,GA!$L$51:$P$54,4,0),"")&amp;IF(GA!C22="trzy",", "&amp;VLOOKUP(GA!F22,GA!$L$51:$P$54,4,0),""))&amp;". Podstawą wyceny była tabela A kursów średnich nr "&amp;GA!M55&amp;" z dnia "&amp;TEXT(GA!M56,"dd.mm.rrrr")&amp;" r., według której kurs średni "&amp;GA!D22&amp;" wynosił "&amp;VLOOKUP(GA!D22,GA!$L$51:$P$54,2,0)&amp;" PLN"&amp;IF(GA!C22="dwie",", "&amp;GA!E22&amp;" wynosił "&amp;VLOOKUP(GA!E22,GA!$L$51:$P$54,2,0)&amp;" PLN",IF(GA!C22="trzy",", "&amp;GA!E22&amp;" wynosił "&amp;VLOOKUP(GA!E22,GA!$L$51:$P$54,2,0)&amp;" PLN",""))&amp;IF(GA!C22="trzy",", "&amp;GA!F22&amp;" wynosił "&amp;VLOOKUP(GA!F22,GA!$L$51:$P$54,2,0)&amp;" PLN","")&amp;"."</f>
        <v>Zgodnie z art. 30 ust. 1 UoR składniki aktywów i pasywów wyrażone w walutach obcych zostały wycenione na dzień bilansowy po obowiązujących na ten dzień średnich kursach ustalonych dla określonych walut przez Narodowy Bank Polski. Walutami, które należało objąć w spółce wyceną na dzień 31.12.2024r. były: euro (EUR), dolar amerykański (USD). Podstawą wyceny była tabela A kursów średnich nr 252/A/NBP/2024 z dnia 31.12.2024 r., według której kurs średni EUR wynosił 4,273 PLN, USD wynosił 4,1012 PLN.</v>
      </c>
      <c r="B1634" s="639" t="str">
        <f>"Gemäß Art. 30 Abs. 1 RLG-PL wurden die in Fremdwährung ausgedrückten Aktiva und Passiva zum Bilanzstichtag nach den für die betreffenden Währungen"&amp;"  festgelegten Mittelkursen der Polnischen Nationalbank vom Bilanzstichtag bewertet."&amp;IF(GA!C22&lt;&gt;"jedna"," Zu den Währungen,"," Währung,")&amp;" die in der Gesellschaft zum "&amp;dzb&amp;" zu bewerten "&amp;IF(GA!C22&lt;&gt;"jedna","waren, gehörten ",IF(GA!D22="EUR","war: ","war: "))&amp;VLOOKUP(GA!D22,GA!$L$51:$P$54,5,0)&amp;IF(GA!C22="dwie",", "&amp;VLOOKUP(GA!E22,GA!$L$51:$P$54,5,0),IF(GA!C22="trzy",", "&amp;VLOOKUP(GA!E22,GA!$L$51:$P$54,5,0),"")&amp;IF(GA!C22="trzy",", "&amp;VLOOKUP(GA!F22,GA!$L$51:$P$54,5,0),""))&amp;". Die Grundlage der Bewertung war die Tabelle A der Mittelkurse Nr. "&amp;GA!M55&amp;" vom "&amp;TEXT(GA!M56,"dd.mm.rrrr")&amp;", laut der "&amp;IF(GA!C22&lt;&gt;"jedna","der ","sich der ")&amp;GA!D22&amp;"-Mittelkurs "&amp;IF(GA!C22&lt;&gt;"jedna","","auf ")&amp;VLOOKUP(GA!D22,GA!$L$51:$P$54,2,0)&amp;" PLN"&amp;IF(GA!C22="dwie"," und der "&amp;GA!E22&amp;"-Mittelkurs "&amp;VLOOKUP(GA!E22,GA!$L$51:$P$54,2,0)&amp;" PLN",IF(GA!C22="trzy",", der "&amp;GA!E22&amp;"-Mittelkurs "&amp;VLOOKUP(GA!E22,GA!$L$51:$P$54,2,0)&amp;" PLN",""))&amp;IF(GA!C22="trzy"," und der "&amp;GA!F22&amp;"-Mittelkurs "&amp;VLOOKUP(GA!F22,GA!$L$51:$P$54,2,0)&amp;" PLN","")&amp;IF(GA!C22&lt;&gt;"jedna"," betrug."," belief.")</f>
        <v>Gemäß Art. 30 Abs. 1 RLG-PL wurden die in Fremdwährung ausgedrückten Aktiva und Passiva zum Bilanzstichtag nach den für die betreffenden Währungen  festgelegten Mittelkursen der Polnischen Nationalbank vom Bilanzstichtag bewertet. Zu den Währungen, die in der Gesellschaft zum 31.12.2024 zu bewerten waren, gehörten Euro (EUR), amerikanischer Dollar (USD). Die Grundlage der Bewertung war die Tabelle A der Mittelkurse Nr. 252/A/NBP/2024 vom 31.12.2024, laut der der EUR-Mittelkurs 4,273 PLN und der USD-Mittelkurs 4,1012 PLN betrug.</v>
      </c>
      <c r="C1634" s="507" t="str">
        <f>"Pursuant to Article 30(1) of the Accounting Act, the assets and equity and liabilities denominated in a foreign currency were "&amp;"valued as of the balance sheet date at the average exchange rates of a given currency by published the National Bank of Poland, valid on the valuation day."&amp;IF(GA!C22&lt;&gt;"jedna"," The currencies"," The currency")&amp;" subject to the valuation as of "&amp;dzb&amp;IF(GA!C22&lt;&gt;"jedna"," were: ",IF(GA!D22="EUR"," was "," was "))&amp;VLOOKUP(GA!D22,GA!$L$51:$P$54,4,0)&amp;IF(GA!C22="dwie",", "&amp;VLOOKUP(GA!E22,GA!$L$51:$Q$54,6,0),IF(GA!C22="trzy",", "&amp;VLOOKUP(GA!E22,GA!$L$51:$Q$54,6,0),"")&amp;IF(GA!C22="trzy",", "&amp;VLOOKUP(GA!F22,GA!$L$51:$P$54,5,0),""))&amp;". The valuation was based on the average exchange rates table A no. "&amp;GA!M55&amp;" of "&amp;TEXT(GA!M56,"dd.mm.rrrr")&amp;", according to which the average exchange rate of "&amp;GA!D22&amp;" was PLN "&amp;VLOOKUP(GA!D22,GA!$L$51:$P$54,2,0)&amp;IF(GA!C22="dwie",", and the average exchange rate of "&amp;GA!E22&amp;" was PLN "&amp;VLOOKUP(GA!E22,GA!$L$51:$P$54,2,0),IF(GA!C22="trzy",", the average exchange rate of "&amp;GA!E22&amp;" was PLN "&amp;VLOOKUP(GA!E22,GA!$L$51:$P$54,2,0),""))&amp;IF(GA!C22="trzy"," and the average exchange rate of "&amp;GA!F22&amp;" was PLN "&amp;VLOOKUP(GA!F22,GA!$L$51:$P$54,2,0),"")&amp;"."</f>
        <v>Pursuant to Article 30(1) of the Accounting Act, the assets and equity and liabilities denominated in a foreign currency were valued as of the balance sheet date at the average exchange rates of a given currency by published the National Bank of Poland, valid on the valuation day. The currencies subject to the valuation as of 31.12.2024 were: euro (EUR), US dollar (USD). The valuation was based on the average exchange rates table A no. 252/A/NBP/2024 of 31.12.2024, according to which the average exchange rate of EUR was PLN 4,273, and the average exchange rate of USD was PLN 4,1012.</v>
      </c>
      <c r="F1634" s="672"/>
    </row>
    <row r="1635" spans="1:6" ht="127.5">
      <c r="A1635" s="507" t="str">
        <f>"Na dzień bilansowy "&amp;pdz&amp;" składniki aktywów i pasywów wyrażone w "&amp;IF(GA!C22&lt;&gt;"jedna","walutach obcych","walucie obecej")&amp;" zostały wycenione po obowiązujących na ten dzień średnich kursach ustalonych dla określonych walut przez Narodowy Bank Polski."&amp;" Podstawą wyceny była tabela A kursów średnich nr "&amp;GA!N55&amp;" z dnia "&amp;TEXT(GA!N56,"dd.mm.rrrr")&amp;" r., według której kurs średni "&amp;GA!D22&amp;" wynosił "&amp;VLOOKUP(GA!D22,GA!$L$51:$P$54,3,0)&amp;" PLN"&amp;IF(GA!C22="dwie",", "&amp;GA!E22&amp;" wynosił "&amp;VLOOKUP(GA!E22,GA!$L$51:$P$54,3,0)&amp;" PLN",IF(GA!C22="trzy",", "&amp;GA!E22&amp;" wynosił "&amp;VLOOKUP(GA!E22,GA!$L$51:$P$54,3,0)&amp;" PLN",""))&amp;IF(GA!C22="trzy",", "&amp;GA!F22&amp;" wynosił "&amp;VLOOKUP(GA!F22,GA!$L$51:$P$54,3,0)&amp;" PLN","")&amp;"."</f>
        <v>Na dzień bilansowy 31.12.2023 składniki aktywów i pasywów wyrażone w walutach obcych zostały wycenione po obowiązujących na ten dzień średnich kursach ustalonych dla określonych walut przez Narodowy Bank Polski. Podstawą wyceny była tabela A kursów średnich nr 251/A/NBP/2023 z dnia 29.12.2023 r., według której kurs średni EUR wynosił 4,348 PLN, USD wynosił 3,935 PLN.</v>
      </c>
      <c r="B1635" s="507" t="str">
        <f>"Die in Fremdwährung ausgedrückten Aktiva und Passiva wurden zum Bilanzstichtag, dem "&amp;pdz&amp;", nach dem für die betreffende Währung festgelegten Mittelkurs der Polnischen Nationalbank bewertet."&amp;" Die Grundlage der Bewertung war die Tabelle A der Mittelkurse Nr. "&amp;GA!N55&amp;" vom "&amp;TEXT(GA!N56,"dd.mm.rrrr")&amp;", laut der "&amp;IF(GA!C22&lt;&gt;"jedna","der ","sich der ")&amp;GA!D22&amp;"-Mittelkurs "&amp;IF(GA!C22&lt;&gt;"jedna","","auf ")&amp;VLOOKUP(GA!D22,GA!$L$51:$P$54,3,0)&amp;" PLN"&amp;IF(GA!C22="dwie"," und der "&amp;GA!E22&amp;"-Mittelkurs "&amp;VLOOKUP(GA!E22,GA!$L$51:$P$54,3,0)&amp;" PLN",IF(GA!C22="trzy",", der "&amp;GA!E22&amp;"-Mittelkurs "&amp;VLOOKUP(GA!E22,GA!$L$51:$P$54,3,0)&amp;" PLN",""))&amp;IF(GA!C22="trzy"," und der "&amp;GA!F22&amp;"-Mittelkurs "&amp;VLOOKUP(GA!F22,GA!$L$51:$P$54,3,0)&amp;" PLN","")&amp;IF(GA!C22&lt;&gt;"jedna"," betrug."," belief.")</f>
        <v>Die in Fremdwährung ausgedrückten Aktiva und Passiva wurden zum Bilanzstichtag, dem 31.12.2023, nach dem für die betreffende Währung festgelegten Mittelkurs der Polnischen Nationalbank bewertet. Die Grundlage der Bewertung war die Tabelle A der Mittelkurse Nr. 251/A/NBP/2023 vom 29.12.2023, laut der der EUR-Mittelkurs 4,348 PLN und der USD-Mittelkurs 3,935 PLN betrug.</v>
      </c>
      <c r="C1635" s="507" t="str">
        <f>"As of the balance sheet date of "&amp;pdz&amp;", assets and equity and liabilities denominated in foreign currency were valued at the average exchange rate determined by the National Bank of Poland for a given currency as of that date. "&amp;"The valuation was based on the average exchange rates table A no. "&amp;GA!N55&amp;" of "&amp;TEXT(GA!N56,"dd.mm.rrrr")&amp;", according to which the average exchange rate of "&amp;GA!D22&amp;" was PLN "&amp;VLOOKUP(GA!D22,GA!$L$51:$P$54,3,0)&amp;IF(GA!C22="dwie",", and the average exchange rate of "&amp;GA!E22&amp;" was PLN "&amp;VLOOKUP(GA!E22,GA!$L$51:$P$54,3,0),IF(GA!C22="trzy",", the average exchange rate of "&amp;GA!E22&amp;" was PLN "&amp;VLOOKUP(GA!E22,GA!$L$51:$P$54,3,0),""))&amp;IF(GA!C22="trzy"," and the average exchange rate of "&amp;GA!F22&amp;" was PLN "&amp;VLOOKUP(GA!F22,GA!$L$51:$P$54,3,0),"")&amp;"."</f>
        <v>As of the balance sheet date of 31.12.2023, assets and equity and liabilities denominated in foreign currency were valued at the average exchange rate determined by the National Bank of Poland for a given currency as of that date. The valuation was based on the average exchange rates table A no. 251/A/NBP/2023 of 29.12.2023, according to which the average exchange rate of EUR was PLN 4,348, and the average exchange rate of USD was PLN 3,935.</v>
      </c>
      <c r="F1635" s="672"/>
    </row>
    <row r="1636" spans="1:6">
      <c r="A1636" s="289" t="s">
        <v>1300</v>
      </c>
      <c r="B1636" s="291" t="s">
        <v>1301</v>
      </c>
      <c r="C1636" s="289" t="s">
        <v>4004</v>
      </c>
    </row>
    <row r="1637" spans="1:6">
      <c r="A1637" s="289" t="s">
        <v>4005</v>
      </c>
      <c r="B1637" s="291" t="s">
        <v>4006</v>
      </c>
      <c r="C1637" s="289" t="s">
        <v>4007</v>
      </c>
    </row>
    <row r="1638" spans="1:6">
      <c r="A1638" s="289" t="s">
        <v>4008</v>
      </c>
      <c r="B1638" s="291" t="s">
        <v>4009</v>
      </c>
      <c r="C1638" s="289" t="s">
        <v>4010</v>
      </c>
    </row>
    <row r="1639" spans="1:6">
      <c r="A1639" s="289" t="s">
        <v>4011</v>
      </c>
      <c r="B1639" s="291" t="s">
        <v>4012</v>
      </c>
      <c r="C1639" s="289" t="s">
        <v>4013</v>
      </c>
    </row>
    <row r="1640" spans="1:6">
      <c r="A1640" s="289" t="s">
        <v>4014</v>
      </c>
      <c r="B1640" s="291" t="s">
        <v>4015</v>
      </c>
      <c r="C1640" s="289" t="s">
        <v>4016</v>
      </c>
    </row>
    <row r="1641" spans="1:6">
      <c r="A1641" s="289" t="s">
        <v>4017</v>
      </c>
      <c r="B1641" s="291" t="s">
        <v>4018</v>
      </c>
      <c r="C1641" s="289" t="s">
        <v>4019</v>
      </c>
    </row>
    <row r="1642" spans="1:6">
      <c r="A1642" s="289" t="s">
        <v>4020</v>
      </c>
      <c r="B1642" s="291" t="s">
        <v>4021</v>
      </c>
      <c r="C1642" s="289" t="s">
        <v>4022</v>
      </c>
    </row>
    <row r="1643" spans="1:6">
      <c r="A1643" s="289" t="s">
        <v>4023</v>
      </c>
      <c r="B1643" s="291" t="s">
        <v>4024</v>
      </c>
      <c r="C1643" s="289" t="s">
        <v>4025</v>
      </c>
    </row>
    <row r="1644" spans="1:6">
      <c r="A1644" s="289" t="s">
        <v>4026</v>
      </c>
      <c r="B1644" s="291" t="s">
        <v>4027</v>
      </c>
      <c r="C1644" s="289" t="s">
        <v>4028</v>
      </c>
    </row>
    <row r="1645" spans="1:6">
      <c r="A1645" s="289" t="s">
        <v>4029</v>
      </c>
      <c r="B1645" s="291" t="s">
        <v>4030</v>
      </c>
      <c r="C1645" s="289" t="s">
        <v>4031</v>
      </c>
    </row>
    <row r="1646" spans="1:6" ht="76.5">
      <c r="A1646" s="289" t="str">
        <f>"Informacje o nazwie i siedzibie jednostki  sporządzającej skonsolidowane sprawozdanie finansowe na "&amp;'nota 7'!Q81&amp;" szczeblu grupy kapitałowej, w skład której wchodzi spółka jako jednostka zależna, oraz miejscu, w którym sprawozdanie to jest dostępne"</f>
        <v>Informacje o nazwie i siedzibie jednostki  sporządzającej skonsolidowane sprawozdanie finansowe na najwyższym szczeblu grupy kapitałowej, w skład której wchodzi spółka jako jednostka zależna, oraz miejscu, w którym sprawozdanie to jest dostępne</v>
      </c>
      <c r="B1646" s="291" t="str">
        <f>"Informationen über den Namen und Sitz der Gesellschaft, die den Konzernabschluss auf der "&amp;IF('nota 7'!R81=2,"höchsten","niedrigsten")&amp;" Ebene des Konzerns, zu dem die Gesellschaft als Tochterunternehmen gehört, erstellt sowie den Ort, an dem dieser Konzernabschluss vorliegt"</f>
        <v>Informationen über den Namen und Sitz der Gesellschaft, die den Konzernabschluss auf der höchsten Ebene des Konzerns, zu dem die Gesellschaft als Tochterunternehmen gehört, erstellt sowie den Ort, an dem dieser Konzernabschluss vorliegt</v>
      </c>
      <c r="C1646" s="289" t="str">
        <f>"Information on the name and the registered office of the entity preparing the consolidated financial statements at the "&amp;IF('nota 7'!R81=2,"top","lowest")&amp;" level of the group which comprises the Company as the related party, as well as on where the financial statements are available"</f>
        <v>Information on the name and the registered office of the entity preparing the consolidated financial statements at the top level of the group which comprises the Company as the related party, as well as on where the financial statements are available</v>
      </c>
    </row>
    <row r="1647" spans="1:6" ht="51">
      <c r="A1647" s="289" t="str">
        <f>"Skonsolidowane sprawozdanie finansowe na  "&amp;'nota 7'!Q81&amp;"  szczeblu grupy kapitałowej sporządzane jest przez spółkę xxx z siedzibą w xxx."</f>
        <v>Skonsolidowane sprawozdanie finansowe na  najwyższym  szczeblu grupy kapitałowej sporządzane jest przez spółkę xxx z siedzibą w xxx.</v>
      </c>
      <c r="B1647" s="291" t="str">
        <f>"Der Konzernabschluss auf der "&amp;IF('nota 7'!R81=2,"höchsten","niedrigsten")&amp;" Ebene des Konzerns wird von der Gesellschaft xxx mit Sitz in xxx erstellt."</f>
        <v>Der Konzernabschluss auf der höchsten Ebene des Konzerns wird von der Gesellschaft xxx mit Sitz in xxx erstellt.</v>
      </c>
      <c r="C1647" s="289" t="str">
        <f>"The consolidated financial statements at the "&amp;IF('nota 7'!R81=2,"top","lowest")&amp;" level of the group are prepared by xxx with its registered office in xxx."</f>
        <v>The consolidated financial statements at the top level of the group are prepared by xxx with its registered office in xxx.</v>
      </c>
    </row>
    <row r="1648" spans="1:6" ht="63.75">
      <c r="A1648" s="289" t="s">
        <v>4032</v>
      </c>
      <c r="B1648" s="289" t="s">
        <v>4033</v>
      </c>
      <c r="C1648" s="289" t="s">
        <v>4034</v>
      </c>
    </row>
    <row r="1649" spans="1:3" ht="25.5">
      <c r="A1649" s="291" t="s">
        <v>4035</v>
      </c>
      <c r="B1649" s="291" t="s">
        <v>4036</v>
      </c>
      <c r="C1649" s="291" t="s">
        <v>4037</v>
      </c>
    </row>
    <row r="1650" spans="1:3">
      <c r="A1650" s="289" t="s">
        <v>2104</v>
      </c>
      <c r="B1650" s="291" t="s">
        <v>2105</v>
      </c>
      <c r="C1650" s="289" t="s">
        <v>4038</v>
      </c>
    </row>
    <row r="1651" spans="1:3">
      <c r="A1651" s="289" t="s">
        <v>4039</v>
      </c>
      <c r="B1651" s="291" t="s">
        <v>4040</v>
      </c>
      <c r="C1651" s="289" t="s">
        <v>4041</v>
      </c>
    </row>
    <row r="1652" spans="1:3">
      <c r="A1652" s="289" t="s">
        <v>4042</v>
      </c>
      <c r="B1652" s="291" t="s">
        <v>4043</v>
      </c>
      <c r="C1652" s="289" t="s">
        <v>4044</v>
      </c>
    </row>
    <row r="1653" spans="1:3" ht="25.5">
      <c r="A1653" s="289" t="s">
        <v>4045</v>
      </c>
      <c r="B1653" s="291" t="s">
        <v>4046</v>
      </c>
      <c r="C1653" s="289" t="s">
        <v>4047</v>
      </c>
    </row>
    <row r="1654" spans="1:3">
      <c r="A1654" s="289" t="s">
        <v>4048</v>
      </c>
      <c r="B1654" s="291" t="s">
        <v>4049</v>
      </c>
      <c r="C1654" s="289" t="s">
        <v>4050</v>
      </c>
    </row>
    <row r="1655" spans="1:3">
      <c r="A1655" s="289" t="s">
        <v>4051</v>
      </c>
      <c r="B1655" s="291" t="s">
        <v>4052</v>
      </c>
      <c r="C1655" s="289" t="s">
        <v>4053</v>
      </c>
    </row>
    <row r="1656" spans="1:3" ht="38.25">
      <c r="A1656" s="289" t="s">
        <v>4054</v>
      </c>
      <c r="B1656" s="291" t="s">
        <v>4055</v>
      </c>
      <c r="C1656" s="289" t="s">
        <v>4056</v>
      </c>
    </row>
    <row r="1657" spans="1:3" ht="51">
      <c r="A1657" s="289" t="s">
        <v>4057</v>
      </c>
      <c r="B1657" s="291" t="s">
        <v>4058</v>
      </c>
      <c r="C1657" s="289" t="s">
        <v>4059</v>
      </c>
    </row>
    <row r="1658" spans="1:3" ht="76.5">
      <c r="A1658" s="289" t="s">
        <v>4060</v>
      </c>
      <c r="B1658" s="291" t="s">
        <v>4061</v>
      </c>
      <c r="C1658" s="289" t="s">
        <v>4062</v>
      </c>
    </row>
    <row r="1659" spans="1:3" ht="38.25">
      <c r="A1659" s="289" t="s">
        <v>4063</v>
      </c>
      <c r="B1659" s="291" t="s">
        <v>4064</v>
      </c>
      <c r="C1659" s="289" t="s">
        <v>4065</v>
      </c>
    </row>
    <row r="1660" spans="1:3" ht="38.25">
      <c r="A1660" s="289" t="s">
        <v>4066</v>
      </c>
      <c r="B1660" s="291" t="s">
        <v>4067</v>
      </c>
      <c r="C1660" s="289" t="s">
        <v>4065</v>
      </c>
    </row>
    <row r="1661" spans="1:3" ht="38.25">
      <c r="A1661" s="289" t="s">
        <v>4066</v>
      </c>
      <c r="B1661" s="291" t="s">
        <v>4068</v>
      </c>
      <c r="C1661" s="289" t="s">
        <v>4065</v>
      </c>
    </row>
    <row r="1662" spans="1:3">
      <c r="A1662" s="289" t="s">
        <v>4069</v>
      </c>
      <c r="B1662" s="291" t="s">
        <v>4070</v>
      </c>
      <c r="C1662" s="289" t="s">
        <v>4071</v>
      </c>
    </row>
    <row r="1663" spans="1:3">
      <c r="A1663" s="289" t="s">
        <v>4072</v>
      </c>
      <c r="B1663" s="291" t="s">
        <v>4073</v>
      </c>
      <c r="C1663" s="289" t="s">
        <v>4074</v>
      </c>
    </row>
    <row r="1664" spans="1:3">
      <c r="A1664" s="289" t="s">
        <v>4075</v>
      </c>
      <c r="B1664" s="291" t="s">
        <v>4076</v>
      </c>
      <c r="C1664" s="289" t="s">
        <v>4077</v>
      </c>
    </row>
    <row r="1665" spans="1:3" ht="38.25">
      <c r="A1665" s="289" t="s">
        <v>4078</v>
      </c>
      <c r="B1665" s="291" t="s">
        <v>4079</v>
      </c>
      <c r="C1665" s="289" t="s">
        <v>4080</v>
      </c>
    </row>
    <row r="1666" spans="1:3" ht="38.25">
      <c r="A1666" s="289" t="s">
        <v>4081</v>
      </c>
      <c r="B1666" s="291" t="s">
        <v>4082</v>
      </c>
      <c r="C1666" s="289" t="s">
        <v>4083</v>
      </c>
    </row>
    <row r="1667" spans="1:3" ht="25.5">
      <c r="A1667" s="289" t="str">
        <f>"Na dzień " &amp; dzb &amp; " w Spółce zatrudnione były/była …………… osoby/ osoba"</f>
        <v>Na dzień 31.12.2024 w Spółce zatrudnione były/była …………… osoby/ osoba</v>
      </c>
      <c r="B1667" s="291" t="str">
        <f>"Zum " &amp; dzb &amp; " beschäftigte die Gesellschaft …………… Personen/Person."</f>
        <v>Zum 31.12.2024 beschäftigte die Gesellschaft …………… Personen/Person.</v>
      </c>
      <c r="C1667" s="289" t="s">
        <v>4084</v>
      </c>
    </row>
    <row r="1668" spans="1:3" ht="89.25">
      <c r="A1668" s="289" t="s">
        <v>4085</v>
      </c>
      <c r="B1668" s="291" t="s">
        <v>4086</v>
      </c>
      <c r="C1668" s="289" t="s">
        <v>4087</v>
      </c>
    </row>
    <row r="1669" spans="1:3" ht="76.5">
      <c r="A1669" s="289" t="s">
        <v>4088</v>
      </c>
      <c r="B1669" s="291" t="s">
        <v>4089</v>
      </c>
      <c r="C1669" s="289" t="s">
        <v>4090</v>
      </c>
    </row>
    <row r="1670" spans="1:3">
      <c r="A1670" s="289" t="s">
        <v>4091</v>
      </c>
      <c r="B1670" s="291" t="s">
        <v>4092</v>
      </c>
      <c r="C1670" s="289" t="s">
        <v>4093</v>
      </c>
    </row>
    <row r="1671" spans="1:3">
      <c r="A1671" s="289" t="s">
        <v>4094</v>
      </c>
      <c r="B1671" s="291" t="s">
        <v>818</v>
      </c>
      <c r="C1671" s="289" t="s">
        <v>819</v>
      </c>
    </row>
    <row r="1672" spans="1:3">
      <c r="A1672" s="289" t="s">
        <v>3624</v>
      </c>
      <c r="B1672" s="291" t="s">
        <v>4095</v>
      </c>
      <c r="C1672" s="289" t="s">
        <v>4096</v>
      </c>
    </row>
    <row r="1675" spans="1:3" ht="38.25">
      <c r="A1675" s="289" t="s">
        <v>2353</v>
      </c>
      <c r="B1675" s="291" t="s">
        <v>2354</v>
      </c>
      <c r="C1675" s="289" t="s">
        <v>4097</v>
      </c>
    </row>
    <row r="1676" spans="1:3" ht="38.25">
      <c r="A1676" s="289" t="s">
        <v>2700</v>
      </c>
      <c r="B1676" s="291" t="s">
        <v>2701</v>
      </c>
      <c r="C1676" s="289" t="s">
        <v>4098</v>
      </c>
    </row>
    <row r="1677" spans="1:3" ht="25.5">
      <c r="A1677" s="289" t="s">
        <v>2703</v>
      </c>
      <c r="B1677" s="291" t="s">
        <v>2704</v>
      </c>
      <c r="C1677" s="289" t="s">
        <v>2705</v>
      </c>
    </row>
    <row r="1678" spans="1:3">
      <c r="A1678" s="289" t="s">
        <v>2706</v>
      </c>
      <c r="B1678" s="291" t="s">
        <v>2707</v>
      </c>
      <c r="C1678" s="289" t="s">
        <v>2708</v>
      </c>
    </row>
    <row r="1679" spans="1:3">
      <c r="A1679" s="289" t="s">
        <v>2709</v>
      </c>
      <c r="B1679" s="291" t="s">
        <v>2710</v>
      </c>
      <c r="C1679" s="289" t="s">
        <v>4099</v>
      </c>
    </row>
    <row r="1680" spans="1:3" ht="25.5">
      <c r="A1680" s="289" t="s">
        <v>4100</v>
      </c>
      <c r="B1680" s="291" t="s">
        <v>4101</v>
      </c>
      <c r="C1680" s="289" t="s">
        <v>4102</v>
      </c>
    </row>
    <row r="1681" spans="1:3" ht="63.75">
      <c r="A1681" s="289" t="s">
        <v>4103</v>
      </c>
      <c r="B1681" s="291" t="s">
        <v>4104</v>
      </c>
      <c r="C1681" s="289" t="s">
        <v>4105</v>
      </c>
    </row>
    <row r="1682" spans="1:3" ht="76.5">
      <c r="A1682" s="289" t="s">
        <v>4106</v>
      </c>
      <c r="B1682" s="291" t="s">
        <v>4107</v>
      </c>
      <c r="C1682" s="289" t="s">
        <v>4108</v>
      </c>
    </row>
    <row r="1683" spans="1:3" ht="38.25">
      <c r="A1683" s="289" t="s">
        <v>3607</v>
      </c>
      <c r="B1683" s="291" t="s">
        <v>3608</v>
      </c>
      <c r="C1683" s="289" t="s">
        <v>3609</v>
      </c>
    </row>
    <row r="1684" spans="1:3" ht="25.5">
      <c r="A1684" s="289" t="s">
        <v>3610</v>
      </c>
      <c r="B1684" s="291" t="s">
        <v>3611</v>
      </c>
      <c r="C1684" s="289" t="s">
        <v>3612</v>
      </c>
    </row>
    <row r="1685" spans="1:3" ht="76.5">
      <c r="A1685" s="289" t="s">
        <v>4109</v>
      </c>
      <c r="B1685" s="291" t="s">
        <v>4110</v>
      </c>
      <c r="C1685" s="289" t="s">
        <v>4111</v>
      </c>
    </row>
    <row r="1686" spans="1:3" ht="76.5">
      <c r="A1686" s="289" t="s">
        <v>4112</v>
      </c>
      <c r="B1686" s="291" t="s">
        <v>4113</v>
      </c>
      <c r="C1686" s="289" t="s">
        <v>4114</v>
      </c>
    </row>
    <row r="1688" spans="1:3">
      <c r="A1688" s="630" t="s">
        <v>4115</v>
      </c>
      <c r="B1688" s="631"/>
      <c r="C1688" s="632"/>
    </row>
    <row r="1689" spans="1:3" ht="25.5">
      <c r="A1689" s="557" t="s">
        <v>2170</v>
      </c>
      <c r="B1689" s="557" t="s">
        <v>2171</v>
      </c>
      <c r="C1689" s="514" t="s">
        <v>2172</v>
      </c>
    </row>
    <row r="1690" spans="1:3" ht="63.75">
      <c r="A1690" s="557" t="s">
        <v>4116</v>
      </c>
      <c r="B1690" s="557" t="s">
        <v>4117</v>
      </c>
      <c r="C1690" s="514" t="s">
        <v>4118</v>
      </c>
    </row>
    <row r="1691" spans="1:3" ht="38.25">
      <c r="A1691" s="557" t="s">
        <v>4119</v>
      </c>
      <c r="B1691" s="557" t="s">
        <v>4120</v>
      </c>
      <c r="C1691" s="514" t="s">
        <v>4121</v>
      </c>
    </row>
    <row r="1692" spans="1:3">
      <c r="A1692" s="557" t="s">
        <v>4122</v>
      </c>
      <c r="B1692" s="557" t="s">
        <v>4123</v>
      </c>
      <c r="C1692" s="514" t="s">
        <v>4124</v>
      </c>
    </row>
    <row r="1693" spans="1:3">
      <c r="A1693" s="557" t="s">
        <v>4125</v>
      </c>
      <c r="B1693" s="557" t="s">
        <v>4126</v>
      </c>
      <c r="C1693" s="514" t="s">
        <v>4127</v>
      </c>
    </row>
    <row r="1694" spans="1:3" ht="25.5">
      <c r="A1694" s="557" t="s">
        <v>4128</v>
      </c>
      <c r="B1694" s="557" t="s">
        <v>4129</v>
      </c>
      <c r="C1694" s="514" t="s">
        <v>4130</v>
      </c>
    </row>
    <row r="1695" spans="1:3" ht="25.5">
      <c r="A1695" s="557" t="s">
        <v>4131</v>
      </c>
      <c r="B1695" s="557" t="s">
        <v>2177</v>
      </c>
      <c r="C1695" s="514" t="s">
        <v>2178</v>
      </c>
    </row>
    <row r="1696" spans="1:3">
      <c r="A1696" s="557" t="s">
        <v>4132</v>
      </c>
      <c r="B1696" s="557" t="s">
        <v>4133</v>
      </c>
      <c r="C1696" s="514" t="s">
        <v>4134</v>
      </c>
    </row>
    <row r="1697" spans="1:3" ht="25.5">
      <c r="A1697" s="557" t="s">
        <v>4135</v>
      </c>
      <c r="B1697" s="557" t="s">
        <v>4136</v>
      </c>
      <c r="C1697" s="514" t="s">
        <v>4137</v>
      </c>
    </row>
    <row r="1698" spans="1:3" ht="25.5">
      <c r="A1698" s="557" t="s">
        <v>4138</v>
      </c>
      <c r="B1698" s="557" t="s">
        <v>4139</v>
      </c>
      <c r="C1698" s="514" t="s">
        <v>4140</v>
      </c>
    </row>
    <row r="1699" spans="1:3" ht="25.5">
      <c r="A1699" s="557" t="s">
        <v>4141</v>
      </c>
      <c r="B1699" s="557" t="s">
        <v>4142</v>
      </c>
      <c r="C1699" s="558" t="s">
        <v>4143</v>
      </c>
    </row>
    <row r="1700" spans="1:3">
      <c r="A1700" t="s">
        <v>4144</v>
      </c>
      <c r="B1700" t="s">
        <v>4145</v>
      </c>
      <c r="C1700" t="s">
        <v>4146</v>
      </c>
    </row>
    <row r="1701" spans="1:3">
      <c r="A1701" t="s">
        <v>4147</v>
      </c>
      <c r="B1701" t="s">
        <v>4148</v>
      </c>
      <c r="C1701" t="s">
        <v>4149</v>
      </c>
    </row>
    <row r="1702" spans="1:3" ht="76.5">
      <c r="A1702" s="557" t="s">
        <v>4150</v>
      </c>
      <c r="B1702" s="557" t="s">
        <v>4151</v>
      </c>
      <c r="C1702" s="514" t="s">
        <v>4152</v>
      </c>
    </row>
    <row r="1703" spans="1:3">
      <c r="A1703" s="557" t="s">
        <v>4153</v>
      </c>
      <c r="B1703" s="557" t="s">
        <v>4154</v>
      </c>
      <c r="C1703" s="514" t="s">
        <v>4155</v>
      </c>
    </row>
    <row r="1704" spans="1:3" ht="25.5">
      <c r="A1704" s="557" t="s">
        <v>4156</v>
      </c>
      <c r="B1704" s="557" t="s">
        <v>4157</v>
      </c>
      <c r="C1704" s="514" t="s">
        <v>4158</v>
      </c>
    </row>
    <row r="1705" spans="1:3" ht="38.25">
      <c r="A1705" s="557" t="s">
        <v>4159</v>
      </c>
      <c r="B1705" s="557" t="s">
        <v>2180</v>
      </c>
      <c r="C1705" s="514" t="s">
        <v>4160</v>
      </c>
    </row>
    <row r="1706" spans="1:3" ht="38.25">
      <c r="A1706" s="557" t="s">
        <v>4161</v>
      </c>
      <c r="B1706" s="557" t="s">
        <v>4162</v>
      </c>
      <c r="C1706" s="514" t="s">
        <v>4163</v>
      </c>
    </row>
    <row r="1707" spans="1:3" ht="25.5">
      <c r="A1707" s="557" t="s">
        <v>4164</v>
      </c>
      <c r="B1707" s="557" t="s">
        <v>4165</v>
      </c>
      <c r="C1707" s="514" t="s">
        <v>4166</v>
      </c>
    </row>
    <row r="1708" spans="1:3">
      <c r="A1708" t="s">
        <v>4167</v>
      </c>
      <c r="B1708" t="s">
        <v>4168</v>
      </c>
      <c r="C1708" t="s">
        <v>4169</v>
      </c>
    </row>
    <row r="1709" spans="1:3">
      <c r="A1709" t="s">
        <v>4170</v>
      </c>
      <c r="B1709" t="s">
        <v>4171</v>
      </c>
      <c r="C1709" t="s">
        <v>4172</v>
      </c>
    </row>
    <row r="1710" spans="1:3" ht="76.5">
      <c r="A1710" s="557" t="s">
        <v>4173</v>
      </c>
      <c r="B1710" s="557" t="s">
        <v>4174</v>
      </c>
      <c r="C1710" s="514" t="s">
        <v>4175</v>
      </c>
    </row>
    <row r="1711" spans="1:3" ht="25.5">
      <c r="A1711" s="557" t="s">
        <v>4176</v>
      </c>
      <c r="B1711" s="557" t="s">
        <v>4177</v>
      </c>
      <c r="C1711" s="514" t="s">
        <v>4178</v>
      </c>
    </row>
    <row r="1712" spans="1:3" ht="25.5">
      <c r="A1712" s="686" t="s">
        <v>4179</v>
      </c>
      <c r="B1712" s="686" t="s">
        <v>4180</v>
      </c>
      <c r="C1712" s="686" t="s">
        <v>4181</v>
      </c>
    </row>
    <row r="1713" spans="1:3" ht="25.5">
      <c r="A1713" s="557" t="s">
        <v>3981</v>
      </c>
      <c r="B1713" s="557" t="s">
        <v>3982</v>
      </c>
      <c r="C1713" s="514" t="s">
        <v>4182</v>
      </c>
    </row>
    <row r="1714" spans="1:3">
      <c r="A1714" s="557" t="s">
        <v>4183</v>
      </c>
      <c r="B1714" s="557" t="s">
        <v>4184</v>
      </c>
      <c r="C1714" s="514" t="s">
        <v>4185</v>
      </c>
    </row>
    <row r="1715" spans="1:3">
      <c r="A1715" s="557" t="s">
        <v>4186</v>
      </c>
      <c r="B1715" s="557" t="s">
        <v>4187</v>
      </c>
      <c r="C1715" s="514" t="s">
        <v>4188</v>
      </c>
    </row>
    <row r="1716" spans="1:3" ht="25.5">
      <c r="A1716" s="557" t="s">
        <v>4189</v>
      </c>
      <c r="B1716" s="557" t="s">
        <v>4190</v>
      </c>
      <c r="C1716" s="514" t="s">
        <v>4191</v>
      </c>
    </row>
    <row r="1717" spans="1:3" ht="25.5">
      <c r="A1717" s="686" t="s">
        <v>4192</v>
      </c>
      <c r="B1717" s="686" t="s">
        <v>4193</v>
      </c>
      <c r="C1717" t="s">
        <v>4194</v>
      </c>
    </row>
    <row r="1718" spans="1:3" ht="25.5">
      <c r="A1718" s="686" t="s">
        <v>4195</v>
      </c>
      <c r="B1718" s="686" t="s">
        <v>4196</v>
      </c>
      <c r="C1718" s="686" t="s">
        <v>4197</v>
      </c>
    </row>
    <row r="1719" spans="1:3" ht="25.5">
      <c r="A1719" s="686" t="s">
        <v>4198</v>
      </c>
      <c r="B1719" s="686" t="s">
        <v>4199</v>
      </c>
      <c r="C1719" s="686" t="s">
        <v>4200</v>
      </c>
    </row>
    <row r="1720" spans="1:3">
      <c r="A1720" s="557" t="s">
        <v>4201</v>
      </c>
      <c r="B1720" s="557" t="s">
        <v>2077</v>
      </c>
      <c r="C1720" s="514" t="s">
        <v>4202</v>
      </c>
    </row>
    <row r="1721" spans="1:3" ht="25.5">
      <c r="A1721" s="557" t="s">
        <v>4203</v>
      </c>
      <c r="B1721" s="557" t="s">
        <v>4204</v>
      </c>
      <c r="C1721" s="514" t="s">
        <v>4205</v>
      </c>
    </row>
    <row r="1722" spans="1:3">
      <c r="A1722" s="557" t="s">
        <v>4206</v>
      </c>
      <c r="B1722" s="557" t="s">
        <v>4207</v>
      </c>
      <c r="C1722" s="514" t="s">
        <v>4208</v>
      </c>
    </row>
    <row r="1723" spans="1:3">
      <c r="A1723" t="s">
        <v>4209</v>
      </c>
      <c r="B1723" t="s">
        <v>4210</v>
      </c>
      <c r="C1723" t="s">
        <v>4211</v>
      </c>
    </row>
    <row r="1724" spans="1:3" ht="38.25">
      <c r="A1724" s="557" t="s">
        <v>2185</v>
      </c>
      <c r="B1724" s="557" t="s">
        <v>2186</v>
      </c>
      <c r="C1724" s="514" t="s">
        <v>2187</v>
      </c>
    </row>
    <row r="1725" spans="1:3" ht="25.5">
      <c r="A1725" t="s">
        <v>4212</v>
      </c>
      <c r="B1725" s="686" t="s">
        <v>4213</v>
      </c>
      <c r="C1725" t="s">
        <v>4214</v>
      </c>
    </row>
    <row r="1726" spans="1:3">
      <c r="A1726" t="s">
        <v>2300</v>
      </c>
      <c r="B1726" t="s">
        <v>4215</v>
      </c>
      <c r="C1726" t="s">
        <v>2133</v>
      </c>
    </row>
    <row r="1727" spans="1:3">
      <c r="A1727" s="557" t="s">
        <v>1879</v>
      </c>
      <c r="B1727" s="557" t="s">
        <v>1880</v>
      </c>
      <c r="C1727" s="514" t="s">
        <v>4216</v>
      </c>
    </row>
    <row r="1728" spans="1:3" ht="25.5">
      <c r="A1728" t="s">
        <v>4217</v>
      </c>
      <c r="B1728" s="686" t="s">
        <v>4218</v>
      </c>
      <c r="C1728" s="686" t="s">
        <v>4219</v>
      </c>
    </row>
    <row r="1729" spans="1:3" ht="25.5">
      <c r="A1729" t="s">
        <v>4198</v>
      </c>
      <c r="B1729" s="686" t="s">
        <v>4199</v>
      </c>
      <c r="C1729" s="686" t="s">
        <v>4200</v>
      </c>
    </row>
    <row r="1730" spans="1:3">
      <c r="A1730" s="557" t="s">
        <v>4220</v>
      </c>
      <c r="B1730" s="557" t="s">
        <v>4221</v>
      </c>
      <c r="C1730" s="514" t="s">
        <v>4222</v>
      </c>
    </row>
    <row r="1731" spans="1:3" ht="25.5">
      <c r="A1731" s="557" t="s">
        <v>4223</v>
      </c>
      <c r="B1731" s="557" t="s">
        <v>4224</v>
      </c>
      <c r="C1731" s="514" t="s">
        <v>4225</v>
      </c>
    </row>
    <row r="1732" spans="1:3" ht="25.5">
      <c r="A1732" s="557" t="s">
        <v>4226</v>
      </c>
      <c r="B1732" s="557" t="s">
        <v>4227</v>
      </c>
      <c r="C1732" s="514" t="s">
        <v>4228</v>
      </c>
    </row>
    <row r="1733" spans="1:3">
      <c r="A1733" s="557" t="s">
        <v>4229</v>
      </c>
      <c r="B1733" s="557" t="s">
        <v>4230</v>
      </c>
      <c r="C1733" s="514" t="s">
        <v>4231</v>
      </c>
    </row>
    <row r="1734" spans="1:3">
      <c r="A1734" s="557" t="s">
        <v>4232</v>
      </c>
      <c r="B1734" s="557" t="s">
        <v>4233</v>
      </c>
      <c r="C1734" s="514" t="s">
        <v>4234</v>
      </c>
    </row>
    <row r="1735" spans="1:3">
      <c r="A1735" s="557" t="s">
        <v>4235</v>
      </c>
      <c r="B1735" s="557" t="s">
        <v>4154</v>
      </c>
      <c r="C1735" s="514" t="s">
        <v>4155</v>
      </c>
    </row>
    <row r="1736" spans="1:3" ht="51">
      <c r="A1736" s="557" t="s">
        <v>2188</v>
      </c>
      <c r="B1736" s="557" t="s">
        <v>2189</v>
      </c>
      <c r="C1736" s="514" t="s">
        <v>4236</v>
      </c>
    </row>
    <row r="1737" spans="1:3" ht="25.5">
      <c r="A1737" s="557" t="s">
        <v>4237</v>
      </c>
      <c r="B1737" s="557" t="s">
        <v>4238</v>
      </c>
      <c r="C1737" s="514" t="s">
        <v>4239</v>
      </c>
    </row>
    <row r="1738" spans="1:3">
      <c r="A1738" s="557" t="s">
        <v>4240</v>
      </c>
      <c r="B1738" s="557" t="s">
        <v>4241</v>
      </c>
      <c r="C1738" s="514" t="s">
        <v>4242</v>
      </c>
    </row>
    <row r="1739" spans="1:3" ht="25.5">
      <c r="A1739" s="557" t="s">
        <v>4243</v>
      </c>
      <c r="B1739" s="557" t="s">
        <v>4244</v>
      </c>
      <c r="C1739" s="514" t="s">
        <v>4245</v>
      </c>
    </row>
    <row r="1740" spans="1:3" ht="25.5">
      <c r="A1740" s="557" t="s">
        <v>4246</v>
      </c>
      <c r="B1740" s="557" t="s">
        <v>4247</v>
      </c>
      <c r="C1740" s="514" t="s">
        <v>4248</v>
      </c>
    </row>
    <row r="1741" spans="1:3" ht="25.5">
      <c r="A1741" s="557" t="s">
        <v>4249</v>
      </c>
      <c r="B1741" s="557" t="s">
        <v>4250</v>
      </c>
      <c r="C1741" s="514" t="s">
        <v>4251</v>
      </c>
    </row>
    <row r="1742" spans="1:3">
      <c r="A1742" s="557" t="s">
        <v>2191</v>
      </c>
      <c r="B1742" s="557" t="s">
        <v>2192</v>
      </c>
      <c r="C1742" s="514" t="s">
        <v>2193</v>
      </c>
    </row>
    <row r="1743" spans="1:3" ht="25.5">
      <c r="A1743" s="557" t="s">
        <v>2194</v>
      </c>
      <c r="B1743" s="557" t="s">
        <v>2195</v>
      </c>
      <c r="C1743" s="514" t="s">
        <v>2196</v>
      </c>
    </row>
    <row r="1744" spans="1:3" ht="25.5">
      <c r="A1744" s="514" t="s">
        <v>4252</v>
      </c>
      <c r="B1744" s="289" t="s">
        <v>4253</v>
      </c>
      <c r="C1744" s="557" t="s">
        <v>4254</v>
      </c>
    </row>
    <row r="1745" spans="1:3" ht="25.5">
      <c r="A1745" s="557" t="s">
        <v>2197</v>
      </c>
      <c r="B1745" s="557" t="s">
        <v>2198</v>
      </c>
      <c r="C1745" s="514" t="s">
        <v>4255</v>
      </c>
    </row>
    <row r="1746" spans="1:3">
      <c r="A1746" s="557" t="s">
        <v>2200</v>
      </c>
      <c r="B1746" s="557" t="s">
        <v>2201</v>
      </c>
      <c r="C1746" s="514" t="s">
        <v>2202</v>
      </c>
    </row>
    <row r="1747" spans="1:3">
      <c r="A1747" s="289" t="s">
        <v>320</v>
      </c>
      <c r="B1747" s="291" t="s">
        <v>321</v>
      </c>
      <c r="C1747" s="289" t="s">
        <v>322</v>
      </c>
    </row>
    <row r="1748" spans="1:3">
      <c r="A1748" s="630" t="s">
        <v>4256</v>
      </c>
      <c r="B1748" s="631"/>
      <c r="C1748" s="632"/>
    </row>
    <row r="1749" spans="1:3">
      <c r="A1749" s="557" t="s">
        <v>2626</v>
      </c>
      <c r="B1749" s="557" t="s">
        <v>2627</v>
      </c>
      <c r="C1749" s="514" t="s">
        <v>2628</v>
      </c>
    </row>
    <row r="1750" spans="1:3">
      <c r="A1750" s="557" t="s">
        <v>4257</v>
      </c>
      <c r="B1750" s="557" t="s">
        <v>4258</v>
      </c>
      <c r="C1750" s="514" t="s">
        <v>4259</v>
      </c>
    </row>
    <row r="1751" spans="1:3">
      <c r="A1751" s="557" t="s">
        <v>4260</v>
      </c>
      <c r="B1751" s="557" t="s">
        <v>1027</v>
      </c>
      <c r="C1751" s="514" t="s">
        <v>4261</v>
      </c>
    </row>
    <row r="1752" spans="1:3" ht="38.25">
      <c r="A1752" s="557" t="s">
        <v>4262</v>
      </c>
      <c r="B1752" s="557" t="s">
        <v>4263</v>
      </c>
      <c r="C1752" s="514" t="s">
        <v>4264</v>
      </c>
    </row>
    <row r="1753" spans="1:3">
      <c r="A1753" s="557" t="s">
        <v>4265</v>
      </c>
      <c r="B1753" s="557" t="s">
        <v>4266</v>
      </c>
      <c r="C1753" s="514" t="s">
        <v>4267</v>
      </c>
    </row>
    <row r="1754" spans="1:3">
      <c r="A1754" s="557" t="s">
        <v>4268</v>
      </c>
      <c r="B1754" s="557" t="s">
        <v>4269</v>
      </c>
      <c r="C1754" s="514" t="s">
        <v>4270</v>
      </c>
    </row>
    <row r="1755" spans="1:3">
      <c r="A1755" s="557" t="s">
        <v>4271</v>
      </c>
      <c r="B1755" s="557" t="s">
        <v>4272</v>
      </c>
      <c r="C1755" s="514" t="s">
        <v>4273</v>
      </c>
    </row>
    <row r="1756" spans="1:3">
      <c r="A1756" s="515" t="s">
        <v>4274</v>
      </c>
      <c r="B1756" s="515" t="s">
        <v>4275</v>
      </c>
      <c r="C1756" s="515" t="s">
        <v>4276</v>
      </c>
    </row>
    <row r="1757" spans="1:3">
      <c r="A1757" s="557" t="s">
        <v>4277</v>
      </c>
      <c r="B1757" s="557" t="s">
        <v>4278</v>
      </c>
      <c r="C1757" s="514" t="s">
        <v>4279</v>
      </c>
    </row>
    <row r="1758" spans="1:3">
      <c r="A1758" s="557" t="s">
        <v>4280</v>
      </c>
      <c r="B1758" s="557" t="s">
        <v>4281</v>
      </c>
      <c r="C1758" s="514" t="s">
        <v>4282</v>
      </c>
    </row>
    <row r="1759" spans="1:3">
      <c r="A1759" s="557" t="s">
        <v>4283</v>
      </c>
      <c r="B1759" s="557" t="s">
        <v>4284</v>
      </c>
      <c r="C1759" s="514" t="s">
        <v>4285</v>
      </c>
    </row>
    <row r="1760" spans="1:3">
      <c r="A1760" s="557" t="s">
        <v>4286</v>
      </c>
      <c r="B1760" s="557" t="s">
        <v>4287</v>
      </c>
      <c r="C1760" s="514" t="s">
        <v>4288</v>
      </c>
    </row>
    <row r="1761" spans="1:3">
      <c r="A1761" s="515" t="s">
        <v>4289</v>
      </c>
      <c r="B1761" s="557" t="s">
        <v>4290</v>
      </c>
      <c r="C1761" s="514" t="s">
        <v>4291</v>
      </c>
    </row>
    <row r="1762" spans="1:3" ht="38.25">
      <c r="A1762" s="515" t="s">
        <v>4292</v>
      </c>
      <c r="B1762" s="557" t="s">
        <v>4293</v>
      </c>
      <c r="C1762" s="514" t="s">
        <v>4294</v>
      </c>
    </row>
    <row r="1763" spans="1:3">
      <c r="A1763" s="557" t="s">
        <v>4295</v>
      </c>
      <c r="B1763" s="557" t="s">
        <v>4296</v>
      </c>
      <c r="C1763" s="514" t="s">
        <v>3558</v>
      </c>
    </row>
    <row r="1764" spans="1:3">
      <c r="A1764" s="557" t="s">
        <v>2482</v>
      </c>
      <c r="B1764" s="557" t="s">
        <v>1656</v>
      </c>
      <c r="C1764" s="514" t="s">
        <v>1657</v>
      </c>
    </row>
    <row r="1765" spans="1:3">
      <c r="A1765" s="557" t="s">
        <v>4297</v>
      </c>
      <c r="B1765" s="557" t="s">
        <v>4298</v>
      </c>
      <c r="C1765" s="514" t="s">
        <v>4299</v>
      </c>
    </row>
    <row r="1766" spans="1:3">
      <c r="A1766" s="557" t="s">
        <v>4300</v>
      </c>
      <c r="B1766" s="557" t="s">
        <v>4301</v>
      </c>
      <c r="C1766" s="514" t="s">
        <v>4302</v>
      </c>
    </row>
    <row r="1767" spans="1:3">
      <c r="A1767" s="557" t="s">
        <v>4303</v>
      </c>
      <c r="B1767" s="557" t="s">
        <v>1027</v>
      </c>
      <c r="C1767" s="514" t="s">
        <v>4261</v>
      </c>
    </row>
    <row r="1768" spans="1:3">
      <c r="A1768" s="557" t="s">
        <v>4304</v>
      </c>
      <c r="B1768" s="557" t="s">
        <v>4305</v>
      </c>
      <c r="C1768" s="514" t="s">
        <v>4306</v>
      </c>
    </row>
    <row r="1769" spans="1:3">
      <c r="A1769" s="557" t="s">
        <v>4307</v>
      </c>
      <c r="B1769" s="557" t="s">
        <v>4308</v>
      </c>
      <c r="C1769" s="514" t="s">
        <v>4309</v>
      </c>
    </row>
    <row r="1770" spans="1:3">
      <c r="A1770" s="557" t="s">
        <v>4310</v>
      </c>
      <c r="B1770" s="557" t="s">
        <v>4311</v>
      </c>
      <c r="C1770" s="514" t="s">
        <v>4312</v>
      </c>
    </row>
    <row r="1771" spans="1:3">
      <c r="A1771" s="557" t="s">
        <v>4313</v>
      </c>
      <c r="B1771" s="557" t="s">
        <v>4314</v>
      </c>
      <c r="C1771" s="514" t="s">
        <v>4315</v>
      </c>
    </row>
    <row r="1772" spans="1:3">
      <c r="A1772" s="557" t="s">
        <v>4316</v>
      </c>
      <c r="B1772" s="557" t="s">
        <v>4317</v>
      </c>
      <c r="C1772" s="514" t="s">
        <v>4318</v>
      </c>
    </row>
    <row r="1773" spans="1:3" ht="25.5">
      <c r="A1773" s="515" t="s">
        <v>4319</v>
      </c>
      <c r="B1773" s="557" t="s">
        <v>4320</v>
      </c>
      <c r="C1773" s="514" t="s">
        <v>4321</v>
      </c>
    </row>
    <row r="1774" spans="1:3" ht="25.5">
      <c r="A1774" s="557" t="s">
        <v>4322</v>
      </c>
      <c r="B1774" s="557" t="s">
        <v>4323</v>
      </c>
      <c r="C1774" s="514" t="s">
        <v>4324</v>
      </c>
    </row>
    <row r="1775" spans="1:3">
      <c r="A1775" s="515" t="s">
        <v>4325</v>
      </c>
      <c r="B1775" s="515" t="s">
        <v>4326</v>
      </c>
      <c r="C1775" s="515" t="s">
        <v>4327</v>
      </c>
    </row>
    <row r="1776" spans="1:3">
      <c r="A1776" s="557" t="s">
        <v>4295</v>
      </c>
      <c r="B1776" s="557" t="s">
        <v>4296</v>
      </c>
      <c r="C1776" s="514" t="s">
        <v>3558</v>
      </c>
    </row>
    <row r="1777" spans="1:3">
      <c r="A1777" s="557" t="s">
        <v>2482</v>
      </c>
      <c r="B1777" s="557" t="s">
        <v>1656</v>
      </c>
      <c r="C1777" s="514" t="s">
        <v>1657</v>
      </c>
    </row>
    <row r="1778" spans="1:3">
      <c r="A1778" s="557" t="s">
        <v>4328</v>
      </c>
      <c r="B1778" s="557" t="s">
        <v>4329</v>
      </c>
      <c r="C1778" s="514" t="s">
        <v>4330</v>
      </c>
    </row>
    <row r="1780" spans="1:3">
      <c r="A1780" s="633"/>
      <c r="B1780" s="633" t="s">
        <v>4331</v>
      </c>
      <c r="C1780" s="633"/>
    </row>
    <row r="1781" spans="1:3" ht="25.5">
      <c r="A1781" s="616" t="s">
        <v>786</v>
      </c>
      <c r="B1781" s="289" t="s">
        <v>776</v>
      </c>
      <c r="C1781" s="291" t="s">
        <v>777</v>
      </c>
    </row>
    <row r="1782" spans="1:3" ht="25.5">
      <c r="A1782" s="617" t="s">
        <v>4332</v>
      </c>
      <c r="B1782" s="289" t="s">
        <v>4333</v>
      </c>
      <c r="C1782" s="291" t="s">
        <v>4334</v>
      </c>
    </row>
    <row r="1783" spans="1:3">
      <c r="A1783" s="615" t="s">
        <v>4335</v>
      </c>
      <c r="B1783" s="289" t="s">
        <v>4336</v>
      </c>
      <c r="C1783" s="291" t="s">
        <v>4337</v>
      </c>
    </row>
    <row r="1784" spans="1:3" ht="25.5">
      <c r="A1784" s="289" t="s">
        <v>4338</v>
      </c>
      <c r="B1784" s="289" t="s">
        <v>4339</v>
      </c>
      <c r="C1784" s="291" t="s">
        <v>4340</v>
      </c>
    </row>
    <row r="1785" spans="1:3">
      <c r="A1785" s="289" t="s">
        <v>4341</v>
      </c>
      <c r="B1785" s="289" t="s">
        <v>4342</v>
      </c>
      <c r="C1785" s="291" t="s">
        <v>4343</v>
      </c>
    </row>
    <row r="1786" spans="1:3" ht="25.5">
      <c r="A1786" s="289" t="s">
        <v>4344</v>
      </c>
      <c r="B1786" s="289" t="s">
        <v>4345</v>
      </c>
      <c r="C1786" s="291" t="s">
        <v>4346</v>
      </c>
    </row>
    <row r="1787" spans="1:3" ht="25.5">
      <c r="A1787" s="289" t="s">
        <v>4347</v>
      </c>
      <c r="B1787" s="289" t="s">
        <v>4348</v>
      </c>
      <c r="C1787" s="291" t="s">
        <v>4349</v>
      </c>
    </row>
    <row r="1789" spans="1:3" ht="38.25">
      <c r="A1789" s="289" t="s">
        <v>4350</v>
      </c>
      <c r="B1789" s="291" t="s">
        <v>4351</v>
      </c>
      <c r="C1789" s="289" t="s">
        <v>4352</v>
      </c>
    </row>
  </sheetData>
  <autoFilter ref="A2:C1787" xr:uid="{00000000-0001-0000-3000-000000000000}"/>
  <mergeCells count="1">
    <mergeCell ref="A1:C1"/>
  </mergeCells>
  <phoneticPr fontId="12" type="noConversion"/>
  <printOptions gridLines="1"/>
  <pageMargins left="0.75" right="0.75" top="1" bottom="1" header="0.5" footer="0.5"/>
  <pageSetup paperSize="9" scale="66" orientation="portrait" r:id="rId1"/>
  <headerFooter alignWithMargins="0"/>
  <rowBreaks count="1" manualBreakCount="1">
    <brk id="1117"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
    <tabColor rgb="FF00B0F0"/>
  </sheetPr>
  <dimension ref="B1:R64"/>
  <sheetViews>
    <sheetView showGridLines="0" view="pageBreakPreview" topLeftCell="A6" zoomScaleNormal="100" zoomScaleSheetLayoutView="100" workbookViewId="0">
      <selection activeCell="A54" sqref="A54"/>
    </sheetView>
  </sheetViews>
  <sheetFormatPr defaultColWidth="9.85546875" defaultRowHeight="12.75"/>
  <cols>
    <col min="1" max="1" width="9.85546875" style="22"/>
    <col min="2" max="2" width="38.85546875" style="22" customWidth="1"/>
    <col min="3" max="3" width="18.7109375" style="22" bestFit="1" customWidth="1"/>
    <col min="4" max="4" width="10.5703125" style="23" customWidth="1"/>
    <col min="5" max="6" width="10.85546875" style="22" bestFit="1" customWidth="1"/>
    <col min="7" max="7" width="14.140625" style="22" customWidth="1"/>
    <col min="8" max="8" width="29.5703125" style="22" customWidth="1"/>
    <col min="9" max="11" width="9.85546875" style="22"/>
    <col min="12" max="12" width="28.140625" style="22" bestFit="1" customWidth="1"/>
    <col min="13" max="13" width="22.7109375" style="22" bestFit="1" customWidth="1"/>
    <col min="14" max="14" width="18.140625" style="22" bestFit="1" customWidth="1"/>
    <col min="15" max="15" width="24.140625" style="22" bestFit="1" customWidth="1"/>
    <col min="16" max="16" width="24.5703125" style="22" bestFit="1" customWidth="1"/>
    <col min="17" max="17" width="24.140625" style="22" bestFit="1" customWidth="1"/>
    <col min="18" max="16384" width="9.85546875" style="22"/>
  </cols>
  <sheetData>
    <row r="1" spans="2:16">
      <c r="B1" s="710" t="s">
        <v>3202</v>
      </c>
      <c r="C1" s="710"/>
      <c r="D1" s="710"/>
      <c r="E1" s="710"/>
      <c r="F1" s="710"/>
      <c r="G1" s="710"/>
      <c r="H1" s="710"/>
      <c r="I1" s="710"/>
    </row>
    <row r="2" spans="2:16">
      <c r="B2" s="21" t="str">
        <f>CHOOSE(jezyk,n!A3,n!B3,n!C3,n!D3)</f>
        <v>Reguły wprowadzania:</v>
      </c>
      <c r="C2" s="440"/>
      <c r="F2" s="441" t="s">
        <v>4353</v>
      </c>
      <c r="G2" s="675">
        <v>45666</v>
      </c>
    </row>
    <row r="3" spans="2:16">
      <c r="L3" s="460"/>
    </row>
    <row r="4" spans="2:16">
      <c r="B4" s="21" t="str">
        <f>CHOOSE(jezyk,n!A4,n!B4,n!C4,n!D4)</f>
        <v>pola do wypełnienia</v>
      </c>
      <c r="C4" s="21"/>
      <c r="D4" s="17"/>
    </row>
    <row r="5" spans="2:16">
      <c r="B5" s="21" t="str">
        <f>CHOOSE(jezyk,n!A5,n!B5,n!C5,n!D5)</f>
        <v>dane przeniesione z innego arkusza</v>
      </c>
      <c r="C5" s="21"/>
      <c r="D5" s="18"/>
    </row>
    <row r="6" spans="2:16">
      <c r="B6" s="21" t="str">
        <f>CHOOSE(jezyk,n!A6,n!B6,n!C6,n!D6)</f>
        <v>pola kontrolne</v>
      </c>
      <c r="C6" s="21"/>
      <c r="D6" s="19"/>
    </row>
    <row r="7" spans="2:16">
      <c r="B7" s="21" t="str">
        <f>CHOOSE(jezyk,n!A7,n!B7,n!C7,n!D7)</f>
        <v>formuły</v>
      </c>
      <c r="C7" s="21"/>
      <c r="D7" s="20"/>
      <c r="L7" s="460"/>
    </row>
    <row r="8" spans="2:16" hidden="1">
      <c r="B8" s="21" t="s">
        <v>4354</v>
      </c>
      <c r="C8" s="21"/>
      <c r="D8" s="71"/>
    </row>
    <row r="9" spans="2:16">
      <c r="B9" s="21"/>
      <c r="C9" s="21"/>
      <c r="D9" s="21"/>
    </row>
    <row r="10" spans="2:16">
      <c r="B10" s="711" t="str">
        <f>CHOOSE(jezyk,n!A2,n!B2,n!C2,n!D2)</f>
        <v>UWAGA !!!  Dane z żółtych pól nie są tłumaczone automatycznie.</v>
      </c>
      <c r="C10" s="711"/>
      <c r="D10" s="711"/>
      <c r="E10" s="711"/>
      <c r="F10" s="711"/>
      <c r="G10" s="711"/>
      <c r="H10" s="711"/>
    </row>
    <row r="11" spans="2:16">
      <c r="C11" s="21"/>
      <c r="D11" s="22"/>
    </row>
    <row r="12" spans="2:16">
      <c r="B12" s="440" t="str">
        <f>CHOOSE(jezyk,n!A8,n!B8,n!C8,n!D8)</f>
        <v>Wprowadź odpowiednie dane:</v>
      </c>
      <c r="C12" s="21"/>
      <c r="D12" s="22"/>
    </row>
    <row r="14" spans="2:16">
      <c r="B14" s="22" t="s">
        <v>4355</v>
      </c>
      <c r="C14" s="21"/>
      <c r="D14" s="24">
        <v>1</v>
      </c>
      <c r="L14" s="705"/>
      <c r="M14" s="67"/>
      <c r="N14" s="67"/>
      <c r="O14" s="67"/>
      <c r="P14" s="67"/>
    </row>
    <row r="15" spans="2:16">
      <c r="B15" s="22" t="s">
        <v>4356</v>
      </c>
      <c r="C15" s="73"/>
      <c r="D15" s="64">
        <v>2024</v>
      </c>
      <c r="E15" s="614" t="str">
        <f>IF(LEN(ro)&gt;4,LEFT(ro,4)&amp;"_"&amp;RIGHT(ro,4),"")</f>
        <v/>
      </c>
      <c r="L15" s="241"/>
      <c r="M15" s="241"/>
      <c r="N15" s="241"/>
      <c r="O15" s="241"/>
      <c r="P15" s="241"/>
    </row>
    <row r="16" spans="2:16">
      <c r="B16" s="21" t="str">
        <f>CHOOSE(jezyk,n!A9,n!B9,n!C9,n!D9)</f>
        <v>nazwa Spółki</v>
      </c>
      <c r="C16" s="442"/>
      <c r="D16" s="17" t="s">
        <v>4357</v>
      </c>
      <c r="E16" s="17"/>
      <c r="F16" s="21"/>
      <c r="G16" s="21" t="s">
        <v>4358</v>
      </c>
      <c r="H16" s="73">
        <v>1</v>
      </c>
      <c r="L16" s="66"/>
      <c r="M16" s="66"/>
      <c r="N16" s="67"/>
      <c r="O16" s="66"/>
      <c r="P16" s="66"/>
    </row>
    <row r="17" spans="2:18">
      <c r="B17" s="21" t="str">
        <f>CHOOSE(jezyk,n!A10,n!B10,n!C10,n!D10)</f>
        <v>ulica i numer</v>
      </c>
      <c r="C17" s="442"/>
      <c r="D17" s="17" t="s">
        <v>4359</v>
      </c>
      <c r="E17" s="17"/>
      <c r="F17" s="21"/>
      <c r="G17" s="21" t="s">
        <v>4360</v>
      </c>
      <c r="H17" s="677">
        <v>7011174664</v>
      </c>
      <c r="L17" s="66"/>
      <c r="M17" s="66"/>
      <c r="N17" s="67"/>
      <c r="O17" s="66"/>
      <c r="P17" s="66"/>
    </row>
    <row r="18" spans="2:18">
      <c r="B18" s="21" t="str">
        <f>CHOOSE(jezyk,n!A11,n!B11,n!C11,n!D11)</f>
        <v>kod pocztowy</v>
      </c>
      <c r="C18" s="442"/>
      <c r="D18" s="17" t="s">
        <v>4361</v>
      </c>
      <c r="E18" s="17"/>
      <c r="F18" s="21"/>
      <c r="G18" s="21" t="s">
        <v>4362</v>
      </c>
      <c r="H18" s="676">
        <v>1069165</v>
      </c>
      <c r="L18" s="66"/>
      <c r="M18" s="66"/>
      <c r="N18" s="67"/>
      <c r="O18" s="66"/>
      <c r="P18" s="66"/>
    </row>
    <row r="19" spans="2:18">
      <c r="B19" s="21" t="str">
        <f>CHOOSE(jezyk,n!A12,n!B12,n!C12,n!D12)</f>
        <v>siedziba</v>
      </c>
      <c r="C19" s="442"/>
      <c r="D19" s="17" t="s">
        <v>4363</v>
      </c>
      <c r="E19" s="17"/>
      <c r="F19" s="21"/>
      <c r="G19" s="21"/>
      <c r="H19" s="33" t="s">
        <v>4364</v>
      </c>
    </row>
    <row r="20" spans="2:18">
      <c r="B20" s="21"/>
      <c r="C20" s="442"/>
      <c r="D20" s="442"/>
      <c r="E20" s="442"/>
      <c r="F20" s="442"/>
      <c r="G20" s="442"/>
      <c r="H20" s="442"/>
      <c r="L20" s="66"/>
      <c r="M20" s="66"/>
      <c r="N20" s="67"/>
      <c r="O20" s="66"/>
      <c r="P20" s="66"/>
    </row>
    <row r="21" spans="2:18">
      <c r="B21" s="21" t="s">
        <v>4365</v>
      </c>
      <c r="C21" s="442"/>
      <c r="D21" s="442" t="str">
        <f>CHOOSE(jezyk,n!A27,n!B27,n!C27,n!D27)</f>
        <v>Sprawozdanie finansowe sporządzone za rok obrotowy 2024</v>
      </c>
      <c r="E21" s="442"/>
      <c r="F21" s="442"/>
      <c r="G21" s="442"/>
      <c r="H21" s="442"/>
      <c r="L21" s="66"/>
      <c r="M21" s="66"/>
      <c r="N21" s="67"/>
      <c r="O21" s="66"/>
      <c r="P21" s="66"/>
    </row>
    <row r="22" spans="2:18" ht="21" customHeight="1">
      <c r="B22" s="695" t="s">
        <v>4366</v>
      </c>
      <c r="C22" s="694" t="s">
        <v>4367</v>
      </c>
      <c r="D22" s="442" t="s">
        <v>67</v>
      </c>
      <c r="E22" s="442" t="s">
        <v>68</v>
      </c>
      <c r="F22" s="442" t="s">
        <v>69</v>
      </c>
      <c r="G22" s="442"/>
      <c r="H22" s="442"/>
      <c r="L22" s="66"/>
      <c r="M22" s="66"/>
      <c r="N22" s="67"/>
      <c r="O22" s="66"/>
      <c r="P22" s="66"/>
    </row>
    <row r="23" spans="2:18">
      <c r="B23" s="21" t="str">
        <f>CHOOSE(jezyk,n!A13,n!B13,n!C13,n!D13)</f>
        <v>Dzień bilansowy</v>
      </c>
      <c r="C23" s="21"/>
      <c r="D23" s="25" t="str">
        <f>(IF(D26&lt;10,"0"&amp;D26,D26)&amp;"."&amp;(IF(D25&lt;10,"0"&amp;D25,D25)&amp;"."&amp;D24))</f>
        <v>31.12.2024</v>
      </c>
      <c r="E23" s="25" t="s">
        <v>4368</v>
      </c>
    </row>
    <row r="24" spans="2:18">
      <c r="B24" s="21" t="str">
        <f>CHOOSE(jezyk,n!A14,n!B14,n!C14,n!D14)</f>
        <v>rok</v>
      </c>
      <c r="C24" s="21"/>
      <c r="D24" s="26">
        <v>2024</v>
      </c>
      <c r="L24" s="706"/>
      <c r="M24" s="66"/>
      <c r="N24" s="66"/>
      <c r="O24" s="67"/>
      <c r="P24" s="67"/>
      <c r="Q24" s="67"/>
      <c r="R24" s="67"/>
    </row>
    <row r="25" spans="2:18">
      <c r="B25" s="21" t="str">
        <f>CHOOSE(jezyk,n!A15,n!B15,n!C15,n!D15)</f>
        <v>miesiąc</v>
      </c>
      <c r="C25" s="21"/>
      <c r="D25" s="27">
        <v>12</v>
      </c>
      <c r="L25" s="241"/>
      <c r="M25" s="241"/>
      <c r="N25" s="241"/>
      <c r="O25" s="241"/>
      <c r="P25" s="241"/>
      <c r="Q25" s="241"/>
      <c r="R25" s="707"/>
    </row>
    <row r="26" spans="2:18">
      <c r="B26" s="21" t="str">
        <f>CHOOSE(jezyk,n!A16,n!B16,n!C16,n!D16)</f>
        <v>dzień</v>
      </c>
      <c r="C26" s="21"/>
      <c r="D26" s="26">
        <v>31</v>
      </c>
      <c r="L26" s="66"/>
      <c r="M26" s="66"/>
      <c r="N26" s="66"/>
      <c r="O26" s="66"/>
      <c r="P26" s="66"/>
      <c r="Q26" s="66"/>
      <c r="R26" s="67"/>
    </row>
    <row r="27" spans="2:18">
      <c r="B27" s="21"/>
      <c r="D27" s="22"/>
      <c r="L27" s="66"/>
      <c r="M27" s="66"/>
      <c r="N27" s="66"/>
      <c r="O27" s="66"/>
      <c r="P27" s="66"/>
      <c r="Q27" s="66"/>
      <c r="R27" s="67"/>
    </row>
    <row r="28" spans="2:18">
      <c r="B28" s="21" t="str">
        <f>CHOOSE(jezyk,n!A17,n!B17,n!C17,n!D17)</f>
        <v>Rok obrotowy rozpoczyna się:</v>
      </c>
      <c r="D28" s="25" t="str">
        <f>(IF(D31&lt;10,"0"&amp;D31,D31)&amp;"."&amp;(IF(D30&lt;10,"0"&amp;D30,D30)&amp;"."&amp;D29))</f>
        <v>01.01.2024</v>
      </c>
      <c r="L28" s="66"/>
      <c r="M28" s="66"/>
      <c r="N28" s="66"/>
      <c r="O28" s="66"/>
      <c r="P28" s="66"/>
      <c r="Q28" s="66"/>
      <c r="R28" s="67"/>
    </row>
    <row r="29" spans="2:18">
      <c r="B29" s="21" t="str">
        <f>CHOOSE(jezyk,n!A14,n!B14,n!C14,n!D14)</f>
        <v>rok</v>
      </c>
      <c r="D29" s="26">
        <v>2024</v>
      </c>
      <c r="L29" s="66"/>
      <c r="M29" s="66"/>
      <c r="N29" s="66"/>
      <c r="O29" s="66"/>
      <c r="P29" s="66"/>
      <c r="Q29" s="66"/>
      <c r="R29" s="67"/>
    </row>
    <row r="30" spans="2:18">
      <c r="B30" s="21" t="str">
        <f>CHOOSE(jezyk,n!A15,n!B15,n!C15,n!D15)</f>
        <v>miesiąc</v>
      </c>
      <c r="D30" s="27">
        <v>1</v>
      </c>
      <c r="L30" s="66"/>
      <c r="M30" s="106"/>
      <c r="N30" s="106"/>
      <c r="O30" s="66"/>
      <c r="P30" s="66"/>
      <c r="Q30" s="66"/>
      <c r="R30" s="67"/>
    </row>
    <row r="31" spans="2:18">
      <c r="B31" s="21" t="str">
        <f>CHOOSE(jezyk,n!A16,n!B16,n!C16,n!D16)</f>
        <v>dzień</v>
      </c>
      <c r="D31" s="26">
        <v>1</v>
      </c>
      <c r="L31" s="66"/>
      <c r="M31" s="66"/>
      <c r="N31" s="66"/>
      <c r="O31" s="66"/>
      <c r="P31" s="66"/>
      <c r="Q31" s="66"/>
      <c r="R31" s="67"/>
    </row>
    <row r="32" spans="2:18" hidden="1">
      <c r="B32" s="21"/>
      <c r="D32" s="28"/>
    </row>
    <row r="33" spans="2:16" hidden="1">
      <c r="B33" s="21" t="str">
        <f>CHOOSE(jezyk,n!A18,n!B18,n!C18,n!D18)</f>
        <v>Poprzedni dzień bilansowy</v>
      </c>
      <c r="D33" s="25" t="str">
        <f>(IF(D36&lt;10,"0"&amp;D36,D36)&amp;"."&amp;(IF(D35&lt;10,"0"&amp;D35,D35)&amp;"."&amp;D34))</f>
        <v>31.12.2023</v>
      </c>
      <c r="E33" s="25" t="str">
        <f>(IF(E36&lt;10,"0"&amp;E36,E36)&amp;"."&amp;(IF(E35&lt;10,"0"&amp;E35,E35)&amp;"."&amp;E34))</f>
        <v>01.01.2023</v>
      </c>
    </row>
    <row r="34" spans="2:16" hidden="1">
      <c r="B34" s="21" t="str">
        <f>CHOOSE(jezyk,n!A14,n!B14,n!C14,n!D14)</f>
        <v>rok</v>
      </c>
      <c r="D34" s="68">
        <f>D24-1</f>
        <v>2023</v>
      </c>
      <c r="E34" s="68">
        <f>IF(D29&lt;&gt;D24,D34-1,D34)</f>
        <v>2023</v>
      </c>
      <c r="G34" s="443"/>
    </row>
    <row r="35" spans="2:16" hidden="1">
      <c r="B35" s="21" t="str">
        <f>CHOOSE(jezyk,n!A15,n!B15,n!C15,n!D15)</f>
        <v>miesiąc</v>
      </c>
      <c r="D35" s="30">
        <f>D25</f>
        <v>12</v>
      </c>
      <c r="E35" s="32">
        <f>D30</f>
        <v>1</v>
      </c>
    </row>
    <row r="36" spans="2:16" hidden="1">
      <c r="B36" s="21" t="str">
        <f>CHOOSE(jezyk,n!A16,n!B16,n!C16,n!D16)</f>
        <v>dzień</v>
      </c>
      <c r="D36" s="29">
        <f>D26</f>
        <v>31</v>
      </c>
      <c r="E36" s="31">
        <f>D31</f>
        <v>1</v>
      </c>
    </row>
    <row r="37" spans="2:16" hidden="1">
      <c r="D37" s="22"/>
    </row>
    <row r="38" spans="2:16" hidden="1">
      <c r="B38" s="22" t="str">
        <f>CHOOSE(jezyk,n!A19,n!B19,n!C19,n!D19)</f>
        <v>Dzień bilansowy sprzed 2 lat</v>
      </c>
      <c r="D38" s="25" t="str">
        <f>(IF(D41&lt;10,"0"&amp;D41,D41)&amp;"."&amp;(IF(D40&lt;10,"0"&amp;D40,D40)&amp;"."&amp;D39))</f>
        <v>31.12.2022</v>
      </c>
      <c r="E38" s="25" t="str">
        <f>(IF(E41&lt;10,"0"&amp;E41,E41)&amp;"."&amp;(IF(E40&lt;10,"0"&amp;E40,E40)&amp;"."&amp;E39))</f>
        <v>01.01.2022</v>
      </c>
    </row>
    <row r="39" spans="2:16" hidden="1">
      <c r="B39" s="21" t="str">
        <f>CHOOSE(jezyk,n!A14,n!B14,n!C14,n!D14)</f>
        <v>rok</v>
      </c>
      <c r="D39" s="68">
        <f>D34-1</f>
        <v>2022</v>
      </c>
      <c r="E39" s="68">
        <f>IF(D29&lt;&gt;D24,D39-1,D39)</f>
        <v>2022</v>
      </c>
    </row>
    <row r="40" spans="2:16" hidden="1">
      <c r="B40" s="21" t="str">
        <f>CHOOSE(jezyk,n!A15,n!B15,n!C15,n!D15)</f>
        <v>miesiąc</v>
      </c>
      <c r="D40" s="32">
        <f>D35</f>
        <v>12</v>
      </c>
      <c r="E40" s="32">
        <f>E35</f>
        <v>1</v>
      </c>
    </row>
    <row r="41" spans="2:16" hidden="1">
      <c r="B41" s="21" t="str">
        <f>CHOOSE(jezyk,n!A16,n!B16,n!C16,n!D16)</f>
        <v>dzień</v>
      </c>
      <c r="D41" s="31">
        <f>D36</f>
        <v>31</v>
      </c>
      <c r="E41" s="31">
        <f>E36</f>
        <v>1</v>
      </c>
    </row>
    <row r="42" spans="2:16">
      <c r="D42" s="22"/>
    </row>
    <row r="43" spans="2:16">
      <c r="B43" s="22" t="str">
        <f>CHOOSE(jezyk,n!A20,n!B20,n!C20,n!D20)</f>
        <v>Spółka sporządza rachunek zysków i strat w wersji</v>
      </c>
      <c r="D43" s="22"/>
      <c r="H43" s="444"/>
      <c r="I43" s="444"/>
    </row>
    <row r="44" spans="2:16" ht="13.5" thickBot="1">
      <c r="B44" s="22" t="str">
        <f>IF(wrach=1,CHOOSE(jezyk,n!A21,n!B21,n!C21,n!D21),CHOOSE(jezyk,n!A22,n!B22,n!C22,n!D22))</f>
        <v>porównawczej</v>
      </c>
      <c r="D44" s="33">
        <v>1</v>
      </c>
      <c r="H44" s="444"/>
      <c r="I44" s="444"/>
    </row>
    <row r="45" spans="2:16">
      <c r="D45" s="22"/>
      <c r="L45" s="445" t="s">
        <v>4369</v>
      </c>
      <c r="M45" s="446"/>
      <c r="N45" s="447" t="s">
        <v>4370</v>
      </c>
      <c r="O45" s="447" t="s">
        <v>4371</v>
      </c>
      <c r="P45" s="448" t="s">
        <v>4372</v>
      </c>
    </row>
    <row r="46" spans="2:16" ht="38.25">
      <c r="B46" s="22" t="str">
        <f>CHOOSE(jezyk,n!A23,n!B23,n!C23,n!D23)</f>
        <v>Spółka sporządza CF w wersji</v>
      </c>
      <c r="D46" s="22"/>
      <c r="L46" s="449">
        <v>2023</v>
      </c>
      <c r="M46" s="450" t="s">
        <v>4373</v>
      </c>
      <c r="N46" s="451" t="str">
        <f>"Dz. U. z "&amp;L46&amp;" r., poz. "&amp;L47&amp;IF(L48="TAK"," z późn. zm.","")</f>
        <v>Dz. U. z 2023 r., poz. 120 z późn. zm.</v>
      </c>
      <c r="O46" s="452" t="str">
        <f>"Dz. U. Jahrgang "&amp;L46&amp;", Pos. "&amp;L47&amp;IF(L48="TAK"," m.Ä.","")</f>
        <v>Dz. U. Jahrgang 2023, Pos. 120 m.Ä.</v>
      </c>
      <c r="P46" s="453" t="str">
        <f>"Journal of Laws of "&amp;L46&amp;", item "&amp;L47&amp;IF(L48="TAK",", as amended","")</f>
        <v>Journal of Laws of 2023, item 120, as amended</v>
      </c>
    </row>
    <row r="47" spans="2:16" ht="16.149999999999999" customHeight="1">
      <c r="B47" s="22" t="str">
        <f>IF(wCF=0,CHOOSE(jezyk,n!A24,n!B24,n!C24,n!D24),IF(wCF=1,CHOOSE(jezyk,n!A25,n!B25,n!C25,n!D25),CHOOSE(jezyk,n!A26,n!B26,n!C26,n!D26)))</f>
        <v>nie sporządza</v>
      </c>
      <c r="D47" s="33">
        <v>0</v>
      </c>
      <c r="L47" s="449">
        <v>120</v>
      </c>
      <c r="M47" s="450" t="s">
        <v>4374</v>
      </c>
      <c r="N47" s="451" t="str">
        <f>"Dz. U. Z "&amp;L46&amp;" r., POZ. "&amp;L47&amp;IF(L48="TAK"," z późn. zm.","")</f>
        <v>Dz. U. Z 2023 r., POZ. 120 z późn. zm.</v>
      </c>
      <c r="O47" s="452" t="str">
        <f>"DZ. U. JAHRGANG "&amp;L46&amp;", POS. "&amp;L47&amp;IF(L48="TAK"," M.Ä.","")</f>
        <v>DZ. U. JAHRGANG 2023, POS. 120 M.Ä.</v>
      </c>
      <c r="P47" s="453" t="str">
        <f>"JOURNAL OF LAWS OF "&amp;L46&amp;", ITEM "&amp;L47&amp;IF(L48="TAK",", AS AMENDED","")</f>
        <v>JOURNAL OF LAWS OF 2023, ITEM 120, AS AMENDED</v>
      </c>
    </row>
    <row r="48" spans="2:16" ht="13.5" thickBot="1">
      <c r="D48" s="22"/>
      <c r="L48" s="454" t="s">
        <v>4375</v>
      </c>
      <c r="M48" s="281" t="s">
        <v>4376</v>
      </c>
      <c r="N48" s="278"/>
      <c r="O48" s="279"/>
      <c r="P48" s="280"/>
    </row>
    <row r="49" spans="2:17">
      <c r="B49" s="22" t="s">
        <v>4377</v>
      </c>
      <c r="D49" s="74">
        <f>IF(wCF=0,0,1)</f>
        <v>0</v>
      </c>
    </row>
    <row r="50" spans="2:17" ht="13.5" thickBot="1">
      <c r="D50" s="22"/>
    </row>
    <row r="51" spans="2:17">
      <c r="B51" s="22" t="s">
        <v>4378</v>
      </c>
      <c r="D51" s="73" t="s">
        <v>4379</v>
      </c>
      <c r="L51" s="668" t="s">
        <v>4380</v>
      </c>
      <c r="M51" s="669" t="str">
        <f>dzb</f>
        <v>31.12.2024</v>
      </c>
      <c r="N51" s="670" t="str">
        <f>pdz</f>
        <v>31.12.2023</v>
      </c>
      <c r="O51" s="22" t="s">
        <v>4381</v>
      </c>
    </row>
    <row r="52" spans="2:17">
      <c r="D52" s="22"/>
      <c r="L52" s="449" t="s">
        <v>67</v>
      </c>
      <c r="M52" s="450">
        <f>VLOOKUP(MONTH(M$51)&amp;"."&amp;YEAR(M$51),kurs_nbp!$A:$F,4,0)</f>
        <v>4.2729999999999997</v>
      </c>
      <c r="N52" s="450">
        <f>VLOOKUP(MONTH(N$51)&amp;"."&amp;YEAR(N$51),kurs_nbp!$A:$F,4,0)</f>
        <v>4.3479999999999999</v>
      </c>
      <c r="O52" s="22" t="s">
        <v>4382</v>
      </c>
      <c r="P52" s="22" t="s">
        <v>4383</v>
      </c>
    </row>
    <row r="53" spans="2:17">
      <c r="B53" s="22" t="str">
        <f>CHOOSE(jezyk,n!A28,n!B28,n!C28,n!D28)</f>
        <v>Data sporządzenia sprawozdania finansowego</v>
      </c>
      <c r="D53" s="25" t="str">
        <f>(IF(D56&lt;10,"0"&amp;D56,D56)&amp;"."&amp;(IF(D55&lt;10,"0"&amp;D55,D55)&amp;"."&amp;D54))</f>
        <v>30.01.2025</v>
      </c>
      <c r="L53" s="449" t="s">
        <v>68</v>
      </c>
      <c r="M53" s="450">
        <f>VLOOKUP(MONTH(M$51)&amp;"."&amp;YEAR(M$51),kurs_nbp!$A:$F,5,0)</f>
        <v>4.1012000000000004</v>
      </c>
      <c r="N53" s="450">
        <f>VLOOKUP(MONTH(N$51)&amp;"."&amp;YEAR(N$51),kurs_nbp!$A:$F,5,0)</f>
        <v>3.9350000000000001</v>
      </c>
      <c r="O53" s="22" t="s">
        <v>4384</v>
      </c>
      <c r="P53" s="22" t="s">
        <v>4385</v>
      </c>
      <c r="Q53" s="22" t="s">
        <v>4386</v>
      </c>
    </row>
    <row r="54" spans="2:17">
      <c r="B54" s="21" t="str">
        <f>CHOOSE(jezyk,n!A14,n!B14,n!C14,n!D14)</f>
        <v>rok</v>
      </c>
      <c r="D54" s="26">
        <v>2025</v>
      </c>
      <c r="L54" s="449" t="s">
        <v>69</v>
      </c>
      <c r="M54" s="450">
        <f>VLOOKUP(MONTH(M$51)&amp;"."&amp;YEAR(M$51),kurs_nbp!$A:$F,6,0)</f>
        <v>5.1487999999999996</v>
      </c>
      <c r="N54" s="450">
        <f>VLOOKUP(MONTH(N$51)&amp;"."&amp;YEAR(N$51),kurs_nbp!$A:$F,6,0)</f>
        <v>4.9996999999999998</v>
      </c>
      <c r="O54" s="22" t="s">
        <v>4387</v>
      </c>
      <c r="P54" s="22" t="s">
        <v>4388</v>
      </c>
      <c r="Q54" s="22" t="s">
        <v>4389</v>
      </c>
    </row>
    <row r="55" spans="2:17">
      <c r="B55" s="21" t="str">
        <f>CHOOSE(jezyk,n!A15,n!B15,n!C15,n!D15)</f>
        <v>miesiąc</v>
      </c>
      <c r="D55" s="27">
        <v>1</v>
      </c>
      <c r="L55" s="449" t="s">
        <v>65</v>
      </c>
      <c r="M55" s="450" t="str">
        <f>VLOOKUP(MONTH(M$51)&amp;"."&amp;YEAR(M$51),kurs_nbp!$A:$F,2,0)</f>
        <v>252/A/NBP/2024</v>
      </c>
      <c r="N55" s="450" t="str">
        <f>VLOOKUP(MONTH(N$51)&amp;"."&amp;YEAR(N$51),kurs_nbp!$A:$F,2,0)</f>
        <v>251/A/NBP/2023</v>
      </c>
    </row>
    <row r="56" spans="2:17" ht="12" customHeight="1" thickBot="1">
      <c r="B56" s="21" t="str">
        <f>CHOOSE(jezyk,n!A16,n!B16,n!C16,n!D16)</f>
        <v>dzień</v>
      </c>
      <c r="D56" s="455">
        <v>30</v>
      </c>
      <c r="L56" s="671" t="s">
        <v>66</v>
      </c>
      <c r="M56" s="692">
        <f>VLOOKUP(MONTH(M$51)&amp;"."&amp;YEAR(M$51),kurs_nbp!$A:$F,3,0)</f>
        <v>45657</v>
      </c>
      <c r="N56" s="692">
        <f>VLOOKUP(MONTH(N$51)&amp;"."&amp;YEAR(N$51),kurs_nbp!$A:$F,3,0)</f>
        <v>45289</v>
      </c>
    </row>
    <row r="57" spans="2:17" hidden="1">
      <c r="B57" s="22" t="s">
        <v>4390</v>
      </c>
      <c r="D57" s="456" t="s">
        <v>4391</v>
      </c>
      <c r="J57" s="457" t="s">
        <v>4392</v>
      </c>
      <c r="M57" s="443"/>
    </row>
    <row r="59" spans="2:17">
      <c r="B59" s="458" t="s">
        <v>4393</v>
      </c>
    </row>
    <row r="61" spans="2:17">
      <c r="B61" s="22" t="s">
        <v>4394</v>
      </c>
      <c r="D61" s="73" t="s">
        <v>4395</v>
      </c>
    </row>
    <row r="62" spans="2:17">
      <c r="B62" s="22" t="s">
        <v>4396</v>
      </c>
      <c r="D62" s="73" t="s">
        <v>4395</v>
      </c>
    </row>
    <row r="63" spans="2:17">
      <c r="B63" s="22" t="s">
        <v>4397</v>
      </c>
      <c r="D63" s="73" t="s">
        <v>4395</v>
      </c>
    </row>
    <row r="64" spans="2:17">
      <c r="B64" s="458" t="str">
        <f>IF(AND(D61="TAK",D62="NIE",D63="TAK"),"WYPEŁNIJ NOTĘ NR 12. W TAKIM PRZYPADKU NIE JEST KONIECZNE SPORZĄDZANIE SZD","SPÓŁKA POWINNA SPORZĄDZIĆ SPRAWOZDANIE Z DZIAŁALNOŚCI")</f>
        <v>SPÓŁKA POWINNA SPORZĄDZIĆ SPRAWOZDANIE Z DZIAŁALNOŚCI</v>
      </c>
    </row>
  </sheetData>
  <autoFilter ref="G16" xr:uid="{00000000-0009-0000-0000-000009000000}"/>
  <mergeCells count="2">
    <mergeCell ref="B1:I1"/>
    <mergeCell ref="B10:H10"/>
  </mergeCells>
  <phoneticPr fontId="12" type="noConversion"/>
  <dataValidations xWindow="728" yWindow="623" count="20">
    <dataValidation type="list" allowBlank="1" showInputMessage="1" showErrorMessage="1" error="wpisz liczbę z zakresu 1-12" promptTitle="Miesiąc" prompt="Podaj wartość między 1, a 12 (włącznie)" sqref="D25 D30 D35:E35 D55 E40" xr:uid="{00000000-0002-0000-0900-000000000000}">
      <formula1>"1,2,3,4,5,6,7,8,9,10,11,12"</formula1>
    </dataValidation>
    <dataValidation type="list" allowBlank="1" showInputMessage="1" showErrorMessage="1" errorTitle="Nieprawidłowa wartość." error="Wybierz:_x000a_1 - język polski_x000a_2 - Deutsch_x000a_3 - english_x000a_4 - pozycja wolna (nieaktywne)" promptTitle="Wybierz język" prompt="1 - język polski_x000a_2 - Deutsch_x000a_3 - english_x000a_4 - pozycja wolna (nieaktywna)_x000a_" sqref="D14" xr:uid="{00000000-0002-0000-0900-000001000000}">
      <formula1>"1,2,3,4"</formula1>
    </dataValidation>
    <dataValidation type="list" allowBlank="1" showInputMessage="1" showErrorMessage="1" promptTitle="Dzień bilansowy" prompt="Podaj wartość między 28, a 31 (włącznie)" sqref="D26" xr:uid="{00000000-0002-0000-0900-000002000000}">
      <formula1>"28,29,30,31"</formula1>
    </dataValidation>
    <dataValidation type="decimal" allowBlank="1" showInputMessage="1" showErrorMessage="1" promptTitle="Dzień bilansowy" prompt="Podaj wartość między 1, a 31 (włącznie)" sqref="D36 D41" xr:uid="{00000000-0002-0000-0900-000003000000}">
      <formula1>1</formula1>
      <formula2>31</formula2>
    </dataValidation>
    <dataValidation type="list" allowBlank="1" showInputMessage="1" showErrorMessage="1" error="Wprowadź:_x000a_1 - dla wersji porównawczej rachunku zysków i strat,_x000a_2 - dla wersji kalkulacyjnej rachunku zysków i strat" prompt="1 - porównawczej, Gesamtkostenverfahren, nature_x000a_2 - kalkulacyjnej, Umsatzkostenverfahren, function" sqref="D44" xr:uid="{00000000-0002-0000-0900-000004000000}">
      <formula1>"1,2"</formula1>
    </dataValidation>
    <dataValidation type="list" operator="equal" allowBlank="1" showInputMessage="1" showErrorMessage="1" prompt="siedzibą: jest (np. Warszawa); są (np. Tychy)" sqref="H19" xr:uid="{00000000-0002-0000-0900-000005000000}">
      <formula1>"jest,są"</formula1>
    </dataValidation>
    <dataValidation type="list" allowBlank="1" showInputMessage="1" showErrorMessage="1" prompt="0- nie dotyczy; betrifft nicht; not applicable_x000a_1- bezpośredniej, direkte, direct_x000a_2- pośredniej, indirekte, indirect " sqref="D47" xr:uid="{00000000-0002-0000-0900-000006000000}">
      <formula1>"0,1,2"</formula1>
    </dataValidation>
    <dataValidation type="list" allowBlank="1" showInputMessage="1" showErrorMessage="1" promptTitle="Miesiąc" prompt="Podaj wartość między 1, a 12 (włącznie)" sqref="D40" xr:uid="{00000000-0002-0000-0900-000007000000}">
      <formula1>"1,2,3,4,5,6,7,8,9,10,11,12"</formula1>
    </dataValidation>
    <dataValidation type="decimal" allowBlank="1" showInputMessage="1" showErrorMessage="1" promptTitle="Dzień bilansowy" prompt="Podaj wartość między 28, a 31 (włącznie)" sqref="D31 E36 E41" xr:uid="{00000000-0002-0000-0900-000008000000}">
      <formula1>1</formula1>
      <formula2>31</formula2>
    </dataValidation>
    <dataValidation type="list" allowBlank="1" showInputMessage="1" showErrorMessage="1" promptTitle="Rok badany" prompt="Podaj wartość między 1997, a rokiem bieżącym (włącznie)" sqref="D24 D29 D39:E39 D34:E34" xr:uid="{00000000-0002-0000-0900-000009000000}">
      <formula1>"2016,2017,2018,2019,2020,2021,2022,2023,2024,2025,2026"</formula1>
    </dataValidation>
    <dataValidation type="list" allowBlank="1" showInputMessage="1" showErrorMessage="1" sqref="D61:D63 L48" xr:uid="{00000000-0002-0000-0900-00000E000000}">
      <formula1>"TAK,NIE"</formula1>
    </dataValidation>
    <dataValidation type="list" allowBlank="1" showInputMessage="1" showErrorMessage="1" prompt="0- nie sporządza_x000a_1- sporządza" sqref="D49" xr:uid="{00000000-0002-0000-0900-000010000000}">
      <formula1>"0,1"</formula1>
    </dataValidation>
    <dataValidation type="list" allowBlank="1" showInputMessage="1" showErrorMessage="1" promptTitle="Rok badany" prompt="Podaj wartość między 1997, a rokiem bieżącym (włącznie)" sqref="D54" xr:uid="{00000000-0002-0000-0900-000011000000}">
      <formula1>"2018,2019,2020,2021,2022,2023,2024,2025,2026,2027"</formula1>
    </dataValidation>
    <dataValidation type="list" allowBlank="1" showInputMessage="1" showErrorMessage="1" prompt="W przypadku uzupełnienia tak zostanie dodana 3-cia kolumna do Bilansu po korektach i RZISPor po korektach oraz uzupełnią się odpowiednio dane do schemy JPK." sqref="D51" xr:uid="{00000000-0002-0000-0900-000015000000}">
      <formula1>"tak,nie"</formula1>
    </dataValidation>
    <dataValidation type="list" allowBlank="1" showInputMessage="1" showErrorMessage="1" prompt="1- Sp. z o.o._x000a_2 - SA_x000a_3 - inne" sqref="H16" xr:uid="{00000000-0002-0000-0900-00001D000000}">
      <formula1>"1,2,3"</formula1>
    </dataValidation>
    <dataValidation type="textLength" allowBlank="1" showInputMessage="1" showErrorMessage="1" error="Podany numer NIP ma nieprawidłową ilość cyfr." sqref="H17" xr:uid="{4779B9F0-170C-4663-AB2C-BDC9FC678051}">
      <formula1>10</formula1>
      <formula2>10</formula2>
    </dataValidation>
    <dataValidation type="textLength" allowBlank="1" showInputMessage="1" showErrorMessage="1" errorTitle="Niepoprawny numer KRS" error="Wpisany numer KRS jest za długi!" sqref="H18" xr:uid="{58CB41E4-A09D-4B03-86A0-A666E3243842}">
      <formula1>1</formula1>
      <formula2>10</formula2>
    </dataValidation>
    <dataValidation type="textLength" allowBlank="1" showInputMessage="1" showErrorMessage="1" errorTitle="Błędny rok obrotowy" error="Rok obrotowy może być wprowadzony tylko w takiej postaci 2023 lub 2022/2023" sqref="D15" xr:uid="{2467879B-8A4B-40A9-B77E-12DF1A3B081C}">
      <formula1>4</formula1>
      <formula2>9</formula2>
    </dataValidation>
    <dataValidation type="list" allowBlank="1" showInputMessage="1" showErrorMessage="1" sqref="C22" xr:uid="{4E063C90-4780-44A7-996D-99CE332ED783}">
      <formula1>"jedna,dwie,trzy"</formula1>
    </dataValidation>
    <dataValidation type="list" allowBlank="1" showInputMessage="1" showErrorMessage="1" sqref="D22:F22" xr:uid="{B0B1640F-09BD-44C5-9490-9C957097D369}">
      <formula1>"Wskaż,EUR,USD,GBP"</formula1>
    </dataValidation>
  </dataValidations>
  <hyperlinks>
    <hyperlink ref="B1:I1" location="'spis treści'!A1" display="SPIS TREŚCI" xr:uid="{00000000-0004-0000-0900-000000000000}"/>
  </hyperlinks>
  <printOptions horizontalCentered="1" verticalCentered="1"/>
  <pageMargins left="0.78740157480314965" right="0.78740157480314965" top="0.98425196850393704" bottom="0.98425196850393704" header="0.51181102362204722" footer="0.51181102362204722"/>
  <pageSetup paperSize="9" scale="64" orientation="portrait" horizontalDpi="360" verticalDpi="360" r:id="rId1"/>
  <headerFooter>
    <oddHeader>&amp;C wprowadzenie&amp;R&amp;"GoldenOldStyle,Regular"&amp;24Rödl &amp;&amp; Partner</oddHeader>
    <oddFooter>&amp;R&amp;F
&amp;D</oddFooter>
  </headerFooter>
  <ignoredErrors>
    <ignoredError sqref="D28 D23 D53" unlocked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47"/>
  <dimension ref="A1:D656"/>
  <sheetViews>
    <sheetView topLeftCell="A630" workbookViewId="0"/>
  </sheetViews>
  <sheetFormatPr defaultColWidth="8.85546875" defaultRowHeight="12.75"/>
  <cols>
    <col min="1" max="1" width="8.85546875" style="67"/>
    <col min="2" max="3" width="118.28515625" style="67" customWidth="1"/>
    <col min="4" max="4" width="144" style="67" bestFit="1" customWidth="1"/>
    <col min="5" max="16384" width="8.85546875" style="67"/>
  </cols>
  <sheetData>
    <row r="1" spans="1:4" ht="15">
      <c r="A1" s="314" t="s">
        <v>4398</v>
      </c>
      <c r="B1" s="314" t="s">
        <v>4399</v>
      </c>
      <c r="C1" s="314" t="s">
        <v>1652</v>
      </c>
    </row>
    <row r="2" spans="1:4" ht="15">
      <c r="A2" s="314" t="s">
        <v>4400</v>
      </c>
      <c r="B2" s="314" t="s">
        <v>4401</v>
      </c>
      <c r="C2" s="314" t="s">
        <v>4402</v>
      </c>
      <c r="D2" s="461" t="s">
        <v>4401</v>
      </c>
    </row>
    <row r="3" spans="1:4" ht="15">
      <c r="A3" s="314" t="s">
        <v>4403</v>
      </c>
      <c r="B3" s="314" t="s">
        <v>4404</v>
      </c>
      <c r="C3" s="314" t="s">
        <v>4405</v>
      </c>
      <c r="D3" s="67" t="s">
        <v>4406</v>
      </c>
    </row>
    <row r="4" spans="1:4" ht="15">
      <c r="A4" s="314" t="s">
        <v>4407</v>
      </c>
      <c r="B4" s="314" t="s">
        <v>4408</v>
      </c>
      <c r="C4" s="314" t="s">
        <v>4409</v>
      </c>
      <c r="D4" s="67" t="s">
        <v>4410</v>
      </c>
    </row>
    <row r="5" spans="1:4" ht="15">
      <c r="A5" s="314" t="s">
        <v>4411</v>
      </c>
      <c r="B5" s="314" t="s">
        <v>4412</v>
      </c>
      <c r="C5" s="314" t="s">
        <v>4413</v>
      </c>
      <c r="D5" s="67" t="s">
        <v>4414</v>
      </c>
    </row>
    <row r="6" spans="1:4" ht="15">
      <c r="A6" s="314" t="s">
        <v>4415</v>
      </c>
      <c r="B6" s="314" t="s">
        <v>4416</v>
      </c>
      <c r="C6" s="314" t="s">
        <v>4417</v>
      </c>
      <c r="D6" s="67" t="s">
        <v>4418</v>
      </c>
    </row>
    <row r="7" spans="1:4" ht="15">
      <c r="A7" s="314" t="s">
        <v>4419</v>
      </c>
      <c r="B7" s="314" t="s">
        <v>4420</v>
      </c>
      <c r="C7" s="314" t="s">
        <v>4421</v>
      </c>
      <c r="D7" s="461" t="s">
        <v>4420</v>
      </c>
    </row>
    <row r="8" spans="1:4" ht="15">
      <c r="A8" s="314" t="s">
        <v>4422</v>
      </c>
      <c r="B8" s="314" t="s">
        <v>4423</v>
      </c>
      <c r="C8" s="314" t="s">
        <v>4424</v>
      </c>
      <c r="D8" s="461" t="s">
        <v>4423</v>
      </c>
    </row>
    <row r="9" spans="1:4" ht="15">
      <c r="A9" s="314" t="s">
        <v>4425</v>
      </c>
      <c r="B9" s="314" t="s">
        <v>4426</v>
      </c>
      <c r="C9" s="314" t="s">
        <v>4427</v>
      </c>
      <c r="D9" s="67" t="s">
        <v>4428</v>
      </c>
    </row>
    <row r="10" spans="1:4" ht="15">
      <c r="A10" s="314" t="s">
        <v>4429</v>
      </c>
      <c r="B10" s="314" t="s">
        <v>4430</v>
      </c>
      <c r="C10" s="314" t="s">
        <v>4431</v>
      </c>
      <c r="D10" s="461" t="s">
        <v>4430</v>
      </c>
    </row>
    <row r="11" spans="1:4" ht="15">
      <c r="A11" s="314" t="s">
        <v>4432</v>
      </c>
      <c r="B11" s="314" t="s">
        <v>4433</v>
      </c>
      <c r="C11" s="314" t="s">
        <v>4434</v>
      </c>
      <c r="D11" s="461" t="s">
        <v>4433</v>
      </c>
    </row>
    <row r="12" spans="1:4" ht="15">
      <c r="A12" s="314" t="s">
        <v>4435</v>
      </c>
      <c r="B12" s="314" t="s">
        <v>4436</v>
      </c>
      <c r="C12" s="314" t="s">
        <v>4437</v>
      </c>
      <c r="D12" s="461" t="s">
        <v>4436</v>
      </c>
    </row>
    <row r="13" spans="1:4" ht="15">
      <c r="A13" s="314" t="s">
        <v>4438</v>
      </c>
      <c r="B13" s="314" t="s">
        <v>4439</v>
      </c>
      <c r="C13" s="314" t="s">
        <v>4440</v>
      </c>
      <c r="D13" s="461" t="s">
        <v>4439</v>
      </c>
    </row>
    <row r="14" spans="1:4" ht="15">
      <c r="A14" s="314" t="s">
        <v>4441</v>
      </c>
      <c r="B14" s="314" t="s">
        <v>4442</v>
      </c>
      <c r="C14" s="314" t="s">
        <v>4443</v>
      </c>
      <c r="D14" s="461" t="s">
        <v>4442</v>
      </c>
    </row>
    <row r="15" spans="1:4" ht="15">
      <c r="A15" s="314" t="s">
        <v>4444</v>
      </c>
      <c r="B15" s="314" t="s">
        <v>4445</v>
      </c>
      <c r="C15" s="314" t="s">
        <v>4446</v>
      </c>
      <c r="D15" s="461" t="s">
        <v>4445</v>
      </c>
    </row>
    <row r="16" spans="1:4" ht="15">
      <c r="A16" s="314" t="s">
        <v>4447</v>
      </c>
      <c r="B16" s="314" t="s">
        <v>4448</v>
      </c>
      <c r="C16" s="314" t="s">
        <v>4449</v>
      </c>
      <c r="D16" s="461" t="s">
        <v>4448</v>
      </c>
    </row>
    <row r="17" spans="1:4" ht="15">
      <c r="A17" s="314" t="s">
        <v>4450</v>
      </c>
      <c r="B17" s="314" t="s">
        <v>4451</v>
      </c>
      <c r="C17" s="314" t="s">
        <v>4452</v>
      </c>
      <c r="D17" s="461" t="s">
        <v>4451</v>
      </c>
    </row>
    <row r="18" spans="1:4" ht="15">
      <c r="A18" s="314" t="s">
        <v>4453</v>
      </c>
      <c r="B18" s="314" t="s">
        <v>4454</v>
      </c>
      <c r="C18" s="314" t="s">
        <v>4455</v>
      </c>
      <c r="D18" s="461" t="s">
        <v>4454</v>
      </c>
    </row>
    <row r="19" spans="1:4" ht="15">
      <c r="A19" s="314" t="s">
        <v>4456</v>
      </c>
      <c r="B19" s="314" t="s">
        <v>4457</v>
      </c>
      <c r="C19" s="314" t="s">
        <v>4458</v>
      </c>
      <c r="D19" s="461" t="s">
        <v>4457</v>
      </c>
    </row>
    <row r="20" spans="1:4" ht="15">
      <c r="A20" s="314" t="s">
        <v>4459</v>
      </c>
      <c r="B20" s="314" t="s">
        <v>4460</v>
      </c>
      <c r="C20" s="314" t="s">
        <v>4461</v>
      </c>
      <c r="D20" s="461" t="s">
        <v>4460</v>
      </c>
    </row>
    <row r="21" spans="1:4" ht="15">
      <c r="A21" s="314" t="s">
        <v>4462</v>
      </c>
      <c r="B21" s="314" t="s">
        <v>4463</v>
      </c>
      <c r="C21" s="314" t="s">
        <v>4464</v>
      </c>
      <c r="D21" s="461" t="s">
        <v>4463</v>
      </c>
    </row>
    <row r="22" spans="1:4" ht="15">
      <c r="A22" s="314" t="s">
        <v>4465</v>
      </c>
      <c r="B22" s="314" t="s">
        <v>4466</v>
      </c>
      <c r="C22" s="314" t="s">
        <v>4467</v>
      </c>
      <c r="D22" s="461" t="s">
        <v>4466</v>
      </c>
    </row>
    <row r="23" spans="1:4" ht="15">
      <c r="A23" s="314" t="s">
        <v>4468</v>
      </c>
      <c r="B23" s="314" t="s">
        <v>4469</v>
      </c>
      <c r="C23" s="314" t="s">
        <v>4470</v>
      </c>
      <c r="D23" s="461" t="s">
        <v>4469</v>
      </c>
    </row>
    <row r="24" spans="1:4" ht="15">
      <c r="A24" s="314" t="s">
        <v>4471</v>
      </c>
      <c r="B24" s="314" t="s">
        <v>4472</v>
      </c>
      <c r="C24" s="314" t="s">
        <v>4473</v>
      </c>
      <c r="D24" s="461" t="s">
        <v>4472</v>
      </c>
    </row>
    <row r="25" spans="1:4" ht="15">
      <c r="A25" s="314" t="s">
        <v>4474</v>
      </c>
      <c r="B25" s="314" t="s">
        <v>4475</v>
      </c>
      <c r="C25" s="314" t="s">
        <v>4476</v>
      </c>
      <c r="D25" s="461" t="s">
        <v>4475</v>
      </c>
    </row>
    <row r="26" spans="1:4" ht="15">
      <c r="A26" s="314" t="s">
        <v>4477</v>
      </c>
      <c r="B26" s="314" t="s">
        <v>4478</v>
      </c>
      <c r="C26" s="314" t="s">
        <v>4479</v>
      </c>
      <c r="D26" s="461" t="s">
        <v>4478</v>
      </c>
    </row>
    <row r="27" spans="1:4" ht="15">
      <c r="A27" s="314" t="s">
        <v>4480</v>
      </c>
      <c r="B27" s="314" t="s">
        <v>4481</v>
      </c>
      <c r="C27" s="314" t="s">
        <v>4482</v>
      </c>
      <c r="D27" s="461" t="s">
        <v>4481</v>
      </c>
    </row>
    <row r="28" spans="1:4" ht="15">
      <c r="A28" s="314" t="s">
        <v>4483</v>
      </c>
      <c r="B28" s="314" t="s">
        <v>4484</v>
      </c>
      <c r="C28" s="314" t="s">
        <v>4485</v>
      </c>
      <c r="D28" s="461" t="s">
        <v>4484</v>
      </c>
    </row>
    <row r="29" spans="1:4" ht="15">
      <c r="A29" s="314" t="s">
        <v>4486</v>
      </c>
      <c r="B29" s="314" t="s">
        <v>4487</v>
      </c>
      <c r="C29" s="314" t="s">
        <v>4488</v>
      </c>
      <c r="D29" s="461" t="s">
        <v>4487</v>
      </c>
    </row>
    <row r="30" spans="1:4" ht="15">
      <c r="A30" s="314" t="s">
        <v>4489</v>
      </c>
      <c r="B30" s="314" t="s">
        <v>4490</v>
      </c>
      <c r="C30" s="314" t="s">
        <v>4491</v>
      </c>
      <c r="D30" s="461" t="s">
        <v>4490</v>
      </c>
    </row>
    <row r="31" spans="1:4" ht="15">
      <c r="A31" s="314" t="s">
        <v>4492</v>
      </c>
      <c r="B31" s="314" t="s">
        <v>4493</v>
      </c>
      <c r="C31" s="314" t="s">
        <v>4494</v>
      </c>
      <c r="D31" s="461" t="s">
        <v>4493</v>
      </c>
    </row>
    <row r="32" spans="1:4" ht="15">
      <c r="A32" s="314" t="s">
        <v>4495</v>
      </c>
      <c r="B32" s="314" t="s">
        <v>4496</v>
      </c>
      <c r="C32" s="314" t="s">
        <v>4497</v>
      </c>
      <c r="D32" s="461" t="s">
        <v>4496</v>
      </c>
    </row>
    <row r="33" spans="1:4" ht="15">
      <c r="A33" s="314" t="s">
        <v>4498</v>
      </c>
      <c r="B33" s="314" t="s">
        <v>4499</v>
      </c>
      <c r="C33" s="314" t="s">
        <v>4500</v>
      </c>
      <c r="D33" s="461" t="s">
        <v>4499</v>
      </c>
    </row>
    <row r="34" spans="1:4" ht="15">
      <c r="A34" s="314" t="s">
        <v>4501</v>
      </c>
      <c r="B34" s="314" t="s">
        <v>4502</v>
      </c>
      <c r="C34" s="314" t="s">
        <v>4503</v>
      </c>
      <c r="D34" s="461" t="s">
        <v>4502</v>
      </c>
    </row>
    <row r="35" spans="1:4" ht="15">
      <c r="A35" s="314" t="s">
        <v>4504</v>
      </c>
      <c r="B35" s="314" t="s">
        <v>4505</v>
      </c>
      <c r="C35" s="314" t="s">
        <v>4506</v>
      </c>
      <c r="D35" s="461" t="s">
        <v>4505</v>
      </c>
    </row>
    <row r="36" spans="1:4" ht="15">
      <c r="A36" s="314" t="s">
        <v>4507</v>
      </c>
      <c r="B36" s="314" t="s">
        <v>4508</v>
      </c>
      <c r="C36" s="314" t="s">
        <v>4509</v>
      </c>
      <c r="D36" s="67" t="s">
        <v>4510</v>
      </c>
    </row>
    <row r="37" spans="1:4" ht="15">
      <c r="A37" s="314" t="s">
        <v>4511</v>
      </c>
      <c r="B37" s="314" t="s">
        <v>4512</v>
      </c>
      <c r="C37" s="316" t="s">
        <v>4512</v>
      </c>
      <c r="D37" s="461" t="s">
        <v>4512</v>
      </c>
    </row>
    <row r="38" spans="1:4" ht="15">
      <c r="A38" s="314" t="s">
        <v>4513</v>
      </c>
      <c r="B38" s="314" t="s">
        <v>4514</v>
      </c>
      <c r="C38" s="316" t="s">
        <v>4514</v>
      </c>
      <c r="D38" s="461" t="s">
        <v>4514</v>
      </c>
    </row>
    <row r="39" spans="1:4" ht="15">
      <c r="A39" s="314" t="s">
        <v>4515</v>
      </c>
      <c r="B39" s="314" t="s">
        <v>4516</v>
      </c>
      <c r="C39" s="316" t="s">
        <v>4516</v>
      </c>
      <c r="D39" s="461" t="s">
        <v>4516</v>
      </c>
    </row>
    <row r="40" spans="1:4" ht="15">
      <c r="A40" s="314" t="s">
        <v>4517</v>
      </c>
      <c r="B40" s="314" t="s">
        <v>4518</v>
      </c>
      <c r="C40" s="316" t="s">
        <v>4518</v>
      </c>
      <c r="D40" s="461" t="s">
        <v>4518</v>
      </c>
    </row>
    <row r="41" spans="1:4" ht="15">
      <c r="A41" s="314" t="s">
        <v>4519</v>
      </c>
      <c r="B41" s="314" t="s">
        <v>4520</v>
      </c>
      <c r="C41" s="314" t="s">
        <v>4521</v>
      </c>
      <c r="D41" s="461" t="s">
        <v>4520</v>
      </c>
    </row>
    <row r="42" spans="1:4" ht="15">
      <c r="A42" s="314" t="s">
        <v>4522</v>
      </c>
      <c r="B42" s="314" t="s">
        <v>4523</v>
      </c>
      <c r="C42" s="314" t="s">
        <v>4524</v>
      </c>
      <c r="D42" s="461" t="s">
        <v>4523</v>
      </c>
    </row>
    <row r="43" spans="1:4" ht="15">
      <c r="A43" s="314" t="s">
        <v>4525</v>
      </c>
      <c r="B43" s="314" t="s">
        <v>4526</v>
      </c>
      <c r="C43" s="314" t="s">
        <v>4527</v>
      </c>
      <c r="D43" s="461" t="s">
        <v>4526</v>
      </c>
    </row>
    <row r="44" spans="1:4" ht="15">
      <c r="A44" s="314" t="s">
        <v>4528</v>
      </c>
      <c r="B44" s="314" t="s">
        <v>4529</v>
      </c>
      <c r="C44" s="314" t="s">
        <v>4530</v>
      </c>
      <c r="D44" s="461" t="s">
        <v>4529</v>
      </c>
    </row>
    <row r="45" spans="1:4" ht="15">
      <c r="A45" s="314" t="s">
        <v>4531</v>
      </c>
      <c r="B45" s="314" t="s">
        <v>4532</v>
      </c>
      <c r="C45" s="314" t="s">
        <v>4533</v>
      </c>
      <c r="D45" s="461" t="s">
        <v>4532</v>
      </c>
    </row>
    <row r="46" spans="1:4" ht="15">
      <c r="A46" s="314" t="s">
        <v>4534</v>
      </c>
      <c r="B46" s="314" t="s">
        <v>4535</v>
      </c>
      <c r="C46" s="314" t="s">
        <v>4536</v>
      </c>
      <c r="D46" s="461" t="s">
        <v>4535</v>
      </c>
    </row>
    <row r="47" spans="1:4" ht="15">
      <c r="A47" s="314" t="s">
        <v>4537</v>
      </c>
      <c r="B47" s="314" t="s">
        <v>4538</v>
      </c>
      <c r="C47" s="314" t="s">
        <v>4539</v>
      </c>
      <c r="D47" s="461" t="s">
        <v>4538</v>
      </c>
    </row>
    <row r="48" spans="1:4" ht="15">
      <c r="A48" s="314" t="s">
        <v>4540</v>
      </c>
      <c r="B48" s="314" t="s">
        <v>4541</v>
      </c>
      <c r="C48" s="314" t="s">
        <v>4542</v>
      </c>
      <c r="D48" s="461" t="s">
        <v>4541</v>
      </c>
    </row>
    <row r="49" spans="1:4" ht="15">
      <c r="A49" s="314" t="s">
        <v>4543</v>
      </c>
      <c r="B49" s="314" t="s">
        <v>4544</v>
      </c>
      <c r="C49" s="314" t="s">
        <v>4545</v>
      </c>
      <c r="D49" s="461" t="s">
        <v>4544</v>
      </c>
    </row>
    <row r="50" spans="1:4" ht="15">
      <c r="A50" s="314" t="s">
        <v>4546</v>
      </c>
      <c r="B50" s="314" t="s">
        <v>4547</v>
      </c>
      <c r="C50" s="314" t="s">
        <v>4548</v>
      </c>
      <c r="D50" s="461" t="s">
        <v>4547</v>
      </c>
    </row>
    <row r="51" spans="1:4" ht="15">
      <c r="A51" s="314" t="s">
        <v>4549</v>
      </c>
      <c r="B51" s="314" t="s">
        <v>4550</v>
      </c>
      <c r="C51" s="314" t="s">
        <v>4551</v>
      </c>
      <c r="D51" s="461" t="s">
        <v>4550</v>
      </c>
    </row>
    <row r="52" spans="1:4" ht="15">
      <c r="A52" s="314" t="s">
        <v>4552</v>
      </c>
      <c r="B52" s="314" t="s">
        <v>4553</v>
      </c>
      <c r="C52" s="314" t="s">
        <v>4554</v>
      </c>
      <c r="D52" s="461" t="s">
        <v>4553</v>
      </c>
    </row>
    <row r="53" spans="1:4" ht="15">
      <c r="A53" s="314" t="s">
        <v>4555</v>
      </c>
      <c r="B53" s="314" t="s">
        <v>4556</v>
      </c>
      <c r="C53" s="314" t="s">
        <v>4557</v>
      </c>
      <c r="D53" s="461" t="s">
        <v>4556</v>
      </c>
    </row>
    <row r="54" spans="1:4" ht="15">
      <c r="A54" s="314" t="s">
        <v>4558</v>
      </c>
      <c r="B54" s="314" t="s">
        <v>4559</v>
      </c>
      <c r="C54" s="314" t="s">
        <v>4560</v>
      </c>
      <c r="D54" s="461" t="s">
        <v>4559</v>
      </c>
    </row>
    <row r="55" spans="1:4" ht="15">
      <c r="A55" s="314" t="s">
        <v>4561</v>
      </c>
      <c r="B55" s="314" t="s">
        <v>4562</v>
      </c>
      <c r="C55" s="314" t="s">
        <v>4563</v>
      </c>
      <c r="D55" s="461" t="s">
        <v>4562</v>
      </c>
    </row>
    <row r="56" spans="1:4" ht="15">
      <c r="A56" s="314" t="s">
        <v>4564</v>
      </c>
      <c r="B56" s="314" t="s">
        <v>4565</v>
      </c>
      <c r="C56" s="314" t="s">
        <v>4566</v>
      </c>
      <c r="D56" s="461" t="s">
        <v>4565</v>
      </c>
    </row>
    <row r="57" spans="1:4" ht="15">
      <c r="A57" s="314" t="s">
        <v>4567</v>
      </c>
      <c r="B57" s="314" t="s">
        <v>4568</v>
      </c>
      <c r="C57" s="314" t="s">
        <v>4569</v>
      </c>
      <c r="D57" s="461" t="s">
        <v>4568</v>
      </c>
    </row>
    <row r="58" spans="1:4" ht="15">
      <c r="A58" s="314" t="s">
        <v>4570</v>
      </c>
      <c r="B58" s="314" t="s">
        <v>4571</v>
      </c>
      <c r="C58" s="314" t="s">
        <v>4572</v>
      </c>
      <c r="D58" s="461" t="s">
        <v>4571</v>
      </c>
    </row>
    <row r="59" spans="1:4" ht="15">
      <c r="A59" s="314" t="s">
        <v>4573</v>
      </c>
      <c r="B59" s="314" t="s">
        <v>4574</v>
      </c>
      <c r="C59" s="314" t="s">
        <v>4575</v>
      </c>
      <c r="D59" s="67" t="s">
        <v>4576</v>
      </c>
    </row>
    <row r="60" spans="1:4" ht="15">
      <c r="A60" s="314" t="s">
        <v>4577</v>
      </c>
      <c r="B60" s="314" t="s">
        <v>4578</v>
      </c>
      <c r="C60" s="314" t="s">
        <v>4579</v>
      </c>
      <c r="D60" s="67" t="s">
        <v>4580</v>
      </c>
    </row>
    <row r="61" spans="1:4" ht="15">
      <c r="A61" s="314" t="s">
        <v>4581</v>
      </c>
      <c r="B61" s="314" t="s">
        <v>4582</v>
      </c>
      <c r="C61" s="314" t="s">
        <v>4583</v>
      </c>
      <c r="D61" s="461" t="s">
        <v>4582</v>
      </c>
    </row>
    <row r="62" spans="1:4" ht="15">
      <c r="A62" s="314" t="s">
        <v>4584</v>
      </c>
      <c r="B62" s="314" t="s">
        <v>4585</v>
      </c>
      <c r="C62" s="314" t="s">
        <v>4586</v>
      </c>
      <c r="D62" s="67" t="s">
        <v>4587</v>
      </c>
    </row>
    <row r="63" spans="1:4" ht="15">
      <c r="A63" s="314" t="s">
        <v>4588</v>
      </c>
      <c r="B63" s="314" t="s">
        <v>4589</v>
      </c>
      <c r="C63" s="314" t="s">
        <v>4590</v>
      </c>
      <c r="D63" s="67" t="s">
        <v>4591</v>
      </c>
    </row>
    <row r="64" spans="1:4" ht="15">
      <c r="A64" s="314" t="s">
        <v>4592</v>
      </c>
      <c r="B64" s="314" t="s">
        <v>4593</v>
      </c>
      <c r="C64" s="314" t="s">
        <v>4594</v>
      </c>
      <c r="D64" s="461" t="s">
        <v>4593</v>
      </c>
    </row>
    <row r="65" spans="1:4" ht="15">
      <c r="A65" s="314" t="s">
        <v>4595</v>
      </c>
      <c r="B65" s="314" t="s">
        <v>4596</v>
      </c>
      <c r="C65" s="314" t="s">
        <v>4597</v>
      </c>
      <c r="D65" s="461" t="s">
        <v>4596</v>
      </c>
    </row>
    <row r="66" spans="1:4" ht="15">
      <c r="A66" s="314" t="s">
        <v>4598</v>
      </c>
      <c r="B66" s="314" t="s">
        <v>4599</v>
      </c>
      <c r="C66" s="314" t="s">
        <v>4600</v>
      </c>
      <c r="D66" s="461" t="s">
        <v>4599</v>
      </c>
    </row>
    <row r="67" spans="1:4" ht="15">
      <c r="A67" s="314" t="s">
        <v>4601</v>
      </c>
      <c r="B67" s="314" t="s">
        <v>4602</v>
      </c>
      <c r="C67" s="314" t="s">
        <v>4603</v>
      </c>
      <c r="D67" s="67" t="s">
        <v>4604</v>
      </c>
    </row>
    <row r="68" spans="1:4" ht="15">
      <c r="A68" s="314" t="s">
        <v>4605</v>
      </c>
      <c r="B68" s="314" t="s">
        <v>4606</v>
      </c>
      <c r="C68" s="314" t="s">
        <v>4607</v>
      </c>
      <c r="D68" s="461" t="s">
        <v>4606</v>
      </c>
    </row>
    <row r="69" spans="1:4" ht="15">
      <c r="A69" s="314" t="s">
        <v>4608</v>
      </c>
      <c r="B69" s="314" t="s">
        <v>4609</v>
      </c>
      <c r="C69" s="314" t="s">
        <v>4610</v>
      </c>
      <c r="D69" s="461" t="s">
        <v>4609</v>
      </c>
    </row>
    <row r="70" spans="1:4" ht="15">
      <c r="A70" s="314" t="s">
        <v>4611</v>
      </c>
      <c r="B70" s="314" t="s">
        <v>4612</v>
      </c>
      <c r="C70" s="314" t="s">
        <v>4613</v>
      </c>
      <c r="D70" s="461" t="s">
        <v>4612</v>
      </c>
    </row>
    <row r="71" spans="1:4" ht="15">
      <c r="A71" s="314" t="s">
        <v>4614</v>
      </c>
      <c r="B71" s="314" t="s">
        <v>4615</v>
      </c>
      <c r="C71" s="314" t="s">
        <v>4616</v>
      </c>
      <c r="D71" s="461" t="s">
        <v>4615</v>
      </c>
    </row>
    <row r="72" spans="1:4" ht="15">
      <c r="A72" s="314" t="s">
        <v>4617</v>
      </c>
      <c r="B72" s="314" t="s">
        <v>4618</v>
      </c>
      <c r="C72" s="316" t="s">
        <v>4618</v>
      </c>
      <c r="D72" s="67" t="s">
        <v>4619</v>
      </c>
    </row>
    <row r="73" spans="1:4" ht="15">
      <c r="A73" s="314" t="s">
        <v>4620</v>
      </c>
      <c r="B73" s="314" t="s">
        <v>4621</v>
      </c>
      <c r="C73" s="314" t="s">
        <v>4622</v>
      </c>
      <c r="D73" s="461" t="s">
        <v>4621</v>
      </c>
    </row>
    <row r="74" spans="1:4" ht="15">
      <c r="A74" s="314" t="s">
        <v>4623</v>
      </c>
      <c r="B74" s="314" t="s">
        <v>4624</v>
      </c>
      <c r="C74" s="316" t="s">
        <v>4624</v>
      </c>
      <c r="D74" s="461" t="s">
        <v>4624</v>
      </c>
    </row>
    <row r="75" spans="1:4" ht="15">
      <c r="A75" s="314" t="s">
        <v>4625</v>
      </c>
      <c r="B75" s="314" t="s">
        <v>4626</v>
      </c>
      <c r="C75" s="314" t="s">
        <v>4627</v>
      </c>
      <c r="D75" s="461" t="s">
        <v>4626</v>
      </c>
    </row>
    <row r="76" spans="1:4" ht="15">
      <c r="A76" s="314" t="s">
        <v>4628</v>
      </c>
      <c r="B76" s="314" t="s">
        <v>4629</v>
      </c>
      <c r="C76" s="314" t="s">
        <v>4630</v>
      </c>
      <c r="D76" s="461" t="s">
        <v>4629</v>
      </c>
    </row>
    <row r="77" spans="1:4" ht="15">
      <c r="A77" s="314" t="s">
        <v>4631</v>
      </c>
      <c r="B77" s="314" t="s">
        <v>4632</v>
      </c>
      <c r="C77" s="314" t="s">
        <v>4633</v>
      </c>
      <c r="D77" s="461" t="s">
        <v>4632</v>
      </c>
    </row>
    <row r="78" spans="1:4" ht="15">
      <c r="A78" s="314" t="s">
        <v>4634</v>
      </c>
      <c r="B78" s="314" t="s">
        <v>4635</v>
      </c>
      <c r="C78" s="314" t="s">
        <v>4636</v>
      </c>
      <c r="D78" s="461" t="s">
        <v>4635</v>
      </c>
    </row>
    <row r="79" spans="1:4" ht="15">
      <c r="A79" s="314" t="s">
        <v>4637</v>
      </c>
      <c r="B79" s="314" t="s">
        <v>4638</v>
      </c>
      <c r="C79" s="314" t="s">
        <v>4639</v>
      </c>
      <c r="D79" s="67" t="s">
        <v>4640</v>
      </c>
    </row>
    <row r="80" spans="1:4" ht="15">
      <c r="A80" s="314" t="s">
        <v>4641</v>
      </c>
      <c r="B80" s="314" t="s">
        <v>4642</v>
      </c>
      <c r="C80" s="314" t="s">
        <v>4643</v>
      </c>
      <c r="D80" s="67" t="s">
        <v>4644</v>
      </c>
    </row>
    <row r="81" spans="1:4" ht="15">
      <c r="A81" s="314" t="s">
        <v>4645</v>
      </c>
      <c r="B81" s="314" t="s">
        <v>4646</v>
      </c>
      <c r="C81" s="316" t="s">
        <v>4646</v>
      </c>
      <c r="D81" s="461" t="s">
        <v>4646</v>
      </c>
    </row>
    <row r="82" spans="1:4" ht="15">
      <c r="A82" s="314" t="s">
        <v>4647</v>
      </c>
      <c r="B82" s="314" t="s">
        <v>4648</v>
      </c>
      <c r="C82" s="316" t="s">
        <v>4648</v>
      </c>
      <c r="D82" s="461" t="s">
        <v>4648</v>
      </c>
    </row>
    <row r="83" spans="1:4" ht="15">
      <c r="A83" s="314" t="s">
        <v>4649</v>
      </c>
      <c r="B83" s="314" t="s">
        <v>4650</v>
      </c>
      <c r="C83" s="316" t="s">
        <v>4650</v>
      </c>
      <c r="D83" s="461" t="s">
        <v>4650</v>
      </c>
    </row>
    <row r="84" spans="1:4" ht="15">
      <c r="A84" s="314" t="s">
        <v>4651</v>
      </c>
      <c r="B84" s="314" t="s">
        <v>4652</v>
      </c>
      <c r="C84" s="316" t="s">
        <v>4652</v>
      </c>
      <c r="D84" s="461" t="s">
        <v>4652</v>
      </c>
    </row>
    <row r="85" spans="1:4" ht="15">
      <c r="A85" s="314" t="s">
        <v>4653</v>
      </c>
      <c r="B85" s="314" t="s">
        <v>4654</v>
      </c>
      <c r="C85" s="316" t="s">
        <v>4654</v>
      </c>
      <c r="D85" s="461" t="s">
        <v>4654</v>
      </c>
    </row>
    <row r="86" spans="1:4" ht="15">
      <c r="A86" s="314" t="s">
        <v>4655</v>
      </c>
      <c r="B86" s="314" t="s">
        <v>4656</v>
      </c>
      <c r="C86" s="316" t="s">
        <v>4656</v>
      </c>
      <c r="D86" s="461" t="s">
        <v>4656</v>
      </c>
    </row>
    <row r="87" spans="1:4" ht="15">
      <c r="A87" s="314" t="s">
        <v>4657</v>
      </c>
      <c r="B87" s="314" t="s">
        <v>4658</v>
      </c>
      <c r="C87" s="316" t="s">
        <v>4658</v>
      </c>
      <c r="D87" s="461" t="s">
        <v>4658</v>
      </c>
    </row>
    <row r="88" spans="1:4" ht="15">
      <c r="A88" s="314" t="s">
        <v>4659</v>
      </c>
      <c r="B88" s="314" t="s">
        <v>4660</v>
      </c>
      <c r="C88" s="316" t="s">
        <v>4660</v>
      </c>
      <c r="D88" s="461" t="s">
        <v>4660</v>
      </c>
    </row>
    <row r="89" spans="1:4" ht="15">
      <c r="A89" s="314" t="s">
        <v>4661</v>
      </c>
      <c r="B89" s="314" t="s">
        <v>4662</v>
      </c>
      <c r="C89" s="316" t="s">
        <v>4662</v>
      </c>
      <c r="D89" s="461" t="s">
        <v>4662</v>
      </c>
    </row>
    <row r="90" spans="1:4" ht="15">
      <c r="A90" s="314" t="s">
        <v>4663</v>
      </c>
      <c r="B90" s="314" t="s">
        <v>4664</v>
      </c>
      <c r="C90" s="316" t="s">
        <v>4664</v>
      </c>
      <c r="D90" s="461" t="s">
        <v>4664</v>
      </c>
    </row>
    <row r="91" spans="1:4" ht="15">
      <c r="A91" s="314" t="s">
        <v>4665</v>
      </c>
      <c r="B91" s="314" t="s">
        <v>4666</v>
      </c>
      <c r="C91" s="314" t="s">
        <v>4667</v>
      </c>
      <c r="D91" s="461" t="s">
        <v>4666</v>
      </c>
    </row>
    <row r="92" spans="1:4" ht="15">
      <c r="A92" s="314" t="s">
        <v>4668</v>
      </c>
      <c r="B92" s="314" t="s">
        <v>4669</v>
      </c>
      <c r="C92" s="316" t="s">
        <v>4669</v>
      </c>
      <c r="D92" s="461" t="s">
        <v>4669</v>
      </c>
    </row>
    <row r="93" spans="1:4" ht="15">
      <c r="A93" s="314" t="s">
        <v>4670</v>
      </c>
      <c r="B93" s="314" t="s">
        <v>4671</v>
      </c>
      <c r="C93" s="314" t="s">
        <v>4672</v>
      </c>
      <c r="D93" s="461" t="s">
        <v>4671</v>
      </c>
    </row>
    <row r="94" spans="1:4" ht="15">
      <c r="A94" s="314" t="s">
        <v>4673</v>
      </c>
      <c r="B94" s="314" t="s">
        <v>4674</v>
      </c>
      <c r="C94" s="314" t="s">
        <v>4675</v>
      </c>
      <c r="D94" s="461" t="s">
        <v>4674</v>
      </c>
    </row>
    <row r="95" spans="1:4" ht="15">
      <c r="A95" s="314" t="s">
        <v>4676</v>
      </c>
      <c r="B95" s="314" t="s">
        <v>4677</v>
      </c>
      <c r="C95" s="314" t="s">
        <v>4678</v>
      </c>
      <c r="D95" s="461" t="s">
        <v>4677</v>
      </c>
    </row>
    <row r="96" spans="1:4" ht="15">
      <c r="A96" s="314" t="s">
        <v>4679</v>
      </c>
      <c r="B96" s="314" t="s">
        <v>4680</v>
      </c>
      <c r="C96" s="314" t="s">
        <v>4681</v>
      </c>
      <c r="D96" s="461" t="s">
        <v>4680</v>
      </c>
    </row>
    <row r="97" spans="1:4" ht="15">
      <c r="A97" s="314" t="s">
        <v>4682</v>
      </c>
      <c r="B97" s="314" t="s">
        <v>4683</v>
      </c>
      <c r="C97" s="314" t="s">
        <v>4684</v>
      </c>
      <c r="D97" s="461" t="s">
        <v>4683</v>
      </c>
    </row>
    <row r="98" spans="1:4" ht="15">
      <c r="A98" s="314" t="s">
        <v>4685</v>
      </c>
      <c r="B98" s="314" t="s">
        <v>4686</v>
      </c>
      <c r="C98" s="316" t="s">
        <v>4686</v>
      </c>
      <c r="D98" s="461" t="s">
        <v>4686</v>
      </c>
    </row>
    <row r="99" spans="1:4" ht="15">
      <c r="A99" s="314" t="s">
        <v>4687</v>
      </c>
      <c r="B99" s="314" t="s">
        <v>4688</v>
      </c>
      <c r="C99" s="316" t="s">
        <v>4688</v>
      </c>
      <c r="D99" s="461" t="s">
        <v>4688</v>
      </c>
    </row>
    <row r="100" spans="1:4" ht="15">
      <c r="A100" s="314" t="s">
        <v>4689</v>
      </c>
      <c r="B100" s="314" t="s">
        <v>4690</v>
      </c>
      <c r="C100" s="316" t="s">
        <v>4690</v>
      </c>
      <c r="D100" s="461" t="s">
        <v>4690</v>
      </c>
    </row>
    <row r="101" spans="1:4" ht="15">
      <c r="A101" s="314" t="s">
        <v>4691</v>
      </c>
      <c r="B101" s="314" t="s">
        <v>4692</v>
      </c>
      <c r="C101" s="316" t="s">
        <v>4692</v>
      </c>
      <c r="D101" s="461" t="s">
        <v>4692</v>
      </c>
    </row>
    <row r="102" spans="1:4" ht="15">
      <c r="A102" s="314" t="s">
        <v>4693</v>
      </c>
      <c r="B102" s="314" t="s">
        <v>4694</v>
      </c>
      <c r="C102" s="316" t="s">
        <v>4694</v>
      </c>
      <c r="D102" s="461" t="s">
        <v>4694</v>
      </c>
    </row>
    <row r="103" spans="1:4" ht="15">
      <c r="A103" s="314" t="s">
        <v>4695</v>
      </c>
      <c r="B103" s="314" t="s">
        <v>4696</v>
      </c>
      <c r="C103" s="316" t="s">
        <v>4696</v>
      </c>
      <c r="D103" s="461" t="s">
        <v>4696</v>
      </c>
    </row>
    <row r="104" spans="1:4" ht="15">
      <c r="A104" s="314" t="s">
        <v>4697</v>
      </c>
      <c r="B104" s="314" t="s">
        <v>4698</v>
      </c>
      <c r="C104" s="316" t="s">
        <v>4698</v>
      </c>
      <c r="D104" s="461" t="s">
        <v>4698</v>
      </c>
    </row>
    <row r="105" spans="1:4" ht="15">
      <c r="A105" s="314" t="s">
        <v>4699</v>
      </c>
      <c r="B105" s="314" t="s">
        <v>4700</v>
      </c>
      <c r="C105" s="316" t="s">
        <v>4700</v>
      </c>
      <c r="D105" s="461" t="s">
        <v>4700</v>
      </c>
    </row>
    <row r="106" spans="1:4" ht="15">
      <c r="A106" s="314" t="s">
        <v>4701</v>
      </c>
      <c r="B106" s="314" t="s">
        <v>4702</v>
      </c>
      <c r="C106" s="316" t="s">
        <v>4702</v>
      </c>
      <c r="D106" s="67" t="s">
        <v>4703</v>
      </c>
    </row>
    <row r="107" spans="1:4" ht="15">
      <c r="A107" s="314" t="s">
        <v>4704</v>
      </c>
      <c r="B107" s="314" t="s">
        <v>4705</v>
      </c>
      <c r="C107" s="316" t="s">
        <v>4705</v>
      </c>
      <c r="D107" s="461" t="s">
        <v>4705</v>
      </c>
    </row>
    <row r="108" spans="1:4" ht="15">
      <c r="A108" s="314" t="s">
        <v>4706</v>
      </c>
      <c r="B108" s="314" t="s">
        <v>4707</v>
      </c>
      <c r="C108" s="316" t="s">
        <v>4707</v>
      </c>
      <c r="D108" s="461" t="s">
        <v>4707</v>
      </c>
    </row>
    <row r="109" spans="1:4" ht="15">
      <c r="A109" s="314" t="s">
        <v>4708</v>
      </c>
      <c r="B109" s="314" t="s">
        <v>4709</v>
      </c>
      <c r="C109" s="316" t="s">
        <v>4709</v>
      </c>
      <c r="D109" s="461" t="s">
        <v>4709</v>
      </c>
    </row>
    <row r="110" spans="1:4" ht="15">
      <c r="A110" s="314" t="s">
        <v>4710</v>
      </c>
      <c r="B110" s="314" t="s">
        <v>4711</v>
      </c>
      <c r="C110" s="316" t="s">
        <v>4711</v>
      </c>
      <c r="D110" s="461" t="s">
        <v>4711</v>
      </c>
    </row>
    <row r="111" spans="1:4" ht="15">
      <c r="A111" s="314" t="s">
        <v>4712</v>
      </c>
      <c r="B111" s="314" t="s">
        <v>4713</v>
      </c>
      <c r="C111" s="314" t="s">
        <v>4714</v>
      </c>
      <c r="D111" s="461" t="s">
        <v>4713</v>
      </c>
    </row>
    <row r="112" spans="1:4" ht="15">
      <c r="A112" s="314" t="s">
        <v>4715</v>
      </c>
      <c r="B112" s="314" t="s">
        <v>4716</v>
      </c>
      <c r="C112" s="314" t="s">
        <v>4717</v>
      </c>
      <c r="D112" s="461" t="s">
        <v>4716</v>
      </c>
    </row>
    <row r="113" spans="1:4" ht="15">
      <c r="A113" s="314" t="s">
        <v>4718</v>
      </c>
      <c r="B113" s="314" t="s">
        <v>4719</v>
      </c>
      <c r="C113" s="316" t="s">
        <v>4719</v>
      </c>
      <c r="D113" s="461" t="s">
        <v>4719</v>
      </c>
    </row>
    <row r="114" spans="1:4" ht="15">
      <c r="A114" s="314" t="s">
        <v>4720</v>
      </c>
      <c r="B114" s="314" t="s">
        <v>4721</v>
      </c>
      <c r="C114" s="316" t="s">
        <v>4721</v>
      </c>
      <c r="D114" s="461" t="s">
        <v>4721</v>
      </c>
    </row>
    <row r="115" spans="1:4" ht="15">
      <c r="A115" s="314" t="s">
        <v>4722</v>
      </c>
      <c r="B115" s="314" t="s">
        <v>4723</v>
      </c>
      <c r="C115" s="314" t="s">
        <v>4724</v>
      </c>
      <c r="D115" s="461" t="s">
        <v>4723</v>
      </c>
    </row>
    <row r="116" spans="1:4" ht="15">
      <c r="A116" s="314" t="s">
        <v>4725</v>
      </c>
      <c r="B116" s="314" t="s">
        <v>4726</v>
      </c>
      <c r="C116" s="314" t="s">
        <v>4727</v>
      </c>
      <c r="D116" s="67" t="s">
        <v>4728</v>
      </c>
    </row>
    <row r="117" spans="1:4" ht="15">
      <c r="A117" s="314" t="s">
        <v>4729</v>
      </c>
      <c r="B117" s="314" t="s">
        <v>4730</v>
      </c>
      <c r="C117" s="314" t="s">
        <v>4731</v>
      </c>
      <c r="D117" s="67" t="s">
        <v>4732</v>
      </c>
    </row>
    <row r="118" spans="1:4" ht="15">
      <c r="A118" s="314" t="s">
        <v>4733</v>
      </c>
      <c r="B118" s="314" t="s">
        <v>4734</v>
      </c>
      <c r="C118" s="314" t="s">
        <v>4735</v>
      </c>
      <c r="D118" s="67" t="s">
        <v>4736</v>
      </c>
    </row>
    <row r="119" spans="1:4" ht="15">
      <c r="A119" s="314" t="s">
        <v>4737</v>
      </c>
      <c r="B119" s="314" t="s">
        <v>4738</v>
      </c>
      <c r="C119" s="316" t="s">
        <v>4738</v>
      </c>
      <c r="D119" s="67" t="s">
        <v>4739</v>
      </c>
    </row>
    <row r="120" spans="1:4" ht="15">
      <c r="A120" s="314" t="s">
        <v>4740</v>
      </c>
      <c r="B120" s="314" t="s">
        <v>4741</v>
      </c>
      <c r="C120" s="314" t="s">
        <v>4742</v>
      </c>
      <c r="D120" s="67" t="s">
        <v>4743</v>
      </c>
    </row>
    <row r="121" spans="1:4" ht="15">
      <c r="A121" s="314" t="s">
        <v>4744</v>
      </c>
      <c r="B121" s="314" t="s">
        <v>4745</v>
      </c>
      <c r="C121" s="314" t="s">
        <v>4746</v>
      </c>
      <c r="D121" s="67" t="s">
        <v>4747</v>
      </c>
    </row>
    <row r="122" spans="1:4" ht="15">
      <c r="A122" s="314" t="s">
        <v>4748</v>
      </c>
      <c r="B122" s="314" t="s">
        <v>4749</v>
      </c>
      <c r="C122" s="314" t="s">
        <v>4750</v>
      </c>
      <c r="D122" s="461" t="s">
        <v>4749</v>
      </c>
    </row>
    <row r="123" spans="1:4" ht="15">
      <c r="A123" s="314" t="s">
        <v>4751</v>
      </c>
      <c r="B123" s="314" t="s">
        <v>4752</v>
      </c>
      <c r="C123" s="314" t="s">
        <v>4753</v>
      </c>
      <c r="D123" s="67" t="s">
        <v>4754</v>
      </c>
    </row>
    <row r="124" spans="1:4" ht="15">
      <c r="A124" s="314" t="s">
        <v>4755</v>
      </c>
      <c r="B124" s="314" t="s">
        <v>4756</v>
      </c>
      <c r="C124" s="314" t="s">
        <v>4757</v>
      </c>
      <c r="D124" s="67" t="s">
        <v>4758</v>
      </c>
    </row>
    <row r="125" spans="1:4" ht="15">
      <c r="A125" s="314" t="s">
        <v>4759</v>
      </c>
      <c r="B125" s="314" t="s">
        <v>4760</v>
      </c>
      <c r="C125" s="314" t="s">
        <v>4761</v>
      </c>
      <c r="D125" s="461" t="s">
        <v>4760</v>
      </c>
    </row>
    <row r="126" spans="1:4" ht="15">
      <c r="A126" s="314" t="s">
        <v>4762</v>
      </c>
      <c r="B126" s="314" t="s">
        <v>4763</v>
      </c>
      <c r="C126" s="314" t="s">
        <v>4764</v>
      </c>
      <c r="D126" s="67" t="s">
        <v>4765</v>
      </c>
    </row>
    <row r="127" spans="1:4" ht="15">
      <c r="A127" s="314" t="s">
        <v>4766</v>
      </c>
      <c r="B127" s="314" t="s">
        <v>4767</v>
      </c>
      <c r="C127" s="314" t="s">
        <v>4768</v>
      </c>
      <c r="D127" s="461" t="s">
        <v>4767</v>
      </c>
    </row>
    <row r="128" spans="1:4" ht="15">
      <c r="A128" s="314" t="s">
        <v>4769</v>
      </c>
      <c r="B128" s="314" t="s">
        <v>4770</v>
      </c>
      <c r="C128" s="314" t="s">
        <v>4771</v>
      </c>
      <c r="D128" s="67" t="s">
        <v>4772</v>
      </c>
    </row>
    <row r="129" spans="1:4" ht="15">
      <c r="A129" s="314" t="s">
        <v>4773</v>
      </c>
      <c r="B129" s="314" t="s">
        <v>4774</v>
      </c>
      <c r="C129" s="316" t="s">
        <v>4774</v>
      </c>
      <c r="D129" s="67" t="s">
        <v>4775</v>
      </c>
    </row>
    <row r="130" spans="1:4" ht="15">
      <c r="A130" s="314" t="s">
        <v>4776</v>
      </c>
      <c r="B130" s="314" t="s">
        <v>4777</v>
      </c>
      <c r="C130" s="314" t="s">
        <v>4778</v>
      </c>
      <c r="D130" s="67" t="s">
        <v>4779</v>
      </c>
    </row>
    <row r="131" spans="1:4" ht="15">
      <c r="A131" s="314" t="s">
        <v>4780</v>
      </c>
      <c r="B131" s="314" t="s">
        <v>4781</v>
      </c>
      <c r="C131" s="314" t="s">
        <v>4782</v>
      </c>
      <c r="D131" s="67" t="s">
        <v>4783</v>
      </c>
    </row>
    <row r="132" spans="1:4" ht="15">
      <c r="A132" s="314" t="s">
        <v>4784</v>
      </c>
      <c r="B132" s="314" t="s">
        <v>4785</v>
      </c>
      <c r="C132" s="314" t="s">
        <v>4786</v>
      </c>
      <c r="D132" s="67" t="s">
        <v>4787</v>
      </c>
    </row>
    <row r="133" spans="1:4" ht="15">
      <c r="A133" s="314" t="s">
        <v>4788</v>
      </c>
      <c r="B133" s="314" t="s">
        <v>4789</v>
      </c>
      <c r="C133" s="314" t="s">
        <v>4790</v>
      </c>
      <c r="D133" s="461" t="s">
        <v>4789</v>
      </c>
    </row>
    <row r="134" spans="1:4" ht="15">
      <c r="A134" s="314" t="s">
        <v>4791</v>
      </c>
      <c r="B134" s="314" t="s">
        <v>4792</v>
      </c>
      <c r="C134" s="314" t="s">
        <v>4793</v>
      </c>
      <c r="D134" s="461" t="s">
        <v>4792</v>
      </c>
    </row>
    <row r="135" spans="1:4" ht="15">
      <c r="A135" s="314" t="s">
        <v>4794</v>
      </c>
      <c r="B135" s="314" t="s">
        <v>4795</v>
      </c>
      <c r="C135" s="314" t="s">
        <v>4796</v>
      </c>
      <c r="D135" s="461" t="s">
        <v>4795</v>
      </c>
    </row>
    <row r="136" spans="1:4" ht="15">
      <c r="A136" s="314" t="s">
        <v>4797</v>
      </c>
      <c r="B136" s="314" t="s">
        <v>4798</v>
      </c>
      <c r="C136" s="314" t="s">
        <v>4799</v>
      </c>
      <c r="D136" s="461" t="s">
        <v>4798</v>
      </c>
    </row>
    <row r="137" spans="1:4" ht="15">
      <c r="A137" s="314" t="s">
        <v>4800</v>
      </c>
      <c r="B137" s="314" t="s">
        <v>4801</v>
      </c>
      <c r="C137" s="316" t="s">
        <v>4801</v>
      </c>
      <c r="D137" s="67" t="s">
        <v>4802</v>
      </c>
    </row>
    <row r="138" spans="1:4" ht="15">
      <c r="A138" s="314" t="s">
        <v>4803</v>
      </c>
      <c r="B138" s="314" t="s">
        <v>4804</v>
      </c>
      <c r="C138" s="314" t="s">
        <v>4805</v>
      </c>
      <c r="D138" s="461" t="s">
        <v>4804</v>
      </c>
    </row>
    <row r="139" spans="1:4" ht="15">
      <c r="A139" s="314" t="s">
        <v>4806</v>
      </c>
      <c r="B139" s="314" t="s">
        <v>4807</v>
      </c>
      <c r="C139" s="314" t="s">
        <v>4808</v>
      </c>
      <c r="D139" s="461" t="s">
        <v>4807</v>
      </c>
    </row>
    <row r="140" spans="1:4" ht="15">
      <c r="A140" s="314" t="s">
        <v>4809</v>
      </c>
      <c r="B140" s="314" t="s">
        <v>4810</v>
      </c>
      <c r="C140" s="314" t="s">
        <v>4811</v>
      </c>
      <c r="D140" s="461" t="s">
        <v>4810</v>
      </c>
    </row>
    <row r="141" spans="1:4" ht="15">
      <c r="A141" s="314" t="s">
        <v>4812</v>
      </c>
      <c r="B141" s="314" t="s">
        <v>4813</v>
      </c>
      <c r="C141" s="314" t="s">
        <v>4814</v>
      </c>
      <c r="D141" s="67" t="s">
        <v>4815</v>
      </c>
    </row>
    <row r="142" spans="1:4" ht="15">
      <c r="A142" s="314" t="s">
        <v>4816</v>
      </c>
      <c r="B142" s="314" t="s">
        <v>4817</v>
      </c>
      <c r="C142" s="314" t="s">
        <v>4818</v>
      </c>
      <c r="D142" s="461" t="s">
        <v>4817</v>
      </c>
    </row>
    <row r="143" spans="1:4" ht="15">
      <c r="A143" s="314" t="s">
        <v>4819</v>
      </c>
      <c r="B143" s="314" t="s">
        <v>4820</v>
      </c>
      <c r="C143" s="314" t="s">
        <v>4821</v>
      </c>
      <c r="D143" s="461" t="s">
        <v>4820</v>
      </c>
    </row>
    <row r="144" spans="1:4" ht="15">
      <c r="A144" s="314" t="s">
        <v>4822</v>
      </c>
      <c r="B144" s="314" t="s">
        <v>4823</v>
      </c>
      <c r="C144" s="314" t="s">
        <v>4824</v>
      </c>
      <c r="D144" s="461" t="s">
        <v>4823</v>
      </c>
    </row>
    <row r="145" spans="1:4" ht="15">
      <c r="A145" s="314" t="s">
        <v>4825</v>
      </c>
      <c r="B145" s="314" t="s">
        <v>4826</v>
      </c>
      <c r="C145" s="314" t="s">
        <v>4827</v>
      </c>
      <c r="D145" s="461" t="s">
        <v>4826</v>
      </c>
    </row>
    <row r="146" spans="1:4" ht="15">
      <c r="A146" s="314" t="s">
        <v>4828</v>
      </c>
      <c r="B146" s="314" t="s">
        <v>4829</v>
      </c>
      <c r="C146" s="314" t="s">
        <v>4830</v>
      </c>
      <c r="D146" s="461" t="s">
        <v>4829</v>
      </c>
    </row>
    <row r="147" spans="1:4" ht="15">
      <c r="A147" s="314" t="s">
        <v>4831</v>
      </c>
      <c r="B147" s="314" t="s">
        <v>4832</v>
      </c>
      <c r="C147" s="316" t="s">
        <v>4832</v>
      </c>
      <c r="D147" s="461" t="s">
        <v>4832</v>
      </c>
    </row>
    <row r="148" spans="1:4" ht="15">
      <c r="A148" s="314" t="s">
        <v>4833</v>
      </c>
      <c r="B148" s="314" t="s">
        <v>4834</v>
      </c>
      <c r="C148" s="316" t="s">
        <v>4834</v>
      </c>
      <c r="D148" s="461" t="s">
        <v>4834</v>
      </c>
    </row>
    <row r="149" spans="1:4" ht="15">
      <c r="A149" s="314" t="s">
        <v>4835</v>
      </c>
      <c r="B149" s="314" t="s">
        <v>4836</v>
      </c>
      <c r="C149" s="314" t="s">
        <v>4837</v>
      </c>
      <c r="D149" s="461" t="s">
        <v>4836</v>
      </c>
    </row>
    <row r="150" spans="1:4" ht="15">
      <c r="A150" s="314" t="s">
        <v>4838</v>
      </c>
      <c r="B150" s="314" t="s">
        <v>4839</v>
      </c>
      <c r="C150" s="314" t="s">
        <v>4840</v>
      </c>
      <c r="D150" s="67" t="s">
        <v>4841</v>
      </c>
    </row>
    <row r="151" spans="1:4" ht="15">
      <c r="A151" s="314" t="s">
        <v>4842</v>
      </c>
      <c r="B151" s="314" t="s">
        <v>4843</v>
      </c>
      <c r="C151" s="314" t="s">
        <v>4844</v>
      </c>
      <c r="D151" s="67" t="s">
        <v>4845</v>
      </c>
    </row>
    <row r="152" spans="1:4" ht="15">
      <c r="A152" s="314" t="s">
        <v>4846</v>
      </c>
      <c r="B152" s="314" t="s">
        <v>4847</v>
      </c>
      <c r="C152" s="314" t="s">
        <v>4848</v>
      </c>
      <c r="D152" s="461" t="s">
        <v>4847</v>
      </c>
    </row>
    <row r="153" spans="1:4" ht="15">
      <c r="A153" s="314" t="s">
        <v>4849</v>
      </c>
      <c r="B153" s="314" t="s">
        <v>4850</v>
      </c>
      <c r="C153" s="314" t="s">
        <v>4851</v>
      </c>
      <c r="D153" s="461" t="s">
        <v>4850</v>
      </c>
    </row>
    <row r="154" spans="1:4" ht="15">
      <c r="A154" s="314" t="s">
        <v>4852</v>
      </c>
      <c r="B154" s="314" t="s">
        <v>4853</v>
      </c>
      <c r="C154" s="314" t="s">
        <v>4854</v>
      </c>
      <c r="D154" s="67" t="s">
        <v>4855</v>
      </c>
    </row>
    <row r="155" spans="1:4" ht="15">
      <c r="A155" s="314" t="s">
        <v>4856</v>
      </c>
      <c r="B155" s="314" t="s">
        <v>4857</v>
      </c>
      <c r="C155" s="316" t="s">
        <v>4857</v>
      </c>
      <c r="D155" s="461" t="s">
        <v>4857</v>
      </c>
    </row>
    <row r="156" spans="1:4" ht="15">
      <c r="A156" s="314" t="s">
        <v>4858</v>
      </c>
      <c r="B156" s="314" t="s">
        <v>4859</v>
      </c>
      <c r="C156" s="314" t="s">
        <v>4860</v>
      </c>
      <c r="D156" s="67" t="s">
        <v>4861</v>
      </c>
    </row>
    <row r="157" spans="1:4" ht="15">
      <c r="A157" s="314" t="s">
        <v>4862</v>
      </c>
      <c r="B157" s="314" t="s">
        <v>4863</v>
      </c>
      <c r="C157" s="314" t="s">
        <v>4864</v>
      </c>
      <c r="D157" s="67" t="s">
        <v>4865</v>
      </c>
    </row>
    <row r="158" spans="1:4" ht="15">
      <c r="A158" s="314" t="s">
        <v>4866</v>
      </c>
      <c r="B158" s="314" t="s">
        <v>4867</v>
      </c>
      <c r="C158" s="314" t="s">
        <v>4868</v>
      </c>
      <c r="D158" s="67" t="s">
        <v>4869</v>
      </c>
    </row>
    <row r="159" spans="1:4" ht="15">
      <c r="A159" s="314" t="s">
        <v>4870</v>
      </c>
      <c r="B159" s="314" t="s">
        <v>4871</v>
      </c>
      <c r="C159" s="314" t="s">
        <v>4872</v>
      </c>
      <c r="D159" s="67" t="s">
        <v>4873</v>
      </c>
    </row>
    <row r="160" spans="1:4" ht="15">
      <c r="A160" s="314" t="s">
        <v>4874</v>
      </c>
      <c r="B160" s="314" t="s">
        <v>4875</v>
      </c>
      <c r="C160" s="314" t="s">
        <v>4876</v>
      </c>
      <c r="D160" s="461" t="s">
        <v>4875</v>
      </c>
    </row>
    <row r="161" spans="1:4" ht="15">
      <c r="A161" s="314" t="s">
        <v>4877</v>
      </c>
      <c r="B161" s="314" t="s">
        <v>4878</v>
      </c>
      <c r="C161" s="314" t="s">
        <v>4879</v>
      </c>
      <c r="D161" s="461" t="s">
        <v>4878</v>
      </c>
    </row>
    <row r="162" spans="1:4" ht="15">
      <c r="A162" s="314" t="s">
        <v>4880</v>
      </c>
      <c r="B162" s="314" t="s">
        <v>4881</v>
      </c>
      <c r="C162" s="314" t="s">
        <v>4882</v>
      </c>
      <c r="D162" s="461" t="s">
        <v>4881</v>
      </c>
    </row>
    <row r="163" spans="1:4" ht="15">
      <c r="A163" s="314" t="s">
        <v>4883</v>
      </c>
      <c r="B163" s="314" t="s">
        <v>4884</v>
      </c>
      <c r="C163" s="314" t="s">
        <v>4885</v>
      </c>
      <c r="D163" s="67" t="s">
        <v>4845</v>
      </c>
    </row>
    <row r="164" spans="1:4" ht="15">
      <c r="A164" s="314" t="s">
        <v>4886</v>
      </c>
      <c r="B164" s="314" t="s">
        <v>4887</v>
      </c>
      <c r="C164" s="314" t="s">
        <v>4888</v>
      </c>
      <c r="D164" s="461" t="s">
        <v>4887</v>
      </c>
    </row>
    <row r="165" spans="1:4" ht="15">
      <c r="A165" s="314" t="s">
        <v>4889</v>
      </c>
      <c r="B165" s="314" t="s">
        <v>4890</v>
      </c>
      <c r="C165" s="314" t="s">
        <v>4891</v>
      </c>
      <c r="D165" s="461" t="s">
        <v>4890</v>
      </c>
    </row>
    <row r="166" spans="1:4" ht="15">
      <c r="A166" s="314" t="s">
        <v>4892</v>
      </c>
      <c r="B166" s="314" t="s">
        <v>4893</v>
      </c>
      <c r="C166" s="314" t="s">
        <v>4894</v>
      </c>
      <c r="D166" s="461" t="s">
        <v>4893</v>
      </c>
    </row>
    <row r="167" spans="1:4" ht="15">
      <c r="A167" s="314" t="s">
        <v>4895</v>
      </c>
      <c r="B167" s="314" t="s">
        <v>4896</v>
      </c>
      <c r="C167" s="314" t="s">
        <v>4897</v>
      </c>
      <c r="D167" s="67" t="s">
        <v>4898</v>
      </c>
    </row>
    <row r="168" spans="1:4" ht="15">
      <c r="A168" s="314" t="s">
        <v>4899</v>
      </c>
      <c r="B168" s="314" t="s">
        <v>4900</v>
      </c>
      <c r="C168" s="316" t="s">
        <v>4900</v>
      </c>
      <c r="D168" s="461" t="s">
        <v>4900</v>
      </c>
    </row>
    <row r="169" spans="1:4" ht="15">
      <c r="A169" s="314" t="s">
        <v>4901</v>
      </c>
      <c r="B169" s="314" t="s">
        <v>4902</v>
      </c>
      <c r="C169" s="314" t="s">
        <v>4903</v>
      </c>
      <c r="D169" s="461" t="s">
        <v>4902</v>
      </c>
    </row>
    <row r="170" spans="1:4" ht="15">
      <c r="A170" s="314" t="s">
        <v>4904</v>
      </c>
      <c r="B170" s="314" t="s">
        <v>4905</v>
      </c>
      <c r="C170" s="314" t="s">
        <v>4906</v>
      </c>
      <c r="D170" s="461" t="s">
        <v>4905</v>
      </c>
    </row>
    <row r="171" spans="1:4" ht="15">
      <c r="A171" s="314" t="s">
        <v>4907</v>
      </c>
      <c r="B171" s="314" t="s">
        <v>4908</v>
      </c>
      <c r="C171" s="314" t="s">
        <v>4909</v>
      </c>
      <c r="D171" s="461" t="s">
        <v>4908</v>
      </c>
    </row>
    <row r="172" spans="1:4" ht="15">
      <c r="A172" s="314" t="s">
        <v>4910</v>
      </c>
      <c r="B172" s="314" t="s">
        <v>4911</v>
      </c>
      <c r="C172" s="314" t="s">
        <v>4912</v>
      </c>
      <c r="D172" s="461" t="s">
        <v>4911</v>
      </c>
    </row>
    <row r="173" spans="1:4" ht="15">
      <c r="A173" s="314" t="s">
        <v>4913</v>
      </c>
      <c r="B173" s="314" t="s">
        <v>4914</v>
      </c>
      <c r="C173" s="314" t="s">
        <v>4915</v>
      </c>
      <c r="D173" s="461" t="s">
        <v>4914</v>
      </c>
    </row>
    <row r="174" spans="1:4" ht="15">
      <c r="A174" s="314" t="s">
        <v>4916</v>
      </c>
      <c r="B174" s="314" t="s">
        <v>4917</v>
      </c>
      <c r="C174" s="314" t="s">
        <v>4918</v>
      </c>
      <c r="D174" s="461" t="s">
        <v>4917</v>
      </c>
    </row>
    <row r="175" spans="1:4" ht="15">
      <c r="A175" s="314" t="s">
        <v>4919</v>
      </c>
      <c r="B175" s="314" t="s">
        <v>4920</v>
      </c>
      <c r="C175" s="314" t="s">
        <v>4921</v>
      </c>
      <c r="D175" s="461" t="s">
        <v>4920</v>
      </c>
    </row>
    <row r="176" spans="1:4" ht="15">
      <c r="A176" s="314" t="s">
        <v>4922</v>
      </c>
      <c r="B176" s="314" t="s">
        <v>4923</v>
      </c>
      <c r="C176" s="314" t="s">
        <v>4924</v>
      </c>
      <c r="D176" s="461" t="s">
        <v>4923</v>
      </c>
    </row>
    <row r="177" spans="1:4" ht="15">
      <c r="A177" s="314" t="s">
        <v>4925</v>
      </c>
      <c r="B177" s="314" t="s">
        <v>4926</v>
      </c>
      <c r="C177" s="314" t="s">
        <v>4927</v>
      </c>
      <c r="D177" s="461" t="s">
        <v>4926</v>
      </c>
    </row>
    <row r="178" spans="1:4" ht="15">
      <c r="A178" s="314" t="s">
        <v>4928</v>
      </c>
      <c r="B178" s="314" t="s">
        <v>4929</v>
      </c>
      <c r="C178" s="314" t="s">
        <v>4930</v>
      </c>
      <c r="D178" s="461" t="s">
        <v>4929</v>
      </c>
    </row>
    <row r="179" spans="1:4" ht="15">
      <c r="A179" s="314" t="s">
        <v>4931</v>
      </c>
      <c r="B179" s="314" t="s">
        <v>4932</v>
      </c>
      <c r="C179" s="314" t="s">
        <v>4933</v>
      </c>
      <c r="D179" s="461" t="s">
        <v>4932</v>
      </c>
    </row>
    <row r="180" spans="1:4" ht="15">
      <c r="A180" s="314" t="s">
        <v>4934</v>
      </c>
      <c r="B180" s="314" t="s">
        <v>4935</v>
      </c>
      <c r="C180" s="314" t="s">
        <v>4936</v>
      </c>
      <c r="D180" s="461" t="s">
        <v>4935</v>
      </c>
    </row>
    <row r="181" spans="1:4" ht="15">
      <c r="A181" s="314" t="s">
        <v>4937</v>
      </c>
      <c r="B181" s="314" t="s">
        <v>4938</v>
      </c>
      <c r="C181" s="314" t="s">
        <v>4939</v>
      </c>
      <c r="D181" s="461" t="s">
        <v>4938</v>
      </c>
    </row>
    <row r="182" spans="1:4" ht="15">
      <c r="A182" s="314" t="s">
        <v>4940</v>
      </c>
      <c r="B182" s="314" t="s">
        <v>4941</v>
      </c>
      <c r="C182" s="314" t="s">
        <v>4942</v>
      </c>
      <c r="D182" s="461" t="s">
        <v>4941</v>
      </c>
    </row>
    <row r="183" spans="1:4" ht="15">
      <c r="A183" s="314" t="s">
        <v>4943</v>
      </c>
      <c r="B183" s="314" t="s">
        <v>4944</v>
      </c>
      <c r="C183" s="314" t="s">
        <v>4945</v>
      </c>
      <c r="D183" s="461" t="s">
        <v>4944</v>
      </c>
    </row>
    <row r="184" spans="1:4" ht="15">
      <c r="A184" s="314" t="s">
        <v>4946</v>
      </c>
      <c r="B184" s="314" t="s">
        <v>4947</v>
      </c>
      <c r="C184" s="314" t="s">
        <v>4948</v>
      </c>
      <c r="D184" s="461" t="s">
        <v>4947</v>
      </c>
    </row>
    <row r="185" spans="1:4" ht="15">
      <c r="A185" s="314" t="s">
        <v>4949</v>
      </c>
      <c r="B185" s="314" t="s">
        <v>4950</v>
      </c>
      <c r="C185" s="314" t="s">
        <v>4951</v>
      </c>
      <c r="D185" s="67" t="s">
        <v>4952</v>
      </c>
    </row>
    <row r="186" spans="1:4" ht="15">
      <c r="A186" s="314" t="s">
        <v>4953</v>
      </c>
      <c r="B186" s="314" t="s">
        <v>4954</v>
      </c>
      <c r="C186" s="314" t="s">
        <v>4955</v>
      </c>
      <c r="D186" s="67" t="s">
        <v>4956</v>
      </c>
    </row>
    <row r="187" spans="1:4" ht="15">
      <c r="A187" s="314" t="s">
        <v>4957</v>
      </c>
      <c r="B187" s="314" t="s">
        <v>4958</v>
      </c>
      <c r="C187" s="314" t="s">
        <v>4959</v>
      </c>
      <c r="D187" s="461" t="s">
        <v>4958</v>
      </c>
    </row>
    <row r="188" spans="1:4" ht="15">
      <c r="A188" s="314" t="s">
        <v>4960</v>
      </c>
      <c r="B188" s="314" t="s">
        <v>4961</v>
      </c>
      <c r="C188" s="314" t="s">
        <v>4962</v>
      </c>
      <c r="D188" s="67" t="s">
        <v>4963</v>
      </c>
    </row>
    <row r="189" spans="1:4" ht="15">
      <c r="A189" s="314" t="s">
        <v>4964</v>
      </c>
      <c r="B189" s="314" t="s">
        <v>4965</v>
      </c>
      <c r="C189" s="314" t="s">
        <v>4966</v>
      </c>
      <c r="D189" s="67" t="s">
        <v>4967</v>
      </c>
    </row>
    <row r="190" spans="1:4" ht="15">
      <c r="A190" s="314" t="s">
        <v>4968</v>
      </c>
      <c r="B190" s="314" t="s">
        <v>4969</v>
      </c>
      <c r="C190" s="314" t="s">
        <v>4970</v>
      </c>
      <c r="D190" s="461" t="s">
        <v>4969</v>
      </c>
    </row>
    <row r="191" spans="1:4" ht="15">
      <c r="A191" s="314" t="s">
        <v>4971</v>
      </c>
      <c r="B191" s="314" t="s">
        <v>4972</v>
      </c>
      <c r="C191" s="314" t="s">
        <v>4973</v>
      </c>
      <c r="D191" s="461" t="s">
        <v>4972</v>
      </c>
    </row>
    <row r="192" spans="1:4" ht="15">
      <c r="A192" s="314" t="s">
        <v>4974</v>
      </c>
      <c r="B192" s="314" t="s">
        <v>4975</v>
      </c>
      <c r="C192" s="314" t="s">
        <v>4976</v>
      </c>
      <c r="D192" s="461" t="s">
        <v>4975</v>
      </c>
    </row>
    <row r="193" spans="1:4" ht="15">
      <c r="A193" s="314" t="s">
        <v>4977</v>
      </c>
      <c r="B193" s="314" t="s">
        <v>4978</v>
      </c>
      <c r="C193" s="314" t="s">
        <v>4979</v>
      </c>
      <c r="D193" s="461" t="s">
        <v>4978</v>
      </c>
    </row>
    <row r="194" spans="1:4" ht="15">
      <c r="A194" s="314" t="s">
        <v>4980</v>
      </c>
      <c r="B194" s="314" t="s">
        <v>4981</v>
      </c>
      <c r="C194" s="314" t="s">
        <v>4982</v>
      </c>
      <c r="D194" s="461" t="s">
        <v>4981</v>
      </c>
    </row>
    <row r="195" spans="1:4" ht="15">
      <c r="A195" s="314" t="s">
        <v>4983</v>
      </c>
      <c r="B195" s="314" t="s">
        <v>4984</v>
      </c>
      <c r="C195" s="314" t="s">
        <v>4985</v>
      </c>
      <c r="D195" s="461" t="s">
        <v>4984</v>
      </c>
    </row>
    <row r="196" spans="1:4" ht="15">
      <c r="A196" s="314" t="s">
        <v>4986</v>
      </c>
      <c r="B196" s="314" t="s">
        <v>4987</v>
      </c>
      <c r="C196" s="314" t="s">
        <v>4988</v>
      </c>
      <c r="D196" s="461" t="s">
        <v>4987</v>
      </c>
    </row>
    <row r="197" spans="1:4" ht="15">
      <c r="A197" s="314" t="s">
        <v>4989</v>
      </c>
      <c r="B197" s="314" t="s">
        <v>4990</v>
      </c>
      <c r="C197" s="314" t="s">
        <v>4991</v>
      </c>
      <c r="D197" s="461" t="s">
        <v>4990</v>
      </c>
    </row>
    <row r="198" spans="1:4" ht="15">
      <c r="A198" s="314" t="s">
        <v>4992</v>
      </c>
      <c r="B198" s="314" t="s">
        <v>4993</v>
      </c>
      <c r="C198" s="314" t="s">
        <v>4994</v>
      </c>
      <c r="D198" s="461" t="s">
        <v>4995</v>
      </c>
    </row>
    <row r="199" spans="1:4" ht="15">
      <c r="A199" s="314" t="s">
        <v>4996</v>
      </c>
      <c r="B199" s="314" t="s">
        <v>4997</v>
      </c>
      <c r="C199" s="314" t="s">
        <v>4998</v>
      </c>
      <c r="D199" s="461" t="s">
        <v>4997</v>
      </c>
    </row>
    <row r="200" spans="1:4" ht="15">
      <c r="A200" s="314" t="s">
        <v>4999</v>
      </c>
      <c r="B200" s="314" t="s">
        <v>5000</v>
      </c>
      <c r="C200" s="314" t="s">
        <v>5001</v>
      </c>
      <c r="D200" s="461" t="s">
        <v>4995</v>
      </c>
    </row>
    <row r="201" spans="1:4" ht="15">
      <c r="A201" s="314" t="s">
        <v>5002</v>
      </c>
      <c r="B201" s="314" t="s">
        <v>5003</v>
      </c>
      <c r="C201" s="314" t="s">
        <v>5004</v>
      </c>
      <c r="D201" s="461" t="s">
        <v>5003</v>
      </c>
    </row>
    <row r="202" spans="1:4" ht="15">
      <c r="A202" s="314" t="s">
        <v>5005</v>
      </c>
      <c r="B202" s="314" t="s">
        <v>5006</v>
      </c>
      <c r="C202" s="314" t="s">
        <v>5007</v>
      </c>
      <c r="D202" s="67" t="s">
        <v>5008</v>
      </c>
    </row>
    <row r="203" spans="1:4" ht="15">
      <c r="A203" s="314" t="s">
        <v>5009</v>
      </c>
      <c r="B203" s="314" t="s">
        <v>5010</v>
      </c>
      <c r="C203" s="314" t="s">
        <v>5011</v>
      </c>
      <c r="D203" s="67" t="s">
        <v>5012</v>
      </c>
    </row>
    <row r="204" spans="1:4" ht="15">
      <c r="A204" s="314" t="s">
        <v>5013</v>
      </c>
      <c r="B204" s="314" t="s">
        <v>5014</v>
      </c>
      <c r="C204" s="314" t="s">
        <v>5015</v>
      </c>
      <c r="D204" s="461" t="s">
        <v>5014</v>
      </c>
    </row>
    <row r="205" spans="1:4" ht="15">
      <c r="A205" s="314" t="s">
        <v>5016</v>
      </c>
      <c r="B205" s="314" t="s">
        <v>5017</v>
      </c>
      <c r="C205" s="314" t="s">
        <v>5018</v>
      </c>
      <c r="D205" s="67" t="s">
        <v>5019</v>
      </c>
    </row>
    <row r="206" spans="1:4" ht="15">
      <c r="A206" s="314" t="s">
        <v>5020</v>
      </c>
      <c r="B206" s="314" t="s">
        <v>5021</v>
      </c>
      <c r="C206" s="314" t="s">
        <v>5022</v>
      </c>
      <c r="D206" s="461" t="s">
        <v>5021</v>
      </c>
    </row>
    <row r="207" spans="1:4" ht="15">
      <c r="A207" s="314" t="s">
        <v>5023</v>
      </c>
      <c r="B207" s="314" t="s">
        <v>5024</v>
      </c>
      <c r="C207" s="316" t="s">
        <v>5024</v>
      </c>
      <c r="D207" s="461" t="s">
        <v>5024</v>
      </c>
    </row>
    <row r="208" spans="1:4" ht="15">
      <c r="A208" s="314" t="s">
        <v>5025</v>
      </c>
      <c r="B208" s="314" t="s">
        <v>5026</v>
      </c>
      <c r="C208" s="314" t="s">
        <v>5027</v>
      </c>
      <c r="D208" s="67" t="s">
        <v>5028</v>
      </c>
    </row>
    <row r="209" spans="1:4" ht="15">
      <c r="A209" s="314" t="s">
        <v>5029</v>
      </c>
      <c r="B209" s="314" t="s">
        <v>5030</v>
      </c>
      <c r="C209" s="314" t="s">
        <v>5031</v>
      </c>
      <c r="D209" s="67" t="s">
        <v>5032</v>
      </c>
    </row>
    <row r="210" spans="1:4" ht="15">
      <c r="A210" s="314" t="s">
        <v>5033</v>
      </c>
      <c r="B210" s="314" t="s">
        <v>5034</v>
      </c>
      <c r="C210" s="314" t="s">
        <v>5035</v>
      </c>
      <c r="D210" s="67" t="s">
        <v>5036</v>
      </c>
    </row>
    <row r="211" spans="1:4" ht="15">
      <c r="A211" s="314" t="s">
        <v>5037</v>
      </c>
      <c r="B211" s="314" t="s">
        <v>5038</v>
      </c>
      <c r="C211" s="314" t="s">
        <v>5039</v>
      </c>
      <c r="D211" s="67" t="s">
        <v>5040</v>
      </c>
    </row>
    <row r="212" spans="1:4" ht="15">
      <c r="A212" s="314" t="s">
        <v>5041</v>
      </c>
      <c r="B212" s="314" t="s">
        <v>5042</v>
      </c>
      <c r="C212" s="314" t="s">
        <v>5043</v>
      </c>
      <c r="D212" s="67" t="s">
        <v>5044</v>
      </c>
    </row>
    <row r="213" spans="1:4" ht="15">
      <c r="A213" s="314" t="s">
        <v>5045</v>
      </c>
      <c r="B213" s="314" t="s">
        <v>5046</v>
      </c>
      <c r="C213" s="314" t="s">
        <v>5047</v>
      </c>
      <c r="D213" s="67" t="s">
        <v>5048</v>
      </c>
    </row>
    <row r="214" spans="1:4" ht="15">
      <c r="A214" s="314" t="s">
        <v>5049</v>
      </c>
      <c r="B214" s="314" t="s">
        <v>5050</v>
      </c>
      <c r="C214" s="314" t="s">
        <v>5051</v>
      </c>
      <c r="D214" s="67" t="s">
        <v>5052</v>
      </c>
    </row>
    <row r="215" spans="1:4" ht="15">
      <c r="A215" s="314" t="s">
        <v>5053</v>
      </c>
      <c r="B215" s="314" t="s">
        <v>5054</v>
      </c>
      <c r="C215" s="314" t="s">
        <v>5055</v>
      </c>
      <c r="D215" s="67" t="s">
        <v>5056</v>
      </c>
    </row>
    <row r="216" spans="1:4" ht="15">
      <c r="A216" s="314" t="s">
        <v>5057</v>
      </c>
      <c r="B216" s="314" t="s">
        <v>5058</v>
      </c>
      <c r="C216" s="314" t="s">
        <v>5059</v>
      </c>
      <c r="D216" s="67" t="s">
        <v>5060</v>
      </c>
    </row>
    <row r="217" spans="1:4" ht="15">
      <c r="A217" s="314" t="s">
        <v>5061</v>
      </c>
      <c r="B217" s="314" t="s">
        <v>5062</v>
      </c>
      <c r="C217" s="314" t="s">
        <v>5063</v>
      </c>
      <c r="D217" s="67" t="s">
        <v>5064</v>
      </c>
    </row>
    <row r="218" spans="1:4" ht="15">
      <c r="A218" s="314" t="s">
        <v>5065</v>
      </c>
      <c r="B218" s="314" t="s">
        <v>5066</v>
      </c>
      <c r="C218" s="314" t="s">
        <v>5067</v>
      </c>
      <c r="D218" s="67" t="s">
        <v>5068</v>
      </c>
    </row>
    <row r="219" spans="1:4" ht="15">
      <c r="A219" s="314" t="s">
        <v>5069</v>
      </c>
      <c r="B219" s="314" t="s">
        <v>5070</v>
      </c>
      <c r="C219" s="314" t="s">
        <v>5071</v>
      </c>
      <c r="D219" s="67" t="s">
        <v>5072</v>
      </c>
    </row>
    <row r="220" spans="1:4" ht="15">
      <c r="A220" s="314" t="s">
        <v>5073</v>
      </c>
      <c r="B220" s="314" t="s">
        <v>5074</v>
      </c>
      <c r="C220" s="314" t="s">
        <v>5075</v>
      </c>
      <c r="D220" s="461" t="s">
        <v>5074</v>
      </c>
    </row>
    <row r="221" spans="1:4" ht="15">
      <c r="A221" s="314" t="s">
        <v>5076</v>
      </c>
      <c r="B221" s="314" t="s">
        <v>5077</v>
      </c>
      <c r="C221" s="314" t="s">
        <v>5078</v>
      </c>
      <c r="D221" s="67" t="s">
        <v>5079</v>
      </c>
    </row>
    <row r="222" spans="1:4" ht="15">
      <c r="A222" s="314" t="s">
        <v>5080</v>
      </c>
      <c r="B222" s="314" t="s">
        <v>5081</v>
      </c>
      <c r="C222" s="314" t="s">
        <v>5082</v>
      </c>
      <c r="D222" s="461" t="s">
        <v>5081</v>
      </c>
    </row>
    <row r="223" spans="1:4" ht="15">
      <c r="A223" s="314" t="s">
        <v>5083</v>
      </c>
      <c r="B223" s="314" t="s">
        <v>5084</v>
      </c>
      <c r="C223" s="314" t="s">
        <v>5085</v>
      </c>
      <c r="D223" s="461" t="s">
        <v>5084</v>
      </c>
    </row>
    <row r="224" spans="1:4" ht="15">
      <c r="A224" s="314" t="s">
        <v>5086</v>
      </c>
      <c r="B224" s="314" t="s">
        <v>5087</v>
      </c>
      <c r="C224" s="314" t="s">
        <v>5088</v>
      </c>
      <c r="D224" s="461" t="s">
        <v>5087</v>
      </c>
    </row>
    <row r="225" spans="1:4" ht="15">
      <c r="A225" s="314" t="s">
        <v>5089</v>
      </c>
      <c r="B225" s="314" t="s">
        <v>5090</v>
      </c>
      <c r="C225" s="314" t="s">
        <v>5091</v>
      </c>
      <c r="D225" s="461" t="s">
        <v>5090</v>
      </c>
    </row>
    <row r="226" spans="1:4" ht="15">
      <c r="A226" s="314" t="s">
        <v>5092</v>
      </c>
      <c r="B226" s="314" t="s">
        <v>5093</v>
      </c>
      <c r="C226" s="314" t="s">
        <v>5094</v>
      </c>
      <c r="D226" s="461" t="s">
        <v>5093</v>
      </c>
    </row>
    <row r="227" spans="1:4" ht="15">
      <c r="A227" s="314" t="s">
        <v>5095</v>
      </c>
      <c r="B227" s="314" t="s">
        <v>5096</v>
      </c>
      <c r="C227" s="314" t="s">
        <v>5097</v>
      </c>
      <c r="D227" s="461" t="s">
        <v>5096</v>
      </c>
    </row>
    <row r="228" spans="1:4" ht="15">
      <c r="A228" s="314" t="s">
        <v>5098</v>
      </c>
      <c r="B228" s="314" t="s">
        <v>5099</v>
      </c>
      <c r="C228" s="314" t="s">
        <v>5100</v>
      </c>
      <c r="D228" s="461" t="s">
        <v>5099</v>
      </c>
    </row>
    <row r="229" spans="1:4" ht="15">
      <c r="A229" s="314" t="s">
        <v>5101</v>
      </c>
      <c r="B229" s="314" t="s">
        <v>5102</v>
      </c>
      <c r="C229" s="314" t="s">
        <v>5103</v>
      </c>
      <c r="D229" s="67" t="s">
        <v>5104</v>
      </c>
    </row>
    <row r="230" spans="1:4" ht="15">
      <c r="A230" s="314" t="s">
        <v>5105</v>
      </c>
      <c r="B230" s="314" t="s">
        <v>5106</v>
      </c>
      <c r="C230" s="314" t="s">
        <v>5107</v>
      </c>
      <c r="D230" s="461" t="s">
        <v>5106</v>
      </c>
    </row>
    <row r="231" spans="1:4" ht="15">
      <c r="A231" s="314" t="s">
        <v>5108</v>
      </c>
      <c r="B231" s="314" t="s">
        <v>5109</v>
      </c>
      <c r="C231" s="314" t="s">
        <v>5110</v>
      </c>
      <c r="D231" s="461" t="s">
        <v>5109</v>
      </c>
    </row>
    <row r="232" spans="1:4" ht="15">
      <c r="A232" s="314" t="s">
        <v>5111</v>
      </c>
      <c r="B232" s="314" t="s">
        <v>5112</v>
      </c>
      <c r="C232" s="314" t="s">
        <v>5113</v>
      </c>
      <c r="D232" s="461" t="s">
        <v>5112</v>
      </c>
    </row>
    <row r="233" spans="1:4" ht="15">
      <c r="A233" s="314" t="s">
        <v>5114</v>
      </c>
      <c r="B233" s="314" t="s">
        <v>5115</v>
      </c>
      <c r="C233" s="314" t="s">
        <v>5116</v>
      </c>
      <c r="D233" s="67" t="s">
        <v>5117</v>
      </c>
    </row>
    <row r="234" spans="1:4" ht="15">
      <c r="A234" s="314" t="s">
        <v>5118</v>
      </c>
      <c r="B234" s="314" t="s">
        <v>5119</v>
      </c>
      <c r="C234" s="314" t="s">
        <v>5120</v>
      </c>
      <c r="D234" s="461" t="s">
        <v>5119</v>
      </c>
    </row>
    <row r="235" spans="1:4" ht="15">
      <c r="A235" s="314" t="s">
        <v>5121</v>
      </c>
      <c r="B235" s="314" t="s">
        <v>5122</v>
      </c>
      <c r="C235" s="316" t="s">
        <v>5122</v>
      </c>
      <c r="D235" s="461" t="s">
        <v>5122</v>
      </c>
    </row>
    <row r="236" spans="1:4" ht="15">
      <c r="A236" s="314" t="s">
        <v>5123</v>
      </c>
      <c r="B236" s="314" t="s">
        <v>5124</v>
      </c>
      <c r="C236" s="314" t="s">
        <v>5125</v>
      </c>
      <c r="D236" s="461" t="s">
        <v>5124</v>
      </c>
    </row>
    <row r="237" spans="1:4" ht="15">
      <c r="A237" s="314" t="s">
        <v>5126</v>
      </c>
      <c r="B237" s="314" t="s">
        <v>5127</v>
      </c>
      <c r="C237" s="314" t="s">
        <v>5128</v>
      </c>
      <c r="D237" s="461" t="s">
        <v>5127</v>
      </c>
    </row>
    <row r="238" spans="1:4" ht="15">
      <c r="A238" s="314" t="s">
        <v>5129</v>
      </c>
      <c r="B238" s="314" t="s">
        <v>5130</v>
      </c>
      <c r="C238" s="314" t="s">
        <v>5131</v>
      </c>
      <c r="D238" s="461" t="s">
        <v>5130</v>
      </c>
    </row>
    <row r="239" spans="1:4" ht="15">
      <c r="A239" s="314" t="s">
        <v>5132</v>
      </c>
      <c r="B239" s="314" t="s">
        <v>5133</v>
      </c>
      <c r="C239" s="314" t="s">
        <v>5134</v>
      </c>
      <c r="D239" s="461" t="s">
        <v>5133</v>
      </c>
    </row>
    <row r="240" spans="1:4" ht="15">
      <c r="A240" s="314" t="s">
        <v>5135</v>
      </c>
      <c r="B240" s="314" t="s">
        <v>5136</v>
      </c>
      <c r="C240" s="314" t="s">
        <v>5137</v>
      </c>
      <c r="D240" s="461" t="s">
        <v>5136</v>
      </c>
    </row>
    <row r="241" spans="1:4" ht="15">
      <c r="A241" s="314" t="s">
        <v>5138</v>
      </c>
      <c r="B241" s="314" t="s">
        <v>5139</v>
      </c>
      <c r="C241" s="314" t="s">
        <v>5140</v>
      </c>
      <c r="D241" s="461" t="s">
        <v>5139</v>
      </c>
    </row>
    <row r="242" spans="1:4" ht="15">
      <c r="A242" s="314" t="s">
        <v>5141</v>
      </c>
      <c r="B242" s="314" t="s">
        <v>5142</v>
      </c>
      <c r="C242" s="314" t="s">
        <v>5143</v>
      </c>
      <c r="D242" s="461" t="s">
        <v>5142</v>
      </c>
    </row>
    <row r="243" spans="1:4" ht="15">
      <c r="A243" s="314" t="s">
        <v>5144</v>
      </c>
      <c r="B243" s="314" t="s">
        <v>5145</v>
      </c>
      <c r="C243" s="314" t="s">
        <v>5146</v>
      </c>
      <c r="D243" s="461" t="s">
        <v>5145</v>
      </c>
    </row>
    <row r="244" spans="1:4" ht="15">
      <c r="A244" s="314" t="s">
        <v>5147</v>
      </c>
      <c r="B244" s="314" t="s">
        <v>5148</v>
      </c>
      <c r="C244" s="314" t="s">
        <v>5149</v>
      </c>
      <c r="D244" s="461" t="s">
        <v>5148</v>
      </c>
    </row>
    <row r="245" spans="1:4" ht="15">
      <c r="A245" s="314" t="s">
        <v>5150</v>
      </c>
      <c r="B245" s="314" t="s">
        <v>5151</v>
      </c>
      <c r="C245" s="314" t="s">
        <v>5152</v>
      </c>
      <c r="D245" s="461" t="s">
        <v>5151</v>
      </c>
    </row>
    <row r="246" spans="1:4" ht="15">
      <c r="A246" s="314" t="s">
        <v>5153</v>
      </c>
      <c r="B246" s="314" t="s">
        <v>5154</v>
      </c>
      <c r="C246" s="314" t="s">
        <v>5155</v>
      </c>
      <c r="D246" s="461" t="s">
        <v>5154</v>
      </c>
    </row>
    <row r="247" spans="1:4" ht="15">
      <c r="A247" s="314" t="s">
        <v>5156</v>
      </c>
      <c r="B247" s="314" t="s">
        <v>5157</v>
      </c>
      <c r="C247" s="314" t="s">
        <v>5158</v>
      </c>
      <c r="D247" s="461" t="s">
        <v>5157</v>
      </c>
    </row>
    <row r="248" spans="1:4" ht="15">
      <c r="A248" s="314" t="s">
        <v>5159</v>
      </c>
      <c r="B248" s="314" t="s">
        <v>5160</v>
      </c>
      <c r="C248" s="314" t="s">
        <v>5161</v>
      </c>
      <c r="D248" s="461" t="s">
        <v>5160</v>
      </c>
    </row>
    <row r="249" spans="1:4" ht="15">
      <c r="A249" s="314" t="s">
        <v>5162</v>
      </c>
      <c r="B249" s="314" t="s">
        <v>5163</v>
      </c>
      <c r="C249" s="314" t="s">
        <v>5164</v>
      </c>
      <c r="D249" s="461" t="s">
        <v>5163</v>
      </c>
    </row>
    <row r="250" spans="1:4" ht="15">
      <c r="A250" s="314" t="s">
        <v>5165</v>
      </c>
      <c r="B250" s="314" t="s">
        <v>5166</v>
      </c>
      <c r="C250" s="314" t="s">
        <v>5167</v>
      </c>
      <c r="D250" s="461" t="s">
        <v>5166</v>
      </c>
    </row>
    <row r="251" spans="1:4" ht="15">
      <c r="A251" s="314" t="s">
        <v>5168</v>
      </c>
      <c r="B251" s="314" t="s">
        <v>5169</v>
      </c>
      <c r="C251" s="314" t="s">
        <v>5170</v>
      </c>
      <c r="D251" s="67" t="s">
        <v>5171</v>
      </c>
    </row>
    <row r="252" spans="1:4" ht="15">
      <c r="A252" s="314" t="s">
        <v>5172</v>
      </c>
      <c r="B252" s="314" t="s">
        <v>5173</v>
      </c>
      <c r="C252" s="314" t="s">
        <v>5174</v>
      </c>
      <c r="D252" s="67" t="s">
        <v>5175</v>
      </c>
    </row>
    <row r="253" spans="1:4" ht="15">
      <c r="A253" s="314" t="s">
        <v>5176</v>
      </c>
      <c r="B253" s="314" t="s">
        <v>5177</v>
      </c>
      <c r="C253" s="314" t="s">
        <v>5178</v>
      </c>
      <c r="D253" s="461" t="s">
        <v>5177</v>
      </c>
    </row>
    <row r="254" spans="1:4" ht="15">
      <c r="A254" s="314" t="s">
        <v>5179</v>
      </c>
      <c r="B254" s="314" t="s">
        <v>5180</v>
      </c>
      <c r="C254" s="314" t="s">
        <v>5181</v>
      </c>
      <c r="D254" s="67" t="s">
        <v>5182</v>
      </c>
    </row>
    <row r="255" spans="1:4" ht="15">
      <c r="A255" s="314" t="s">
        <v>5183</v>
      </c>
      <c r="B255" s="314" t="s">
        <v>5184</v>
      </c>
      <c r="C255" s="314" t="s">
        <v>5185</v>
      </c>
      <c r="D255" s="461" t="s">
        <v>5184</v>
      </c>
    </row>
    <row r="256" spans="1:4" ht="15">
      <c r="A256" s="314" t="s">
        <v>5186</v>
      </c>
      <c r="B256" s="314" t="s">
        <v>5187</v>
      </c>
      <c r="C256" s="314" t="s">
        <v>5188</v>
      </c>
      <c r="D256" s="461" t="s">
        <v>5187</v>
      </c>
    </row>
    <row r="257" spans="1:4" ht="15">
      <c r="A257" s="314" t="s">
        <v>5189</v>
      </c>
      <c r="B257" s="314" t="s">
        <v>5190</v>
      </c>
      <c r="C257" s="314" t="s">
        <v>5191</v>
      </c>
      <c r="D257" s="461" t="s">
        <v>5190</v>
      </c>
    </row>
    <row r="258" spans="1:4" ht="15">
      <c r="A258" s="314" t="s">
        <v>5192</v>
      </c>
      <c r="B258" s="314" t="s">
        <v>5193</v>
      </c>
      <c r="C258" s="316" t="s">
        <v>5193</v>
      </c>
      <c r="D258" s="461" t="s">
        <v>5193</v>
      </c>
    </row>
    <row r="259" spans="1:4" ht="15">
      <c r="A259" s="314" t="s">
        <v>5194</v>
      </c>
      <c r="B259" s="314" t="s">
        <v>5195</v>
      </c>
      <c r="C259" s="314" t="s">
        <v>5196</v>
      </c>
      <c r="D259" s="67" t="s">
        <v>5197</v>
      </c>
    </row>
    <row r="260" spans="1:4" ht="15">
      <c r="A260" s="314" t="s">
        <v>5198</v>
      </c>
      <c r="B260" s="314" t="s">
        <v>5199</v>
      </c>
      <c r="C260" s="316" t="s">
        <v>5199</v>
      </c>
      <c r="D260" s="461" t="s">
        <v>5199</v>
      </c>
    </row>
    <row r="261" spans="1:4" ht="15">
      <c r="A261" s="314" t="s">
        <v>5200</v>
      </c>
      <c r="B261" s="314" t="s">
        <v>5201</v>
      </c>
      <c r="C261" s="316" t="s">
        <v>5201</v>
      </c>
      <c r="D261" s="461" t="s">
        <v>5201</v>
      </c>
    </row>
    <row r="262" spans="1:4" ht="15">
      <c r="A262" s="314" t="s">
        <v>5202</v>
      </c>
      <c r="B262" s="314" t="s">
        <v>5203</v>
      </c>
      <c r="C262" s="316" t="s">
        <v>5203</v>
      </c>
      <c r="D262" s="461" t="s">
        <v>5203</v>
      </c>
    </row>
    <row r="263" spans="1:4" ht="15">
      <c r="A263" s="314" t="s">
        <v>5204</v>
      </c>
      <c r="B263" s="314" t="s">
        <v>5205</v>
      </c>
      <c r="C263" s="314" t="s">
        <v>5206</v>
      </c>
      <c r="D263" s="461" t="s">
        <v>5205</v>
      </c>
    </row>
    <row r="264" spans="1:4" ht="15">
      <c r="A264" s="314" t="s">
        <v>5207</v>
      </c>
      <c r="B264" s="314" t="s">
        <v>5208</v>
      </c>
      <c r="C264" s="314" t="s">
        <v>5209</v>
      </c>
      <c r="D264" s="67" t="s">
        <v>5210</v>
      </c>
    </row>
    <row r="265" spans="1:4" ht="15">
      <c r="A265" s="314" t="s">
        <v>5211</v>
      </c>
      <c r="B265" s="314" t="s">
        <v>5212</v>
      </c>
      <c r="C265" s="314" t="s">
        <v>5213</v>
      </c>
      <c r="D265" s="461" t="s">
        <v>5212</v>
      </c>
    </row>
    <row r="266" spans="1:4" ht="15">
      <c r="A266" s="314" t="s">
        <v>5214</v>
      </c>
      <c r="B266" s="314" t="s">
        <v>5215</v>
      </c>
      <c r="C266" s="314" t="s">
        <v>5216</v>
      </c>
      <c r="D266" s="461" t="s">
        <v>5215</v>
      </c>
    </row>
    <row r="267" spans="1:4" ht="15">
      <c r="A267" s="314" t="s">
        <v>5217</v>
      </c>
      <c r="B267" s="314" t="s">
        <v>5218</v>
      </c>
      <c r="C267" s="314" t="s">
        <v>5219</v>
      </c>
      <c r="D267" s="461" t="s">
        <v>5218</v>
      </c>
    </row>
    <row r="268" spans="1:4" ht="15">
      <c r="A268" s="314" t="s">
        <v>5220</v>
      </c>
      <c r="B268" s="314" t="s">
        <v>5221</v>
      </c>
      <c r="C268" s="314" t="s">
        <v>5222</v>
      </c>
      <c r="D268" s="461" t="s">
        <v>5221</v>
      </c>
    </row>
    <row r="269" spans="1:4" ht="15">
      <c r="A269" s="314" t="s">
        <v>5223</v>
      </c>
      <c r="B269" s="314" t="s">
        <v>5224</v>
      </c>
      <c r="C269" s="314" t="s">
        <v>5225</v>
      </c>
      <c r="D269" s="461" t="s">
        <v>5224</v>
      </c>
    </row>
    <row r="270" spans="1:4" ht="15">
      <c r="A270" s="314" t="s">
        <v>5226</v>
      </c>
      <c r="B270" s="314" t="s">
        <v>5227</v>
      </c>
      <c r="C270" s="314" t="s">
        <v>5228</v>
      </c>
      <c r="D270" s="461" t="s">
        <v>5227</v>
      </c>
    </row>
    <row r="271" spans="1:4" ht="15">
      <c r="A271" s="314" t="s">
        <v>5229</v>
      </c>
      <c r="B271" s="314" t="s">
        <v>5230</v>
      </c>
      <c r="C271" s="314" t="s">
        <v>5231</v>
      </c>
      <c r="D271" s="461" t="s">
        <v>5230</v>
      </c>
    </row>
    <row r="272" spans="1:4" ht="15">
      <c r="A272" s="314" t="s">
        <v>5232</v>
      </c>
      <c r="B272" s="314" t="s">
        <v>5233</v>
      </c>
      <c r="C272" s="316" t="s">
        <v>5233</v>
      </c>
      <c r="D272" s="461" t="s">
        <v>5233</v>
      </c>
    </row>
    <row r="273" spans="1:4" ht="15">
      <c r="A273" s="314" t="s">
        <v>5234</v>
      </c>
      <c r="B273" s="314" t="s">
        <v>5235</v>
      </c>
      <c r="C273" s="314" t="s">
        <v>5236</v>
      </c>
      <c r="D273" s="461" t="s">
        <v>5235</v>
      </c>
    </row>
    <row r="274" spans="1:4" ht="15">
      <c r="A274" s="314" t="s">
        <v>5237</v>
      </c>
      <c r="B274" s="314" t="s">
        <v>5238</v>
      </c>
      <c r="C274" s="316" t="s">
        <v>5238</v>
      </c>
      <c r="D274" s="461" t="s">
        <v>5238</v>
      </c>
    </row>
    <row r="275" spans="1:4" ht="15">
      <c r="A275" s="314" t="s">
        <v>5239</v>
      </c>
      <c r="B275" s="314" t="s">
        <v>5240</v>
      </c>
      <c r="C275" s="314" t="s">
        <v>5241</v>
      </c>
      <c r="D275" s="461" t="s">
        <v>5240</v>
      </c>
    </row>
    <row r="276" spans="1:4" ht="15">
      <c r="A276" s="314" t="s">
        <v>5242</v>
      </c>
      <c r="B276" s="314" t="s">
        <v>5243</v>
      </c>
      <c r="C276" s="314" t="s">
        <v>5244</v>
      </c>
      <c r="D276" s="67" t="s">
        <v>5245</v>
      </c>
    </row>
    <row r="277" spans="1:4" ht="15">
      <c r="A277" s="314" t="s">
        <v>5246</v>
      </c>
      <c r="B277" s="314" t="s">
        <v>5247</v>
      </c>
      <c r="C277" s="314" t="s">
        <v>5248</v>
      </c>
      <c r="D277" s="67" t="s">
        <v>5249</v>
      </c>
    </row>
    <row r="278" spans="1:4" ht="15">
      <c r="A278" s="314" t="s">
        <v>5250</v>
      </c>
      <c r="B278" s="314" t="s">
        <v>5251</v>
      </c>
      <c r="C278" s="314" t="s">
        <v>5252</v>
      </c>
      <c r="D278" s="461" t="s">
        <v>5251</v>
      </c>
    </row>
    <row r="279" spans="1:4" ht="15">
      <c r="A279" s="314" t="s">
        <v>5253</v>
      </c>
      <c r="B279" s="314" t="s">
        <v>5254</v>
      </c>
      <c r="C279" s="314" t="s">
        <v>5255</v>
      </c>
      <c r="D279" s="67" t="s">
        <v>5256</v>
      </c>
    </row>
    <row r="280" spans="1:4" ht="15">
      <c r="A280" s="314" t="s">
        <v>5257</v>
      </c>
      <c r="B280" s="314" t="s">
        <v>5258</v>
      </c>
      <c r="C280" s="316" t="s">
        <v>5258</v>
      </c>
      <c r="D280" s="461" t="s">
        <v>5258</v>
      </c>
    </row>
    <row r="281" spans="1:4" ht="15">
      <c r="A281" s="314" t="s">
        <v>5259</v>
      </c>
      <c r="B281" s="314" t="s">
        <v>5260</v>
      </c>
      <c r="C281" s="316" t="s">
        <v>5260</v>
      </c>
      <c r="D281" s="461" t="s">
        <v>5260</v>
      </c>
    </row>
    <row r="282" spans="1:4" ht="15">
      <c r="A282" s="314" t="s">
        <v>5261</v>
      </c>
      <c r="B282" s="314" t="s">
        <v>5262</v>
      </c>
      <c r="C282" s="316" t="s">
        <v>5262</v>
      </c>
      <c r="D282" s="461" t="s">
        <v>5262</v>
      </c>
    </row>
    <row r="283" spans="1:4" ht="15">
      <c r="A283" s="314" t="s">
        <v>5263</v>
      </c>
      <c r="B283" s="314" t="s">
        <v>5264</v>
      </c>
      <c r="C283" s="314" t="s">
        <v>5265</v>
      </c>
      <c r="D283" s="461" t="s">
        <v>5264</v>
      </c>
    </row>
    <row r="284" spans="1:4" ht="15">
      <c r="A284" s="314" t="s">
        <v>5266</v>
      </c>
      <c r="B284" s="314" t="s">
        <v>5267</v>
      </c>
      <c r="C284" s="314" t="s">
        <v>5268</v>
      </c>
      <c r="D284" s="461" t="s">
        <v>5267</v>
      </c>
    </row>
    <row r="285" spans="1:4" ht="15">
      <c r="A285" s="314" t="s">
        <v>5269</v>
      </c>
      <c r="B285" s="314" t="s">
        <v>5270</v>
      </c>
      <c r="C285" s="314" t="s">
        <v>5271</v>
      </c>
      <c r="D285" s="461" t="s">
        <v>5270</v>
      </c>
    </row>
    <row r="286" spans="1:4" ht="15">
      <c r="A286" s="314" t="s">
        <v>5272</v>
      </c>
      <c r="B286" s="314" t="s">
        <v>5273</v>
      </c>
      <c r="C286" s="314" t="s">
        <v>5274</v>
      </c>
      <c r="D286" s="461" t="s">
        <v>5273</v>
      </c>
    </row>
    <row r="287" spans="1:4" ht="15">
      <c r="A287" s="314" t="s">
        <v>5275</v>
      </c>
      <c r="B287" s="314" t="s">
        <v>5276</v>
      </c>
      <c r="C287" s="316" t="s">
        <v>5276</v>
      </c>
      <c r="D287" s="461" t="s">
        <v>5276</v>
      </c>
    </row>
    <row r="288" spans="1:4" ht="15">
      <c r="A288" s="314" t="s">
        <v>5277</v>
      </c>
      <c r="B288" s="314" t="s">
        <v>5278</v>
      </c>
      <c r="C288" s="314" t="s">
        <v>5279</v>
      </c>
      <c r="D288" s="461" t="s">
        <v>5278</v>
      </c>
    </row>
    <row r="289" spans="1:4" ht="15">
      <c r="A289" s="314" t="s">
        <v>5280</v>
      </c>
      <c r="B289" s="314" t="s">
        <v>5281</v>
      </c>
      <c r="C289" s="314" t="s">
        <v>5282</v>
      </c>
      <c r="D289" s="67" t="s">
        <v>5283</v>
      </c>
    </row>
    <row r="290" spans="1:4" ht="15">
      <c r="A290" s="314" t="s">
        <v>5284</v>
      </c>
      <c r="B290" s="314" t="s">
        <v>5285</v>
      </c>
      <c r="C290" s="314" t="s">
        <v>5286</v>
      </c>
      <c r="D290" s="67" t="s">
        <v>5287</v>
      </c>
    </row>
    <row r="291" spans="1:4" ht="15">
      <c r="A291" s="314" t="s">
        <v>5288</v>
      </c>
      <c r="B291" s="314" t="s">
        <v>5289</v>
      </c>
      <c r="C291" s="314" t="s">
        <v>5290</v>
      </c>
      <c r="D291" s="67" t="s">
        <v>5291</v>
      </c>
    </row>
    <row r="292" spans="1:4" ht="15">
      <c r="A292" s="314" t="s">
        <v>5292</v>
      </c>
      <c r="B292" s="314" t="s">
        <v>5293</v>
      </c>
      <c r="C292" s="314" t="s">
        <v>5294</v>
      </c>
      <c r="D292" s="67" t="s">
        <v>5295</v>
      </c>
    </row>
    <row r="293" spans="1:4" ht="15">
      <c r="A293" s="314" t="s">
        <v>5296</v>
      </c>
      <c r="B293" s="314" t="s">
        <v>5297</v>
      </c>
      <c r="C293" s="314" t="s">
        <v>5298</v>
      </c>
      <c r="D293" s="67" t="s">
        <v>5299</v>
      </c>
    </row>
    <row r="294" spans="1:4" ht="15">
      <c r="A294" s="314" t="s">
        <v>5300</v>
      </c>
      <c r="B294" s="314" t="s">
        <v>5301</v>
      </c>
      <c r="C294" s="314" t="s">
        <v>5302</v>
      </c>
      <c r="D294" s="461" t="s">
        <v>5301</v>
      </c>
    </row>
    <row r="295" spans="1:4" ht="15">
      <c r="A295" s="314" t="s">
        <v>5303</v>
      </c>
      <c r="B295" s="314" t="s">
        <v>5304</v>
      </c>
      <c r="C295" s="314" t="s">
        <v>5305</v>
      </c>
      <c r="D295" s="461" t="s">
        <v>5304</v>
      </c>
    </row>
    <row r="296" spans="1:4" ht="15">
      <c r="A296" s="314" t="s">
        <v>5306</v>
      </c>
      <c r="B296" s="314" t="s">
        <v>5307</v>
      </c>
      <c r="C296" s="314" t="s">
        <v>5308</v>
      </c>
      <c r="D296" s="461" t="s">
        <v>5307</v>
      </c>
    </row>
    <row r="297" spans="1:4" ht="15">
      <c r="A297" s="314" t="s">
        <v>5309</v>
      </c>
      <c r="B297" s="314" t="s">
        <v>5310</v>
      </c>
      <c r="C297" s="314" t="s">
        <v>5311</v>
      </c>
      <c r="D297" s="67" t="s">
        <v>5312</v>
      </c>
    </row>
    <row r="298" spans="1:4" ht="15">
      <c r="A298" s="314" t="s">
        <v>5313</v>
      </c>
      <c r="B298" s="314" t="s">
        <v>5314</v>
      </c>
      <c r="C298" s="314" t="s">
        <v>5315</v>
      </c>
      <c r="D298" s="67" t="s">
        <v>5316</v>
      </c>
    </row>
    <row r="299" spans="1:4" ht="15">
      <c r="A299" s="314" t="s">
        <v>5317</v>
      </c>
      <c r="B299" s="314" t="s">
        <v>5318</v>
      </c>
      <c r="C299" s="314" t="s">
        <v>5319</v>
      </c>
      <c r="D299" s="67" t="s">
        <v>5320</v>
      </c>
    </row>
    <row r="300" spans="1:4" ht="15">
      <c r="A300" s="314" t="s">
        <v>5321</v>
      </c>
      <c r="B300" s="314" t="s">
        <v>5322</v>
      </c>
      <c r="C300" s="314" t="s">
        <v>5323</v>
      </c>
      <c r="D300" s="67" t="s">
        <v>5324</v>
      </c>
    </row>
    <row r="301" spans="1:4" ht="15">
      <c r="A301" s="314" t="s">
        <v>5325</v>
      </c>
      <c r="B301" s="314" t="s">
        <v>5326</v>
      </c>
      <c r="C301" s="314" t="s">
        <v>5327</v>
      </c>
      <c r="D301" s="67" t="s">
        <v>5328</v>
      </c>
    </row>
    <row r="302" spans="1:4" ht="15">
      <c r="A302" s="314" t="s">
        <v>5329</v>
      </c>
      <c r="B302" s="314" t="s">
        <v>5330</v>
      </c>
      <c r="C302" s="314" t="s">
        <v>5331</v>
      </c>
      <c r="D302" s="67" t="s">
        <v>5332</v>
      </c>
    </row>
    <row r="303" spans="1:4" ht="15">
      <c r="A303" s="314" t="s">
        <v>5333</v>
      </c>
      <c r="B303" s="314" t="s">
        <v>5334</v>
      </c>
      <c r="C303" s="314" t="s">
        <v>5335</v>
      </c>
      <c r="D303" s="67" t="s">
        <v>5336</v>
      </c>
    </row>
    <row r="304" spans="1:4" ht="15">
      <c r="A304" s="314" t="s">
        <v>5337</v>
      </c>
      <c r="B304" s="314" t="s">
        <v>5338</v>
      </c>
      <c r="C304" s="314" t="s">
        <v>5339</v>
      </c>
      <c r="D304" s="67" t="s">
        <v>5340</v>
      </c>
    </row>
    <row r="305" spans="1:4" ht="15">
      <c r="A305" s="314" t="s">
        <v>5341</v>
      </c>
      <c r="B305" s="314" t="s">
        <v>5342</v>
      </c>
      <c r="C305" s="314" t="s">
        <v>5343</v>
      </c>
      <c r="D305" s="67" t="s">
        <v>5344</v>
      </c>
    </row>
    <row r="306" spans="1:4" ht="15">
      <c r="A306" s="314" t="s">
        <v>5345</v>
      </c>
      <c r="B306" s="314" t="s">
        <v>5346</v>
      </c>
      <c r="C306" s="314" t="s">
        <v>5347</v>
      </c>
      <c r="D306" s="461" t="s">
        <v>5346</v>
      </c>
    </row>
    <row r="307" spans="1:4" ht="15">
      <c r="A307" s="314" t="s">
        <v>5348</v>
      </c>
      <c r="B307" s="314" t="s">
        <v>5349</v>
      </c>
      <c r="C307" s="314" t="s">
        <v>5350</v>
      </c>
      <c r="D307" s="67" t="s">
        <v>5351</v>
      </c>
    </row>
    <row r="308" spans="1:4" ht="15">
      <c r="A308" s="314" t="s">
        <v>5352</v>
      </c>
      <c r="B308" s="314" t="s">
        <v>5353</v>
      </c>
      <c r="C308" s="314" t="s">
        <v>5354</v>
      </c>
      <c r="D308" s="67" t="s">
        <v>5355</v>
      </c>
    </row>
    <row r="309" spans="1:4" ht="15">
      <c r="A309" s="314" t="s">
        <v>5356</v>
      </c>
      <c r="B309" s="314" t="s">
        <v>5357</v>
      </c>
      <c r="C309" s="314" t="s">
        <v>5358</v>
      </c>
      <c r="D309" s="67" t="s">
        <v>5359</v>
      </c>
    </row>
    <row r="310" spans="1:4" ht="15">
      <c r="A310" s="314" t="s">
        <v>5360</v>
      </c>
      <c r="B310" s="314" t="s">
        <v>5361</v>
      </c>
      <c r="C310" s="314" t="s">
        <v>5362</v>
      </c>
      <c r="D310" s="67" t="s">
        <v>5363</v>
      </c>
    </row>
    <row r="311" spans="1:4" ht="15">
      <c r="A311" s="314" t="s">
        <v>5364</v>
      </c>
      <c r="B311" s="314" t="s">
        <v>5365</v>
      </c>
      <c r="C311" s="314" t="s">
        <v>5366</v>
      </c>
      <c r="D311" s="67" t="s">
        <v>5367</v>
      </c>
    </row>
    <row r="312" spans="1:4" ht="15">
      <c r="A312" s="314" t="s">
        <v>5368</v>
      </c>
      <c r="B312" s="314" t="s">
        <v>5369</v>
      </c>
      <c r="C312" s="314" t="s">
        <v>5370</v>
      </c>
      <c r="D312" s="67" t="s">
        <v>5371</v>
      </c>
    </row>
    <row r="313" spans="1:4" ht="15">
      <c r="A313" s="314" t="s">
        <v>5372</v>
      </c>
      <c r="B313" s="314" t="s">
        <v>5373</v>
      </c>
      <c r="C313" s="314" t="s">
        <v>5374</v>
      </c>
      <c r="D313" s="67" t="s">
        <v>5375</v>
      </c>
    </row>
    <row r="314" spans="1:4" ht="15">
      <c r="A314" s="314" t="s">
        <v>5376</v>
      </c>
      <c r="B314" s="314" t="s">
        <v>5377</v>
      </c>
      <c r="C314" s="314" t="s">
        <v>5378</v>
      </c>
      <c r="D314" s="67" t="s">
        <v>5379</v>
      </c>
    </row>
    <row r="315" spans="1:4" ht="15">
      <c r="A315" s="314" t="s">
        <v>5380</v>
      </c>
      <c r="B315" s="314" t="s">
        <v>5381</v>
      </c>
      <c r="C315" s="314" t="s">
        <v>5382</v>
      </c>
      <c r="D315" s="67" t="s">
        <v>5383</v>
      </c>
    </row>
    <row r="316" spans="1:4" ht="15">
      <c r="A316" s="314" t="s">
        <v>5384</v>
      </c>
      <c r="B316" s="314" t="s">
        <v>5385</v>
      </c>
      <c r="C316" s="314" t="s">
        <v>5386</v>
      </c>
      <c r="D316" s="67" t="s">
        <v>5387</v>
      </c>
    </row>
    <row r="317" spans="1:4" ht="15">
      <c r="A317" s="314" t="s">
        <v>5388</v>
      </c>
      <c r="B317" s="314" t="s">
        <v>5389</v>
      </c>
      <c r="C317" s="314" t="s">
        <v>5390</v>
      </c>
      <c r="D317" s="67" t="s">
        <v>5391</v>
      </c>
    </row>
    <row r="318" spans="1:4" ht="15">
      <c r="A318" s="314" t="s">
        <v>5392</v>
      </c>
      <c r="B318" s="314" t="s">
        <v>5393</v>
      </c>
      <c r="C318" s="314" t="s">
        <v>5394</v>
      </c>
      <c r="D318" s="67" t="s">
        <v>5395</v>
      </c>
    </row>
    <row r="319" spans="1:4" ht="15">
      <c r="A319" s="314" t="s">
        <v>5396</v>
      </c>
      <c r="B319" s="314" t="s">
        <v>5397</v>
      </c>
      <c r="C319" s="314" t="s">
        <v>5398</v>
      </c>
      <c r="D319" s="67" t="s">
        <v>5399</v>
      </c>
    </row>
    <row r="320" spans="1:4" ht="15">
      <c r="A320" s="314" t="s">
        <v>5400</v>
      </c>
      <c r="B320" s="314" t="s">
        <v>5401</v>
      </c>
      <c r="C320" s="314" t="s">
        <v>5402</v>
      </c>
      <c r="D320" s="67" t="s">
        <v>5403</v>
      </c>
    </row>
    <row r="321" spans="1:4" ht="15">
      <c r="A321" s="314" t="s">
        <v>5404</v>
      </c>
      <c r="B321" s="314" t="s">
        <v>5405</v>
      </c>
      <c r="C321" s="314" t="s">
        <v>5406</v>
      </c>
      <c r="D321" s="67" t="s">
        <v>5407</v>
      </c>
    </row>
    <row r="322" spans="1:4" ht="15">
      <c r="A322" s="314" t="s">
        <v>5408</v>
      </c>
      <c r="B322" s="314" t="s">
        <v>5409</v>
      </c>
      <c r="C322" s="314" t="s">
        <v>5410</v>
      </c>
      <c r="D322" s="67" t="s">
        <v>5411</v>
      </c>
    </row>
    <row r="323" spans="1:4" ht="15">
      <c r="A323" s="314" t="s">
        <v>5412</v>
      </c>
      <c r="B323" s="314" t="s">
        <v>5413</v>
      </c>
      <c r="C323" s="314" t="s">
        <v>5414</v>
      </c>
      <c r="D323" s="67" t="s">
        <v>5415</v>
      </c>
    </row>
    <row r="324" spans="1:4" ht="15">
      <c r="A324" s="314" t="s">
        <v>5416</v>
      </c>
      <c r="B324" s="314" t="s">
        <v>5417</v>
      </c>
      <c r="C324" s="314" t="s">
        <v>5418</v>
      </c>
      <c r="D324" s="67" t="s">
        <v>5419</v>
      </c>
    </row>
    <row r="325" spans="1:4" ht="15">
      <c r="A325" s="314" t="s">
        <v>5420</v>
      </c>
      <c r="B325" s="314" t="s">
        <v>5421</v>
      </c>
      <c r="C325" s="314" t="s">
        <v>5422</v>
      </c>
      <c r="D325" s="67" t="s">
        <v>5423</v>
      </c>
    </row>
    <row r="326" spans="1:4" ht="15">
      <c r="A326" s="314" t="s">
        <v>5424</v>
      </c>
      <c r="B326" s="314" t="s">
        <v>5425</v>
      </c>
      <c r="C326" s="314" t="s">
        <v>5426</v>
      </c>
      <c r="D326" s="67" t="s">
        <v>5427</v>
      </c>
    </row>
    <row r="327" spans="1:4" ht="15">
      <c r="A327" s="314" t="s">
        <v>5428</v>
      </c>
      <c r="B327" s="314" t="s">
        <v>5429</v>
      </c>
      <c r="C327" s="314" t="s">
        <v>5430</v>
      </c>
      <c r="D327" s="67" t="s">
        <v>5431</v>
      </c>
    </row>
    <row r="328" spans="1:4" ht="15">
      <c r="A328" s="314" t="s">
        <v>5432</v>
      </c>
      <c r="B328" s="314" t="s">
        <v>5433</v>
      </c>
      <c r="C328" s="314" t="s">
        <v>5434</v>
      </c>
      <c r="D328" s="67" t="s">
        <v>5435</v>
      </c>
    </row>
    <row r="329" spans="1:4" ht="15">
      <c r="A329" s="314" t="s">
        <v>5436</v>
      </c>
      <c r="B329" s="314" t="s">
        <v>5437</v>
      </c>
      <c r="C329" s="314" t="s">
        <v>5438</v>
      </c>
      <c r="D329" s="67" t="s">
        <v>5439</v>
      </c>
    </row>
    <row r="330" spans="1:4" ht="15">
      <c r="A330" s="314" t="s">
        <v>5440</v>
      </c>
      <c r="B330" s="314" t="s">
        <v>5441</v>
      </c>
      <c r="C330" s="314" t="s">
        <v>5442</v>
      </c>
      <c r="D330" s="67" t="s">
        <v>5443</v>
      </c>
    </row>
    <row r="331" spans="1:4" ht="15">
      <c r="A331" s="314" t="s">
        <v>5444</v>
      </c>
      <c r="B331" s="314" t="s">
        <v>5445</v>
      </c>
      <c r="C331" s="314" t="s">
        <v>5446</v>
      </c>
      <c r="D331" s="67" t="s">
        <v>5447</v>
      </c>
    </row>
    <row r="332" spans="1:4" ht="15">
      <c r="A332" s="314" t="s">
        <v>5448</v>
      </c>
      <c r="B332" s="314" t="s">
        <v>5449</v>
      </c>
      <c r="C332" s="314" t="s">
        <v>5450</v>
      </c>
      <c r="D332" s="67" t="s">
        <v>5451</v>
      </c>
    </row>
    <row r="333" spans="1:4" ht="15">
      <c r="A333" s="314" t="s">
        <v>5452</v>
      </c>
      <c r="B333" s="314" t="s">
        <v>5453</v>
      </c>
      <c r="C333" s="314" t="s">
        <v>5454</v>
      </c>
      <c r="D333" s="67" t="s">
        <v>5455</v>
      </c>
    </row>
    <row r="334" spans="1:4" ht="15">
      <c r="A334" s="314" t="s">
        <v>5456</v>
      </c>
      <c r="B334" s="314" t="s">
        <v>5457</v>
      </c>
      <c r="C334" s="314" t="s">
        <v>5458</v>
      </c>
      <c r="D334" s="67" t="s">
        <v>5459</v>
      </c>
    </row>
    <row r="335" spans="1:4" ht="15">
      <c r="A335" s="314" t="s">
        <v>5460</v>
      </c>
      <c r="B335" s="314" t="s">
        <v>5461</v>
      </c>
      <c r="C335" s="314" t="s">
        <v>5462</v>
      </c>
      <c r="D335" s="67" t="s">
        <v>5463</v>
      </c>
    </row>
    <row r="336" spans="1:4" ht="15">
      <c r="A336" s="314" t="s">
        <v>5464</v>
      </c>
      <c r="B336" s="314" t="s">
        <v>5465</v>
      </c>
      <c r="C336" s="314" t="s">
        <v>5466</v>
      </c>
      <c r="D336" s="67" t="s">
        <v>5467</v>
      </c>
    </row>
    <row r="337" spans="1:4" ht="15">
      <c r="A337" s="314" t="s">
        <v>5468</v>
      </c>
      <c r="B337" s="314" t="s">
        <v>5469</v>
      </c>
      <c r="C337" s="314" t="s">
        <v>5470</v>
      </c>
      <c r="D337" s="67" t="s">
        <v>5471</v>
      </c>
    </row>
    <row r="338" spans="1:4" ht="15">
      <c r="A338" s="314" t="s">
        <v>5472</v>
      </c>
      <c r="B338" s="314" t="s">
        <v>5473</v>
      </c>
      <c r="C338" s="314" t="s">
        <v>5474</v>
      </c>
      <c r="D338" s="67" t="s">
        <v>5475</v>
      </c>
    </row>
    <row r="339" spans="1:4" ht="15">
      <c r="A339" s="314" t="s">
        <v>5476</v>
      </c>
      <c r="B339" s="314" t="s">
        <v>5477</v>
      </c>
      <c r="C339" s="314" t="s">
        <v>5478</v>
      </c>
      <c r="D339" s="67" t="s">
        <v>5479</v>
      </c>
    </row>
    <row r="340" spans="1:4" ht="15">
      <c r="A340" s="314" t="s">
        <v>5480</v>
      </c>
      <c r="B340" s="314" t="s">
        <v>5481</v>
      </c>
      <c r="C340" s="314" t="s">
        <v>5482</v>
      </c>
      <c r="D340" s="67" t="s">
        <v>5483</v>
      </c>
    </row>
    <row r="341" spans="1:4" ht="15">
      <c r="A341" s="314" t="s">
        <v>5484</v>
      </c>
      <c r="B341" s="314" t="s">
        <v>5485</v>
      </c>
      <c r="C341" s="314" t="s">
        <v>5486</v>
      </c>
      <c r="D341" s="67" t="s">
        <v>5487</v>
      </c>
    </row>
    <row r="342" spans="1:4" ht="15">
      <c r="A342" s="314" t="s">
        <v>5488</v>
      </c>
      <c r="B342" s="314" t="s">
        <v>5489</v>
      </c>
      <c r="C342" s="314" t="s">
        <v>5490</v>
      </c>
      <c r="D342" s="461" t="s">
        <v>5489</v>
      </c>
    </row>
    <row r="343" spans="1:4" ht="15">
      <c r="A343" s="314" t="s">
        <v>5491</v>
      </c>
      <c r="B343" s="314" t="s">
        <v>5492</v>
      </c>
      <c r="C343" s="314" t="s">
        <v>5493</v>
      </c>
      <c r="D343" s="67" t="s">
        <v>5494</v>
      </c>
    </row>
    <row r="344" spans="1:4" ht="15">
      <c r="A344" s="314" t="s">
        <v>5495</v>
      </c>
      <c r="B344" s="314" t="s">
        <v>5496</v>
      </c>
      <c r="C344" s="314" t="s">
        <v>5497</v>
      </c>
      <c r="D344" s="67" t="s">
        <v>5498</v>
      </c>
    </row>
    <row r="345" spans="1:4" ht="15">
      <c r="A345" s="314" t="s">
        <v>5499</v>
      </c>
      <c r="B345" s="314" t="s">
        <v>5500</v>
      </c>
      <c r="C345" s="314" t="s">
        <v>5501</v>
      </c>
      <c r="D345" s="67" t="s">
        <v>5502</v>
      </c>
    </row>
    <row r="346" spans="1:4" ht="15">
      <c r="A346" s="314" t="s">
        <v>5503</v>
      </c>
      <c r="B346" s="314" t="s">
        <v>5504</v>
      </c>
      <c r="C346" s="314" t="s">
        <v>5505</v>
      </c>
      <c r="D346" s="67" t="s">
        <v>5506</v>
      </c>
    </row>
    <row r="347" spans="1:4" ht="15">
      <c r="A347" s="314" t="s">
        <v>5507</v>
      </c>
      <c r="B347" s="314" t="s">
        <v>5508</v>
      </c>
      <c r="C347" s="314" t="s">
        <v>5509</v>
      </c>
      <c r="D347" s="67" t="s">
        <v>5510</v>
      </c>
    </row>
    <row r="348" spans="1:4" ht="15">
      <c r="A348" s="314" t="s">
        <v>5511</v>
      </c>
      <c r="B348" s="314" t="s">
        <v>5512</v>
      </c>
      <c r="C348" s="314" t="s">
        <v>5512</v>
      </c>
      <c r="D348" s="461" t="s">
        <v>5512</v>
      </c>
    </row>
    <row r="349" spans="1:4" ht="15">
      <c r="A349" s="314" t="s">
        <v>5513</v>
      </c>
      <c r="B349" s="314" t="s">
        <v>5514</v>
      </c>
      <c r="C349" s="314" t="s">
        <v>5515</v>
      </c>
      <c r="D349" s="461" t="s">
        <v>5514</v>
      </c>
    </row>
    <row r="350" spans="1:4" ht="15">
      <c r="A350" s="314" t="s">
        <v>5516</v>
      </c>
      <c r="B350" s="314" t="s">
        <v>5517</v>
      </c>
      <c r="C350" s="314" t="s">
        <v>5518</v>
      </c>
      <c r="D350" s="67" t="s">
        <v>5519</v>
      </c>
    </row>
    <row r="351" spans="1:4" ht="15">
      <c r="A351" s="314" t="s">
        <v>5520</v>
      </c>
      <c r="B351" s="314" t="s">
        <v>5521</v>
      </c>
      <c r="C351" s="314" t="s">
        <v>5522</v>
      </c>
      <c r="D351" s="67" t="s">
        <v>5523</v>
      </c>
    </row>
    <row r="352" spans="1:4" ht="15">
      <c r="A352" s="314" t="s">
        <v>5524</v>
      </c>
      <c r="B352" s="314" t="s">
        <v>5525</v>
      </c>
      <c r="C352" s="314" t="s">
        <v>5526</v>
      </c>
      <c r="D352" s="67" t="s">
        <v>5527</v>
      </c>
    </row>
    <row r="353" spans="1:4" ht="15">
      <c r="A353" s="314" t="s">
        <v>5528</v>
      </c>
      <c r="B353" s="314" t="s">
        <v>5529</v>
      </c>
      <c r="C353" s="314" t="s">
        <v>5530</v>
      </c>
      <c r="D353" s="461" t="s">
        <v>5529</v>
      </c>
    </row>
    <row r="354" spans="1:4" ht="15">
      <c r="A354" s="314" t="s">
        <v>5531</v>
      </c>
      <c r="B354" s="314" t="s">
        <v>5532</v>
      </c>
      <c r="C354" s="314" t="s">
        <v>5533</v>
      </c>
      <c r="D354" s="461" t="s">
        <v>5532</v>
      </c>
    </row>
    <row r="355" spans="1:4" ht="15">
      <c r="A355" s="314" t="s">
        <v>5534</v>
      </c>
      <c r="B355" s="314" t="s">
        <v>5535</v>
      </c>
      <c r="C355" s="316" t="s">
        <v>5535</v>
      </c>
      <c r="D355" s="461" t="s">
        <v>5535</v>
      </c>
    </row>
    <row r="356" spans="1:4" ht="15">
      <c r="A356" s="314" t="s">
        <v>5536</v>
      </c>
      <c r="B356" s="314" t="s">
        <v>5537</v>
      </c>
      <c r="C356" s="314" t="s">
        <v>5538</v>
      </c>
      <c r="D356" s="67" t="s">
        <v>5539</v>
      </c>
    </row>
    <row r="357" spans="1:4" ht="15">
      <c r="A357" s="314" t="s">
        <v>5540</v>
      </c>
      <c r="B357" s="314" t="s">
        <v>5541</v>
      </c>
      <c r="C357" s="314" t="s">
        <v>5542</v>
      </c>
      <c r="D357" s="461" t="s">
        <v>5541</v>
      </c>
    </row>
    <row r="358" spans="1:4" ht="15">
      <c r="A358" s="314" t="s">
        <v>5543</v>
      </c>
      <c r="B358" s="314" t="s">
        <v>5544</v>
      </c>
      <c r="C358" s="314" t="s">
        <v>5545</v>
      </c>
      <c r="D358" s="461" t="s">
        <v>5544</v>
      </c>
    </row>
    <row r="359" spans="1:4" ht="15">
      <c r="A359" s="314" t="s">
        <v>5546</v>
      </c>
      <c r="B359" s="314" t="s">
        <v>5547</v>
      </c>
      <c r="C359" s="314" t="s">
        <v>5548</v>
      </c>
      <c r="D359" s="461" t="s">
        <v>5547</v>
      </c>
    </row>
    <row r="360" spans="1:4" ht="15">
      <c r="A360" s="314" t="s">
        <v>5549</v>
      </c>
      <c r="B360" s="314" t="s">
        <v>5550</v>
      </c>
      <c r="C360" s="314" t="s">
        <v>5551</v>
      </c>
      <c r="D360" s="461" t="s">
        <v>5550</v>
      </c>
    </row>
    <row r="361" spans="1:4" ht="15">
      <c r="A361" s="314" t="s">
        <v>5552</v>
      </c>
      <c r="B361" s="314" t="s">
        <v>5553</v>
      </c>
      <c r="C361" s="314" t="s">
        <v>5554</v>
      </c>
      <c r="D361" s="461" t="s">
        <v>5553</v>
      </c>
    </row>
    <row r="362" spans="1:4" ht="15">
      <c r="A362" s="314" t="s">
        <v>5555</v>
      </c>
      <c r="B362" s="314" t="s">
        <v>5556</v>
      </c>
      <c r="C362" s="314" t="s">
        <v>5557</v>
      </c>
      <c r="D362" s="67" t="s">
        <v>5558</v>
      </c>
    </row>
    <row r="363" spans="1:4" ht="15">
      <c r="A363" s="314" t="s">
        <v>5559</v>
      </c>
      <c r="B363" s="314" t="s">
        <v>5560</v>
      </c>
      <c r="C363" s="314" t="s">
        <v>5561</v>
      </c>
      <c r="D363" s="461" t="s">
        <v>5560</v>
      </c>
    </row>
    <row r="364" spans="1:4" ht="15">
      <c r="A364" s="314" t="s">
        <v>5562</v>
      </c>
      <c r="B364" s="314" t="s">
        <v>5563</v>
      </c>
      <c r="C364" s="314" t="s">
        <v>5564</v>
      </c>
      <c r="D364" s="67" t="s">
        <v>5565</v>
      </c>
    </row>
    <row r="365" spans="1:4" ht="15">
      <c r="A365" s="314" t="s">
        <v>5566</v>
      </c>
      <c r="B365" s="314" t="s">
        <v>5567</v>
      </c>
      <c r="C365" s="314" t="s">
        <v>5568</v>
      </c>
      <c r="D365" s="461" t="s">
        <v>5567</v>
      </c>
    </row>
    <row r="366" spans="1:4" ht="15">
      <c r="A366" s="314" t="s">
        <v>5569</v>
      </c>
      <c r="B366" s="314" t="s">
        <v>5570</v>
      </c>
      <c r="C366" s="314" t="s">
        <v>5571</v>
      </c>
      <c r="D366" s="461" t="s">
        <v>5570</v>
      </c>
    </row>
    <row r="367" spans="1:4" ht="15">
      <c r="A367" s="314" t="s">
        <v>5572</v>
      </c>
      <c r="B367" s="314" t="s">
        <v>5573</v>
      </c>
      <c r="C367" s="314" t="s">
        <v>5574</v>
      </c>
      <c r="D367" s="461" t="s">
        <v>5573</v>
      </c>
    </row>
    <row r="368" spans="1:4" ht="15">
      <c r="A368" s="314" t="s">
        <v>5575</v>
      </c>
      <c r="B368" s="314" t="s">
        <v>5576</v>
      </c>
      <c r="C368" s="314" t="s">
        <v>5577</v>
      </c>
      <c r="D368" s="67" t="s">
        <v>5578</v>
      </c>
    </row>
    <row r="369" spans="1:4" ht="15">
      <c r="A369" s="314" t="s">
        <v>5579</v>
      </c>
      <c r="B369" s="314" t="s">
        <v>5580</v>
      </c>
      <c r="C369" s="314" t="s">
        <v>5581</v>
      </c>
      <c r="D369" s="67" t="s">
        <v>5582</v>
      </c>
    </row>
    <row r="370" spans="1:4" ht="15">
      <c r="A370" s="314" t="s">
        <v>5583</v>
      </c>
      <c r="B370" s="314" t="s">
        <v>5584</v>
      </c>
      <c r="C370" s="314" t="s">
        <v>5585</v>
      </c>
      <c r="D370" s="461" t="s">
        <v>5584</v>
      </c>
    </row>
    <row r="371" spans="1:4" ht="15">
      <c r="A371" s="314" t="s">
        <v>5586</v>
      </c>
      <c r="B371" s="314" t="s">
        <v>5587</v>
      </c>
      <c r="C371" s="314" t="s">
        <v>5588</v>
      </c>
      <c r="D371" s="67" t="s">
        <v>5589</v>
      </c>
    </row>
    <row r="372" spans="1:4" ht="15">
      <c r="A372" s="314" t="s">
        <v>5590</v>
      </c>
      <c r="B372" s="314" t="s">
        <v>5591</v>
      </c>
      <c r="C372" s="314" t="s">
        <v>5592</v>
      </c>
      <c r="D372" s="67" t="s">
        <v>5593</v>
      </c>
    </row>
    <row r="373" spans="1:4" ht="15">
      <c r="A373" s="314" t="s">
        <v>5594</v>
      </c>
      <c r="B373" s="314" t="s">
        <v>5595</v>
      </c>
      <c r="C373" s="316" t="s">
        <v>5595</v>
      </c>
      <c r="D373" s="461" t="s">
        <v>5595</v>
      </c>
    </row>
    <row r="374" spans="1:4" ht="15">
      <c r="A374" s="314" t="s">
        <v>5596</v>
      </c>
      <c r="B374" s="314" t="s">
        <v>5597</v>
      </c>
      <c r="C374" s="314" t="s">
        <v>5598</v>
      </c>
      <c r="D374" s="67" t="s">
        <v>5599</v>
      </c>
    </row>
    <row r="375" spans="1:4" ht="15">
      <c r="A375" s="314" t="s">
        <v>5600</v>
      </c>
      <c r="B375" s="314" t="s">
        <v>5601</v>
      </c>
      <c r="C375" s="314" t="s">
        <v>5602</v>
      </c>
      <c r="D375" s="67" t="s">
        <v>5603</v>
      </c>
    </row>
    <row r="376" spans="1:4" ht="15">
      <c r="A376" s="314" t="s">
        <v>5604</v>
      </c>
      <c r="B376" s="314" t="s">
        <v>5605</v>
      </c>
      <c r="C376" s="314" t="s">
        <v>5606</v>
      </c>
      <c r="D376" s="67" t="s">
        <v>5607</v>
      </c>
    </row>
    <row r="377" spans="1:4" ht="15">
      <c r="A377" s="314" t="s">
        <v>5608</v>
      </c>
      <c r="B377" s="314" t="s">
        <v>5609</v>
      </c>
      <c r="C377" s="314" t="s">
        <v>5610</v>
      </c>
      <c r="D377" s="461" t="s">
        <v>5609</v>
      </c>
    </row>
    <row r="378" spans="1:4" ht="15">
      <c r="A378" s="314" t="s">
        <v>5611</v>
      </c>
      <c r="B378" s="314" t="s">
        <v>5612</v>
      </c>
      <c r="C378" s="314" t="s">
        <v>5613</v>
      </c>
      <c r="D378" s="461" t="s">
        <v>5612</v>
      </c>
    </row>
    <row r="379" spans="1:4" ht="15">
      <c r="A379" s="314" t="s">
        <v>5614</v>
      </c>
      <c r="B379" s="314" t="s">
        <v>5615</v>
      </c>
      <c r="C379" s="314" t="s">
        <v>5616</v>
      </c>
      <c r="D379" s="67" t="s">
        <v>5617</v>
      </c>
    </row>
    <row r="380" spans="1:4" ht="15">
      <c r="A380" s="314" t="s">
        <v>5618</v>
      </c>
      <c r="B380" s="314" t="s">
        <v>5619</v>
      </c>
      <c r="C380" s="314" t="s">
        <v>5620</v>
      </c>
      <c r="D380" s="461" t="s">
        <v>5619</v>
      </c>
    </row>
    <row r="381" spans="1:4" ht="15">
      <c r="A381" s="314" t="s">
        <v>5621</v>
      </c>
      <c r="B381" s="314" t="s">
        <v>5622</v>
      </c>
      <c r="C381" s="314" t="s">
        <v>5623</v>
      </c>
      <c r="D381" s="67" t="s">
        <v>5624</v>
      </c>
    </row>
    <row r="382" spans="1:4" ht="15">
      <c r="A382" s="314" t="s">
        <v>5625</v>
      </c>
      <c r="B382" s="314" t="s">
        <v>5626</v>
      </c>
      <c r="C382" s="314" t="s">
        <v>5627</v>
      </c>
      <c r="D382" s="67" t="s">
        <v>5628</v>
      </c>
    </row>
    <row r="383" spans="1:4" ht="15">
      <c r="A383" s="314" t="s">
        <v>5629</v>
      </c>
      <c r="B383" s="314" t="s">
        <v>5630</v>
      </c>
      <c r="C383" s="314" t="s">
        <v>5631</v>
      </c>
      <c r="D383" s="67" t="s">
        <v>5632</v>
      </c>
    </row>
    <row r="384" spans="1:4" ht="15">
      <c r="A384" s="314" t="s">
        <v>5633</v>
      </c>
      <c r="B384" s="314" t="s">
        <v>5634</v>
      </c>
      <c r="C384" s="314" t="s">
        <v>5635</v>
      </c>
      <c r="D384" s="67" t="s">
        <v>5636</v>
      </c>
    </row>
    <row r="385" spans="1:4" ht="15">
      <c r="A385" s="314" t="s">
        <v>5637</v>
      </c>
      <c r="B385" s="314" t="s">
        <v>5638</v>
      </c>
      <c r="C385" s="314" t="s">
        <v>5639</v>
      </c>
      <c r="D385" s="461" t="s">
        <v>5638</v>
      </c>
    </row>
    <row r="386" spans="1:4" ht="15">
      <c r="A386" s="314" t="s">
        <v>5640</v>
      </c>
      <c r="B386" s="314" t="s">
        <v>5641</v>
      </c>
      <c r="C386" s="314" t="s">
        <v>5642</v>
      </c>
      <c r="D386" s="67" t="s">
        <v>5643</v>
      </c>
    </row>
    <row r="387" spans="1:4" ht="15">
      <c r="A387" s="314" t="s">
        <v>5644</v>
      </c>
      <c r="B387" s="314" t="s">
        <v>5645</v>
      </c>
      <c r="C387" s="314" t="s">
        <v>5646</v>
      </c>
      <c r="D387" s="67" t="s">
        <v>5647</v>
      </c>
    </row>
    <row r="388" spans="1:4" ht="15">
      <c r="A388" s="314" t="s">
        <v>5648</v>
      </c>
      <c r="B388" s="314" t="s">
        <v>5649</v>
      </c>
      <c r="C388" s="314" t="s">
        <v>5650</v>
      </c>
      <c r="D388" s="67" t="s">
        <v>5651</v>
      </c>
    </row>
    <row r="389" spans="1:4" ht="15">
      <c r="A389" s="314" t="s">
        <v>5652</v>
      </c>
      <c r="B389" s="314" t="s">
        <v>5653</v>
      </c>
      <c r="C389" s="314" t="s">
        <v>5654</v>
      </c>
      <c r="D389" s="67" t="s">
        <v>5655</v>
      </c>
    </row>
    <row r="390" spans="1:4" ht="15">
      <c r="A390" s="314" t="s">
        <v>5656</v>
      </c>
      <c r="B390" s="314" t="s">
        <v>5657</v>
      </c>
      <c r="C390" s="314" t="s">
        <v>5658</v>
      </c>
      <c r="D390" s="67" t="s">
        <v>5659</v>
      </c>
    </row>
    <row r="391" spans="1:4" ht="15">
      <c r="A391" s="314" t="s">
        <v>5660</v>
      </c>
      <c r="B391" s="314" t="s">
        <v>5661</v>
      </c>
      <c r="C391" s="314" t="s">
        <v>5662</v>
      </c>
      <c r="D391" s="67" t="s">
        <v>5663</v>
      </c>
    </row>
    <row r="392" spans="1:4" ht="15">
      <c r="A392" s="314" t="s">
        <v>5664</v>
      </c>
      <c r="B392" s="314" t="s">
        <v>5665</v>
      </c>
      <c r="C392" s="314" t="s">
        <v>5666</v>
      </c>
      <c r="D392" s="67" t="s">
        <v>5667</v>
      </c>
    </row>
    <row r="393" spans="1:4" ht="15">
      <c r="A393" s="314" t="s">
        <v>5668</v>
      </c>
      <c r="B393" s="314" t="s">
        <v>5669</v>
      </c>
      <c r="C393" s="314" t="s">
        <v>5670</v>
      </c>
      <c r="D393" s="67" t="s">
        <v>5671</v>
      </c>
    </row>
    <row r="394" spans="1:4" ht="15">
      <c r="A394" s="314" t="s">
        <v>5672</v>
      </c>
      <c r="B394" s="314" t="s">
        <v>5673</v>
      </c>
      <c r="C394" s="316" t="s">
        <v>5673</v>
      </c>
      <c r="D394" s="67" t="s">
        <v>5674</v>
      </c>
    </row>
    <row r="395" spans="1:4" ht="15">
      <c r="A395" s="314" t="s">
        <v>5675</v>
      </c>
      <c r="B395" s="314" t="s">
        <v>5676</v>
      </c>
      <c r="C395" s="314" t="s">
        <v>5677</v>
      </c>
      <c r="D395" s="461" t="s">
        <v>5676</v>
      </c>
    </row>
    <row r="396" spans="1:4" ht="15">
      <c r="A396" s="314" t="s">
        <v>5678</v>
      </c>
      <c r="B396" s="314" t="s">
        <v>5679</v>
      </c>
      <c r="C396" s="316" t="s">
        <v>5679</v>
      </c>
      <c r="D396" s="461" t="s">
        <v>5679</v>
      </c>
    </row>
    <row r="397" spans="1:4" ht="15">
      <c r="A397" s="314" t="s">
        <v>5680</v>
      </c>
      <c r="B397" s="314" t="s">
        <v>5681</v>
      </c>
      <c r="C397" s="314" t="s">
        <v>5682</v>
      </c>
      <c r="D397" s="461" t="s">
        <v>5681</v>
      </c>
    </row>
    <row r="398" spans="1:4" ht="15">
      <c r="A398" s="314" t="s">
        <v>5683</v>
      </c>
      <c r="B398" s="314" t="s">
        <v>5684</v>
      </c>
      <c r="C398" s="314" t="s">
        <v>5685</v>
      </c>
      <c r="D398" s="461" t="s">
        <v>5684</v>
      </c>
    </row>
    <row r="399" spans="1:4" ht="15">
      <c r="A399" s="314" t="s">
        <v>5686</v>
      </c>
      <c r="B399" s="314" t="s">
        <v>5687</v>
      </c>
      <c r="C399" s="316" t="s">
        <v>5687</v>
      </c>
      <c r="D399" s="461" t="s">
        <v>5687</v>
      </c>
    </row>
    <row r="400" spans="1:4" ht="15">
      <c r="A400" s="314" t="s">
        <v>5688</v>
      </c>
      <c r="B400" s="314" t="s">
        <v>5689</v>
      </c>
      <c r="C400" s="314" t="s">
        <v>5690</v>
      </c>
      <c r="D400" s="461" t="s">
        <v>5689</v>
      </c>
    </row>
    <row r="401" spans="1:4" ht="15">
      <c r="A401" s="314" t="s">
        <v>5691</v>
      </c>
      <c r="B401" s="314" t="s">
        <v>5692</v>
      </c>
      <c r="C401" s="314" t="s">
        <v>5693</v>
      </c>
      <c r="D401" s="67" t="s">
        <v>5694</v>
      </c>
    </row>
    <row r="402" spans="1:4" ht="15">
      <c r="A402" s="314" t="s">
        <v>5695</v>
      </c>
      <c r="B402" s="314" t="s">
        <v>5696</v>
      </c>
      <c r="C402" s="314" t="s">
        <v>5697</v>
      </c>
      <c r="D402" s="67" t="s">
        <v>5698</v>
      </c>
    </row>
    <row r="403" spans="1:4" ht="15">
      <c r="A403" s="314" t="s">
        <v>5699</v>
      </c>
      <c r="B403" s="314" t="s">
        <v>5700</v>
      </c>
      <c r="C403" s="314" t="s">
        <v>5701</v>
      </c>
      <c r="D403" s="67" t="s">
        <v>5702</v>
      </c>
    </row>
    <row r="404" spans="1:4" ht="15">
      <c r="A404" s="314" t="s">
        <v>5703</v>
      </c>
      <c r="B404" s="314" t="s">
        <v>5704</v>
      </c>
      <c r="C404" s="314" t="s">
        <v>5705</v>
      </c>
      <c r="D404" s="67" t="s">
        <v>5706</v>
      </c>
    </row>
    <row r="405" spans="1:4" ht="15">
      <c r="A405" s="314" t="s">
        <v>5707</v>
      </c>
      <c r="B405" s="314" t="s">
        <v>5708</v>
      </c>
      <c r="C405" s="314" t="s">
        <v>5709</v>
      </c>
      <c r="D405" s="461" t="s">
        <v>5708</v>
      </c>
    </row>
    <row r="406" spans="1:4" ht="15">
      <c r="A406" s="314" t="s">
        <v>5710</v>
      </c>
      <c r="B406" s="314" t="s">
        <v>5711</v>
      </c>
      <c r="C406" s="314" t="s">
        <v>5712</v>
      </c>
      <c r="D406" s="67" t="s">
        <v>5713</v>
      </c>
    </row>
    <row r="407" spans="1:4" ht="15">
      <c r="A407" s="314" t="s">
        <v>5714</v>
      </c>
      <c r="B407" s="314" t="s">
        <v>5715</v>
      </c>
      <c r="C407" s="314" t="s">
        <v>5716</v>
      </c>
      <c r="D407" s="67" t="s">
        <v>5717</v>
      </c>
    </row>
    <row r="408" spans="1:4" ht="15">
      <c r="A408" s="314" t="s">
        <v>5718</v>
      </c>
      <c r="B408" s="314" t="s">
        <v>5719</v>
      </c>
      <c r="C408" s="314" t="s">
        <v>5720</v>
      </c>
      <c r="D408" s="67" t="s">
        <v>5721</v>
      </c>
    </row>
    <row r="409" spans="1:4" ht="15">
      <c r="A409" s="314" t="s">
        <v>5722</v>
      </c>
      <c r="B409" s="314" t="s">
        <v>5723</v>
      </c>
      <c r="C409" s="316" t="s">
        <v>5723</v>
      </c>
      <c r="D409" s="67" t="s">
        <v>5724</v>
      </c>
    </row>
    <row r="410" spans="1:4" ht="15">
      <c r="A410" s="314" t="s">
        <v>5725</v>
      </c>
      <c r="B410" s="314" t="s">
        <v>5726</v>
      </c>
      <c r="C410" s="314" t="s">
        <v>5727</v>
      </c>
      <c r="D410" s="461" t="s">
        <v>5726</v>
      </c>
    </row>
    <row r="411" spans="1:4" ht="15">
      <c r="A411" s="314" t="s">
        <v>5728</v>
      </c>
      <c r="B411" s="314" t="s">
        <v>5729</v>
      </c>
      <c r="C411" s="316" t="s">
        <v>5729</v>
      </c>
      <c r="D411" s="461" t="s">
        <v>5729</v>
      </c>
    </row>
    <row r="412" spans="1:4" ht="15">
      <c r="A412" s="314" t="s">
        <v>5730</v>
      </c>
      <c r="B412" s="314" t="s">
        <v>5731</v>
      </c>
      <c r="C412" s="314" t="s">
        <v>5732</v>
      </c>
      <c r="D412" s="461" t="s">
        <v>5731</v>
      </c>
    </row>
    <row r="413" spans="1:4" ht="15">
      <c r="A413" s="314" t="s">
        <v>5733</v>
      </c>
      <c r="B413" s="314" t="s">
        <v>5734</v>
      </c>
      <c r="C413" s="314" t="s">
        <v>5735</v>
      </c>
      <c r="D413" s="461" t="s">
        <v>5734</v>
      </c>
    </row>
    <row r="414" spans="1:4" ht="15">
      <c r="A414" s="314" t="s">
        <v>5736</v>
      </c>
      <c r="B414" s="314" t="s">
        <v>5737</v>
      </c>
      <c r="C414" s="314" t="s">
        <v>5738</v>
      </c>
      <c r="D414" s="461" t="s">
        <v>5737</v>
      </c>
    </row>
    <row r="415" spans="1:4" ht="15">
      <c r="A415" s="314" t="s">
        <v>5739</v>
      </c>
      <c r="B415" s="314" t="s">
        <v>5740</v>
      </c>
      <c r="C415" s="314" t="s">
        <v>5741</v>
      </c>
      <c r="D415" s="461" t="s">
        <v>5740</v>
      </c>
    </row>
    <row r="416" spans="1:4" ht="15">
      <c r="A416" s="314" t="s">
        <v>5742</v>
      </c>
      <c r="B416" s="314" t="s">
        <v>5743</v>
      </c>
      <c r="C416" s="314" t="s">
        <v>5744</v>
      </c>
      <c r="D416" s="461" t="s">
        <v>5743</v>
      </c>
    </row>
    <row r="417" spans="1:4" ht="15">
      <c r="A417" s="314" t="s">
        <v>5745</v>
      </c>
      <c r="B417" s="314" t="s">
        <v>5746</v>
      </c>
      <c r="C417" s="314" t="s">
        <v>5747</v>
      </c>
      <c r="D417" s="67" t="s">
        <v>5748</v>
      </c>
    </row>
    <row r="418" spans="1:4" ht="15">
      <c r="A418" s="314" t="s">
        <v>5749</v>
      </c>
      <c r="B418" s="314" t="s">
        <v>5750</v>
      </c>
      <c r="C418" s="314" t="s">
        <v>5751</v>
      </c>
      <c r="D418" s="461" t="s">
        <v>5750</v>
      </c>
    </row>
    <row r="419" spans="1:4" ht="15">
      <c r="A419" s="314" t="s">
        <v>5752</v>
      </c>
      <c r="B419" s="314" t="s">
        <v>5753</v>
      </c>
      <c r="C419" s="314" t="s">
        <v>5754</v>
      </c>
      <c r="D419" s="461" t="s">
        <v>5753</v>
      </c>
    </row>
    <row r="420" spans="1:4" ht="15">
      <c r="A420" s="314" t="s">
        <v>5755</v>
      </c>
      <c r="B420" s="314" t="s">
        <v>5756</v>
      </c>
      <c r="C420" s="314" t="s">
        <v>5757</v>
      </c>
      <c r="D420" s="67" t="s">
        <v>5758</v>
      </c>
    </row>
    <row r="421" spans="1:4" ht="15">
      <c r="A421" s="314" t="s">
        <v>5759</v>
      </c>
      <c r="B421" s="314" t="s">
        <v>5760</v>
      </c>
      <c r="C421" s="314" t="s">
        <v>5761</v>
      </c>
      <c r="D421" s="461" t="s">
        <v>5760</v>
      </c>
    </row>
    <row r="422" spans="1:4" ht="15">
      <c r="A422" s="314" t="s">
        <v>5762</v>
      </c>
      <c r="B422" s="314" t="s">
        <v>5763</v>
      </c>
      <c r="C422" s="314" t="s">
        <v>5764</v>
      </c>
      <c r="D422" s="67" t="s">
        <v>5765</v>
      </c>
    </row>
    <row r="423" spans="1:4" ht="15">
      <c r="A423" s="314" t="s">
        <v>5766</v>
      </c>
      <c r="B423" s="314" t="s">
        <v>5767</v>
      </c>
      <c r="C423" s="314" t="s">
        <v>5768</v>
      </c>
      <c r="D423" s="67" t="s">
        <v>5769</v>
      </c>
    </row>
    <row r="424" spans="1:4" ht="15">
      <c r="A424" s="314" t="s">
        <v>5770</v>
      </c>
      <c r="B424" s="314" t="s">
        <v>5771</v>
      </c>
      <c r="C424" s="314" t="s">
        <v>5772</v>
      </c>
      <c r="D424" s="67" t="s">
        <v>5773</v>
      </c>
    </row>
    <row r="425" spans="1:4" ht="15">
      <c r="A425" s="314" t="s">
        <v>5774</v>
      </c>
      <c r="B425" s="314" t="s">
        <v>5775</v>
      </c>
      <c r="C425" s="314" t="s">
        <v>5776</v>
      </c>
      <c r="D425" s="461" t="s">
        <v>5775</v>
      </c>
    </row>
    <row r="426" spans="1:4" ht="15">
      <c r="A426" s="314" t="s">
        <v>5777</v>
      </c>
      <c r="B426" s="314" t="s">
        <v>5778</v>
      </c>
      <c r="C426" s="314" t="s">
        <v>5779</v>
      </c>
      <c r="D426" s="461" t="s">
        <v>5778</v>
      </c>
    </row>
    <row r="427" spans="1:4" ht="15">
      <c r="A427" s="314" t="s">
        <v>5780</v>
      </c>
      <c r="B427" s="314" t="s">
        <v>5781</v>
      </c>
      <c r="C427" s="314" t="s">
        <v>5782</v>
      </c>
      <c r="D427" s="67" t="s">
        <v>5783</v>
      </c>
    </row>
    <row r="428" spans="1:4" ht="15">
      <c r="A428" s="314" t="s">
        <v>5784</v>
      </c>
      <c r="B428" s="314" t="s">
        <v>5785</v>
      </c>
      <c r="C428" s="314" t="s">
        <v>5786</v>
      </c>
      <c r="D428" s="67" t="s">
        <v>5787</v>
      </c>
    </row>
    <row r="429" spans="1:4" ht="15">
      <c r="A429" s="314" t="s">
        <v>5788</v>
      </c>
      <c r="B429" s="314" t="s">
        <v>5789</v>
      </c>
      <c r="C429" s="314" t="s">
        <v>5789</v>
      </c>
      <c r="D429" s="67" t="s">
        <v>5790</v>
      </c>
    </row>
    <row r="430" spans="1:4" ht="15">
      <c r="A430" s="314" t="s">
        <v>5791</v>
      </c>
      <c r="B430" s="314" t="s">
        <v>5792</v>
      </c>
      <c r="C430" s="314" t="s">
        <v>5793</v>
      </c>
      <c r="D430" s="461" t="s">
        <v>5792</v>
      </c>
    </row>
    <row r="431" spans="1:4" ht="15">
      <c r="A431" s="314" t="s">
        <v>5794</v>
      </c>
      <c r="B431" s="314" t="s">
        <v>5795</v>
      </c>
      <c r="C431" s="314" t="s">
        <v>5796</v>
      </c>
      <c r="D431" s="67" t="s">
        <v>5797</v>
      </c>
    </row>
    <row r="432" spans="1:4" ht="15">
      <c r="A432" s="314" t="s">
        <v>5798</v>
      </c>
      <c r="B432" s="314" t="s">
        <v>5799</v>
      </c>
      <c r="C432" s="316" t="s">
        <v>5799</v>
      </c>
      <c r="D432" s="67" t="s">
        <v>5800</v>
      </c>
    </row>
    <row r="433" spans="1:4" ht="15">
      <c r="A433" s="314" t="s">
        <v>5801</v>
      </c>
      <c r="B433" s="314" t="s">
        <v>5802</v>
      </c>
      <c r="C433" s="314" t="s">
        <v>5803</v>
      </c>
      <c r="D433" s="461" t="s">
        <v>5802</v>
      </c>
    </row>
    <row r="434" spans="1:4" ht="15">
      <c r="A434" s="314" t="s">
        <v>5804</v>
      </c>
      <c r="B434" s="314" t="s">
        <v>5805</v>
      </c>
      <c r="C434" s="314" t="s">
        <v>5806</v>
      </c>
      <c r="D434" s="67" t="s">
        <v>5807</v>
      </c>
    </row>
    <row r="435" spans="1:4" ht="15">
      <c r="A435" s="314" t="s">
        <v>5808</v>
      </c>
      <c r="B435" s="314" t="s">
        <v>5809</v>
      </c>
      <c r="C435" s="314" t="s">
        <v>5810</v>
      </c>
      <c r="D435" s="67" t="s">
        <v>5811</v>
      </c>
    </row>
    <row r="436" spans="1:4" ht="15">
      <c r="A436" s="314" t="s">
        <v>5812</v>
      </c>
      <c r="B436" s="314" t="s">
        <v>5813</v>
      </c>
      <c r="C436" s="314" t="s">
        <v>5814</v>
      </c>
      <c r="D436" s="67" t="s">
        <v>5815</v>
      </c>
    </row>
    <row r="437" spans="1:4" ht="15">
      <c r="A437" s="314" t="s">
        <v>5816</v>
      </c>
      <c r="B437" s="314" t="s">
        <v>5817</v>
      </c>
      <c r="C437" s="314" t="s">
        <v>5818</v>
      </c>
      <c r="D437" s="461" t="s">
        <v>5817</v>
      </c>
    </row>
    <row r="438" spans="1:4" ht="15">
      <c r="A438" s="314" t="s">
        <v>5819</v>
      </c>
      <c r="B438" s="314" t="s">
        <v>5820</v>
      </c>
      <c r="C438" s="314" t="s">
        <v>5821</v>
      </c>
      <c r="D438" s="461" t="s">
        <v>5820</v>
      </c>
    </row>
    <row r="439" spans="1:4" ht="15">
      <c r="A439" s="314" t="s">
        <v>5822</v>
      </c>
      <c r="B439" s="314" t="s">
        <v>5823</v>
      </c>
      <c r="C439" s="314" t="s">
        <v>5824</v>
      </c>
      <c r="D439" s="461" t="s">
        <v>5823</v>
      </c>
    </row>
    <row r="440" spans="1:4" ht="15">
      <c r="A440" s="314" t="s">
        <v>5825</v>
      </c>
      <c r="B440" s="314" t="s">
        <v>5826</v>
      </c>
      <c r="C440" s="314" t="s">
        <v>5827</v>
      </c>
      <c r="D440" s="67" t="s">
        <v>5828</v>
      </c>
    </row>
    <row r="441" spans="1:4" ht="15">
      <c r="A441" s="314" t="s">
        <v>5829</v>
      </c>
      <c r="B441" s="314" t="s">
        <v>5830</v>
      </c>
      <c r="C441" s="314" t="s">
        <v>5831</v>
      </c>
      <c r="D441" s="67" t="s">
        <v>5832</v>
      </c>
    </row>
    <row r="442" spans="1:4" ht="15">
      <c r="A442" s="314" t="s">
        <v>5833</v>
      </c>
      <c r="B442" s="314" t="s">
        <v>5834</v>
      </c>
      <c r="C442" s="316" t="s">
        <v>5834</v>
      </c>
      <c r="D442" s="67" t="s">
        <v>5835</v>
      </c>
    </row>
    <row r="443" spans="1:4" ht="15">
      <c r="A443" s="314" t="s">
        <v>5836</v>
      </c>
      <c r="B443" s="314" t="s">
        <v>5837</v>
      </c>
      <c r="C443" s="316" t="s">
        <v>5837</v>
      </c>
      <c r="D443" s="67" t="s">
        <v>5838</v>
      </c>
    </row>
    <row r="444" spans="1:4" ht="15">
      <c r="A444" s="314" t="s">
        <v>5839</v>
      </c>
      <c r="B444" s="314" t="s">
        <v>5840</v>
      </c>
      <c r="C444" s="316" t="s">
        <v>5840</v>
      </c>
      <c r="D444" s="461" t="s">
        <v>5840</v>
      </c>
    </row>
    <row r="445" spans="1:4" ht="15">
      <c r="A445" s="314" t="s">
        <v>5841</v>
      </c>
      <c r="B445" s="314" t="s">
        <v>5842</v>
      </c>
      <c r="C445" s="314" t="s">
        <v>5843</v>
      </c>
      <c r="D445" s="67" t="s">
        <v>5844</v>
      </c>
    </row>
    <row r="446" spans="1:4" ht="15">
      <c r="A446" s="314" t="s">
        <v>5845</v>
      </c>
      <c r="B446" s="314" t="s">
        <v>5846</v>
      </c>
      <c r="C446" s="314" t="s">
        <v>5847</v>
      </c>
      <c r="D446" s="67" t="s">
        <v>5848</v>
      </c>
    </row>
    <row r="447" spans="1:4" ht="15">
      <c r="A447" s="314" t="s">
        <v>5849</v>
      </c>
      <c r="B447" s="314" t="s">
        <v>5850</v>
      </c>
      <c r="C447" s="314" t="s">
        <v>5851</v>
      </c>
      <c r="D447" s="67" t="s">
        <v>5852</v>
      </c>
    </row>
    <row r="448" spans="1:4" ht="15">
      <c r="A448" s="314" t="s">
        <v>5853</v>
      </c>
      <c r="B448" s="314" t="s">
        <v>5854</v>
      </c>
      <c r="C448" s="314" t="s">
        <v>5855</v>
      </c>
      <c r="D448" s="67" t="s">
        <v>5856</v>
      </c>
    </row>
    <row r="449" spans="1:4" ht="15">
      <c r="A449" s="314" t="s">
        <v>5857</v>
      </c>
      <c r="B449" s="314" t="s">
        <v>5858</v>
      </c>
      <c r="C449" s="314" t="s">
        <v>5859</v>
      </c>
      <c r="D449" s="67" t="s">
        <v>5860</v>
      </c>
    </row>
    <row r="450" spans="1:4" ht="15">
      <c r="A450" s="314" t="s">
        <v>5861</v>
      </c>
      <c r="B450" s="314" t="s">
        <v>5862</v>
      </c>
      <c r="C450" s="314" t="s">
        <v>5863</v>
      </c>
      <c r="D450" s="67" t="s">
        <v>5864</v>
      </c>
    </row>
    <row r="451" spans="1:4" ht="15">
      <c r="A451" s="314" t="s">
        <v>5865</v>
      </c>
      <c r="B451" s="314" t="s">
        <v>5866</v>
      </c>
      <c r="C451" s="314" t="s">
        <v>5867</v>
      </c>
      <c r="D451" s="67" t="s">
        <v>5868</v>
      </c>
    </row>
    <row r="452" spans="1:4" ht="15">
      <c r="A452" s="314" t="s">
        <v>5869</v>
      </c>
      <c r="B452" s="314" t="s">
        <v>5870</v>
      </c>
      <c r="C452" s="314" t="s">
        <v>5871</v>
      </c>
      <c r="D452" s="67" t="s">
        <v>5872</v>
      </c>
    </row>
    <row r="453" spans="1:4" ht="15">
      <c r="A453" s="314" t="s">
        <v>5873</v>
      </c>
      <c r="B453" s="314" t="s">
        <v>5874</v>
      </c>
      <c r="C453" s="314" t="s">
        <v>5875</v>
      </c>
      <c r="D453" s="67" t="s">
        <v>5876</v>
      </c>
    </row>
    <row r="454" spans="1:4" ht="15">
      <c r="A454" s="314" t="s">
        <v>5877</v>
      </c>
      <c r="B454" s="314" t="s">
        <v>5878</v>
      </c>
      <c r="C454" s="314" t="s">
        <v>5879</v>
      </c>
      <c r="D454" s="67" t="s">
        <v>5880</v>
      </c>
    </row>
    <row r="455" spans="1:4" ht="15">
      <c r="A455" s="314" t="s">
        <v>5881</v>
      </c>
      <c r="B455" s="314" t="s">
        <v>5882</v>
      </c>
      <c r="C455" s="314" t="s">
        <v>5883</v>
      </c>
      <c r="D455" s="67" t="s">
        <v>5884</v>
      </c>
    </row>
    <row r="456" spans="1:4" ht="15">
      <c r="A456" s="314" t="s">
        <v>5885</v>
      </c>
      <c r="B456" s="314" t="s">
        <v>5886</v>
      </c>
      <c r="C456" s="314" t="s">
        <v>5887</v>
      </c>
      <c r="D456" s="67" t="s">
        <v>5888</v>
      </c>
    </row>
    <row r="457" spans="1:4" ht="15">
      <c r="A457" s="314" t="s">
        <v>5889</v>
      </c>
      <c r="B457" s="314" t="s">
        <v>5890</v>
      </c>
      <c r="C457" s="316" t="s">
        <v>5890</v>
      </c>
      <c r="D457" s="461" t="s">
        <v>5890</v>
      </c>
    </row>
    <row r="458" spans="1:4" ht="15">
      <c r="A458" s="314" t="s">
        <v>5891</v>
      </c>
      <c r="B458" s="314" t="s">
        <v>5892</v>
      </c>
      <c r="C458" s="314" t="s">
        <v>5893</v>
      </c>
      <c r="D458" s="461" t="s">
        <v>5892</v>
      </c>
    </row>
    <row r="459" spans="1:4" ht="15">
      <c r="A459" s="314" t="s">
        <v>5894</v>
      </c>
      <c r="B459" s="314" t="s">
        <v>5895</v>
      </c>
      <c r="C459" s="314" t="s">
        <v>5896</v>
      </c>
      <c r="D459" s="67" t="s">
        <v>5897</v>
      </c>
    </row>
    <row r="460" spans="1:4" ht="15">
      <c r="A460" s="314" t="s">
        <v>5898</v>
      </c>
      <c r="B460" s="314" t="s">
        <v>5899</v>
      </c>
      <c r="C460" s="314" t="s">
        <v>5900</v>
      </c>
      <c r="D460" s="67" t="s">
        <v>5901</v>
      </c>
    </row>
    <row r="461" spans="1:4" ht="15">
      <c r="A461" s="314" t="s">
        <v>5902</v>
      </c>
      <c r="B461" s="314" t="s">
        <v>5903</v>
      </c>
      <c r="C461" s="316" t="s">
        <v>5903</v>
      </c>
      <c r="D461" s="67" t="s">
        <v>5904</v>
      </c>
    </row>
    <row r="462" spans="1:4" ht="15">
      <c r="A462" s="314" t="s">
        <v>5905</v>
      </c>
      <c r="B462" s="314" t="s">
        <v>5906</v>
      </c>
      <c r="C462" s="314" t="s">
        <v>5907</v>
      </c>
      <c r="D462" s="67" t="s">
        <v>5908</v>
      </c>
    </row>
    <row r="463" spans="1:4" ht="15">
      <c r="A463" s="314" t="s">
        <v>5909</v>
      </c>
      <c r="B463" s="314" t="s">
        <v>5910</v>
      </c>
      <c r="C463" s="314" t="s">
        <v>5911</v>
      </c>
      <c r="D463" s="67" t="s">
        <v>5912</v>
      </c>
    </row>
    <row r="464" spans="1:4" ht="15">
      <c r="A464" s="314" t="s">
        <v>5913</v>
      </c>
      <c r="B464" s="314" t="s">
        <v>5914</v>
      </c>
      <c r="C464" s="316" t="s">
        <v>5914</v>
      </c>
      <c r="D464" s="67" t="s">
        <v>5915</v>
      </c>
    </row>
    <row r="465" spans="1:4" ht="15">
      <c r="A465" s="314" t="s">
        <v>5916</v>
      </c>
      <c r="B465" s="314" t="s">
        <v>5917</v>
      </c>
      <c r="C465" s="314" t="s">
        <v>5918</v>
      </c>
      <c r="D465" s="67" t="s">
        <v>5919</v>
      </c>
    </row>
    <row r="466" spans="1:4" ht="15">
      <c r="A466" s="314" t="s">
        <v>5920</v>
      </c>
      <c r="B466" s="314" t="s">
        <v>5921</v>
      </c>
      <c r="C466" s="314" t="s">
        <v>5922</v>
      </c>
      <c r="D466" s="67" t="s">
        <v>5923</v>
      </c>
    </row>
    <row r="467" spans="1:4" ht="15">
      <c r="A467" s="314" t="s">
        <v>5924</v>
      </c>
      <c r="B467" s="314" t="s">
        <v>5925</v>
      </c>
      <c r="C467" s="314" t="s">
        <v>5926</v>
      </c>
      <c r="D467" s="67" t="s">
        <v>5927</v>
      </c>
    </row>
    <row r="468" spans="1:4" ht="15">
      <c r="A468" s="314" t="s">
        <v>5928</v>
      </c>
      <c r="B468" s="314" t="s">
        <v>5929</v>
      </c>
      <c r="C468" s="314" t="s">
        <v>5930</v>
      </c>
      <c r="D468" s="67" t="s">
        <v>5931</v>
      </c>
    </row>
    <row r="469" spans="1:4" ht="15">
      <c r="A469" s="314" t="s">
        <v>5932</v>
      </c>
      <c r="B469" s="314" t="s">
        <v>5933</v>
      </c>
      <c r="C469" s="314" t="s">
        <v>5934</v>
      </c>
      <c r="D469" s="67" t="s">
        <v>5935</v>
      </c>
    </row>
    <row r="470" spans="1:4" ht="15">
      <c r="A470" s="314" t="s">
        <v>5936</v>
      </c>
      <c r="B470" s="314" t="s">
        <v>5937</v>
      </c>
      <c r="C470" s="314" t="s">
        <v>5938</v>
      </c>
      <c r="D470" s="67" t="s">
        <v>5939</v>
      </c>
    </row>
    <row r="471" spans="1:4" ht="15">
      <c r="A471" s="314" t="s">
        <v>5940</v>
      </c>
      <c r="B471" s="314" t="s">
        <v>5941</v>
      </c>
      <c r="C471" s="314" t="s">
        <v>5942</v>
      </c>
      <c r="D471" s="67" t="s">
        <v>5943</v>
      </c>
    </row>
    <row r="472" spans="1:4" ht="15">
      <c r="A472" s="314" t="s">
        <v>5944</v>
      </c>
      <c r="B472" s="314" t="s">
        <v>5945</v>
      </c>
      <c r="C472" s="314" t="s">
        <v>5946</v>
      </c>
      <c r="D472" s="67" t="s">
        <v>5947</v>
      </c>
    </row>
    <row r="473" spans="1:4" ht="15">
      <c r="A473" s="314" t="s">
        <v>5948</v>
      </c>
      <c r="B473" s="314" t="s">
        <v>5949</v>
      </c>
      <c r="C473" s="314" t="s">
        <v>5950</v>
      </c>
      <c r="D473" s="67" t="s">
        <v>5951</v>
      </c>
    </row>
    <row r="474" spans="1:4" ht="15">
      <c r="A474" s="314" t="s">
        <v>5952</v>
      </c>
      <c r="B474" s="314" t="s">
        <v>5953</v>
      </c>
      <c r="C474" s="314" t="s">
        <v>5954</v>
      </c>
      <c r="D474" s="67" t="s">
        <v>5955</v>
      </c>
    </row>
    <row r="475" spans="1:4" ht="15">
      <c r="A475" s="314" t="s">
        <v>5956</v>
      </c>
      <c r="B475" s="314" t="s">
        <v>5957</v>
      </c>
      <c r="C475" s="314" t="s">
        <v>5958</v>
      </c>
      <c r="D475" s="67" t="s">
        <v>5959</v>
      </c>
    </row>
    <row r="476" spans="1:4" ht="15">
      <c r="A476" s="314" t="s">
        <v>5960</v>
      </c>
      <c r="B476" s="314" t="s">
        <v>5961</v>
      </c>
      <c r="C476" s="314" t="s">
        <v>5962</v>
      </c>
      <c r="D476" s="67" t="s">
        <v>5963</v>
      </c>
    </row>
    <row r="477" spans="1:4" ht="15">
      <c r="A477" s="314" t="s">
        <v>5964</v>
      </c>
      <c r="B477" s="314" t="s">
        <v>5965</v>
      </c>
      <c r="C477" s="314" t="s">
        <v>5966</v>
      </c>
      <c r="D477" s="67" t="s">
        <v>5959</v>
      </c>
    </row>
    <row r="478" spans="1:4" ht="15">
      <c r="A478" s="314" t="s">
        <v>5967</v>
      </c>
      <c r="B478" s="314" t="s">
        <v>5968</v>
      </c>
      <c r="C478" s="314" t="s">
        <v>5969</v>
      </c>
      <c r="D478" s="461" t="s">
        <v>5968</v>
      </c>
    </row>
    <row r="479" spans="1:4" ht="15">
      <c r="A479" s="314" t="s">
        <v>5970</v>
      </c>
      <c r="B479" s="314" t="s">
        <v>5971</v>
      </c>
      <c r="C479" s="314" t="s">
        <v>5972</v>
      </c>
      <c r="D479" s="67" t="s">
        <v>5973</v>
      </c>
    </row>
    <row r="480" spans="1:4" ht="15">
      <c r="A480" s="314" t="s">
        <v>5974</v>
      </c>
      <c r="B480" s="314" t="s">
        <v>5975</v>
      </c>
      <c r="C480" s="314" t="s">
        <v>5976</v>
      </c>
      <c r="D480" s="67" t="s">
        <v>5977</v>
      </c>
    </row>
    <row r="481" spans="1:4" ht="15">
      <c r="A481" s="314" t="s">
        <v>5978</v>
      </c>
      <c r="B481" s="314" t="s">
        <v>5979</v>
      </c>
      <c r="C481" s="314" t="s">
        <v>5980</v>
      </c>
      <c r="D481" s="67" t="s">
        <v>5981</v>
      </c>
    </row>
    <row r="482" spans="1:4" ht="15">
      <c r="A482" s="314" t="s">
        <v>5982</v>
      </c>
      <c r="B482" s="314" t="s">
        <v>5983</v>
      </c>
      <c r="C482" s="314" t="s">
        <v>5984</v>
      </c>
      <c r="D482" s="67" t="s">
        <v>5985</v>
      </c>
    </row>
    <row r="483" spans="1:4" ht="15">
      <c r="A483" s="314" t="s">
        <v>5986</v>
      </c>
      <c r="B483" s="314" t="s">
        <v>5987</v>
      </c>
      <c r="C483" s="314" t="s">
        <v>5988</v>
      </c>
      <c r="D483" s="67" t="s">
        <v>5989</v>
      </c>
    </row>
    <row r="484" spans="1:4" ht="15">
      <c r="A484" s="314" t="s">
        <v>5990</v>
      </c>
      <c r="B484" s="314" t="s">
        <v>5991</v>
      </c>
      <c r="C484" s="314" t="s">
        <v>5992</v>
      </c>
      <c r="D484" s="67" t="s">
        <v>5993</v>
      </c>
    </row>
    <row r="485" spans="1:4" ht="15">
      <c r="A485" s="314" t="s">
        <v>5994</v>
      </c>
      <c r="B485" s="314" t="s">
        <v>5995</v>
      </c>
      <c r="C485" s="314" t="s">
        <v>5996</v>
      </c>
      <c r="D485" s="461" t="s">
        <v>5995</v>
      </c>
    </row>
    <row r="486" spans="1:4" ht="15">
      <c r="A486" s="314" t="s">
        <v>5997</v>
      </c>
      <c r="B486" s="314" t="s">
        <v>5998</v>
      </c>
      <c r="C486" s="314" t="s">
        <v>5999</v>
      </c>
      <c r="D486" s="67" t="s">
        <v>6000</v>
      </c>
    </row>
    <row r="487" spans="1:4" ht="15">
      <c r="A487" s="314" t="s">
        <v>6001</v>
      </c>
      <c r="B487" s="314" t="s">
        <v>6002</v>
      </c>
      <c r="C487" s="314" t="s">
        <v>6003</v>
      </c>
      <c r="D487" s="67" t="s">
        <v>6004</v>
      </c>
    </row>
    <row r="488" spans="1:4" ht="15">
      <c r="A488" s="314" t="s">
        <v>6005</v>
      </c>
      <c r="B488" s="314" t="s">
        <v>6006</v>
      </c>
      <c r="C488" s="314" t="s">
        <v>6007</v>
      </c>
      <c r="D488" s="67" t="s">
        <v>6008</v>
      </c>
    </row>
    <row r="489" spans="1:4" ht="15">
      <c r="A489" s="314" t="s">
        <v>6009</v>
      </c>
      <c r="B489" s="314" t="s">
        <v>6010</v>
      </c>
      <c r="C489" s="314" t="s">
        <v>6011</v>
      </c>
      <c r="D489" s="67" t="s">
        <v>6012</v>
      </c>
    </row>
    <row r="490" spans="1:4" ht="15">
      <c r="A490" s="314" t="s">
        <v>6013</v>
      </c>
      <c r="B490" s="314" t="s">
        <v>6014</v>
      </c>
      <c r="C490" s="314" t="s">
        <v>6015</v>
      </c>
      <c r="D490" s="67" t="s">
        <v>6016</v>
      </c>
    </row>
    <row r="491" spans="1:4" ht="15">
      <c r="A491" s="314" t="s">
        <v>6017</v>
      </c>
      <c r="B491" s="314" t="s">
        <v>6018</v>
      </c>
      <c r="C491" s="314" t="s">
        <v>6019</v>
      </c>
      <c r="D491" s="67" t="s">
        <v>6020</v>
      </c>
    </row>
    <row r="492" spans="1:4" ht="15">
      <c r="A492" s="314" t="s">
        <v>6021</v>
      </c>
      <c r="B492" s="314" t="s">
        <v>6022</v>
      </c>
      <c r="C492" s="314" t="s">
        <v>6023</v>
      </c>
      <c r="D492" s="67" t="s">
        <v>6024</v>
      </c>
    </row>
    <row r="493" spans="1:4" ht="15">
      <c r="A493" s="314" t="s">
        <v>6025</v>
      </c>
      <c r="B493" s="314" t="s">
        <v>6026</v>
      </c>
      <c r="C493" s="314" t="s">
        <v>6027</v>
      </c>
      <c r="D493" s="67" t="s">
        <v>6028</v>
      </c>
    </row>
    <row r="494" spans="1:4" ht="15">
      <c r="A494" s="314" t="s">
        <v>6029</v>
      </c>
      <c r="B494" s="314" t="s">
        <v>6030</v>
      </c>
      <c r="C494" s="314" t="s">
        <v>6031</v>
      </c>
      <c r="D494" s="461" t="s">
        <v>6030</v>
      </c>
    </row>
    <row r="495" spans="1:4" ht="15">
      <c r="A495" s="314" t="s">
        <v>6032</v>
      </c>
      <c r="B495" s="314" t="s">
        <v>6033</v>
      </c>
      <c r="C495" s="314" t="s">
        <v>6034</v>
      </c>
      <c r="D495" s="461" t="s">
        <v>6033</v>
      </c>
    </row>
    <row r="496" spans="1:4" ht="15">
      <c r="A496" s="314" t="s">
        <v>6035</v>
      </c>
      <c r="B496" s="314" t="s">
        <v>6036</v>
      </c>
      <c r="C496" s="314" t="s">
        <v>6037</v>
      </c>
      <c r="D496" s="67" t="s">
        <v>6038</v>
      </c>
    </row>
    <row r="497" spans="1:4" ht="15">
      <c r="A497" s="314" t="s">
        <v>6039</v>
      </c>
      <c r="B497" s="314" t="s">
        <v>6040</v>
      </c>
      <c r="C497" s="314" t="s">
        <v>6041</v>
      </c>
      <c r="D497" s="67" t="s">
        <v>6042</v>
      </c>
    </row>
    <row r="498" spans="1:4" ht="15">
      <c r="A498" s="314" t="s">
        <v>6043</v>
      </c>
      <c r="B498" s="314" t="s">
        <v>6044</v>
      </c>
      <c r="C498" s="314" t="s">
        <v>6045</v>
      </c>
      <c r="D498" s="67" t="s">
        <v>6046</v>
      </c>
    </row>
    <row r="499" spans="1:4" ht="15">
      <c r="A499" s="314" t="s">
        <v>6047</v>
      </c>
      <c r="B499" s="314" t="s">
        <v>6048</v>
      </c>
      <c r="C499" s="314" t="s">
        <v>6049</v>
      </c>
      <c r="D499" s="67" t="s">
        <v>6050</v>
      </c>
    </row>
    <row r="500" spans="1:4" ht="15">
      <c r="A500" s="314" t="s">
        <v>6051</v>
      </c>
      <c r="B500" s="314" t="s">
        <v>6052</v>
      </c>
      <c r="C500" s="314" t="s">
        <v>6053</v>
      </c>
      <c r="D500" s="67" t="s">
        <v>6054</v>
      </c>
    </row>
    <row r="501" spans="1:4" ht="15">
      <c r="A501" s="314" t="s">
        <v>6055</v>
      </c>
      <c r="B501" s="314" t="s">
        <v>6056</v>
      </c>
      <c r="C501" s="314" t="s">
        <v>6057</v>
      </c>
      <c r="D501" s="67" t="s">
        <v>6058</v>
      </c>
    </row>
    <row r="502" spans="1:4" ht="15">
      <c r="A502" s="314" t="s">
        <v>6059</v>
      </c>
      <c r="B502" s="314" t="s">
        <v>6060</v>
      </c>
      <c r="C502" s="314" t="s">
        <v>6061</v>
      </c>
      <c r="D502" s="67" t="s">
        <v>6062</v>
      </c>
    </row>
    <row r="503" spans="1:4" ht="15">
      <c r="A503" s="314" t="s">
        <v>6063</v>
      </c>
      <c r="B503" s="314" t="s">
        <v>6064</v>
      </c>
      <c r="C503" s="314" t="s">
        <v>6065</v>
      </c>
      <c r="D503" s="67" t="s">
        <v>6066</v>
      </c>
    </row>
    <row r="504" spans="1:4" ht="15">
      <c r="A504" s="314" t="s">
        <v>6067</v>
      </c>
      <c r="B504" s="314" t="s">
        <v>6068</v>
      </c>
      <c r="C504" s="316" t="s">
        <v>6068</v>
      </c>
      <c r="D504" s="461" t="s">
        <v>6068</v>
      </c>
    </row>
    <row r="505" spans="1:4" ht="15">
      <c r="A505" s="314" t="s">
        <v>6069</v>
      </c>
      <c r="B505" s="314" t="s">
        <v>6070</v>
      </c>
      <c r="C505" s="316" t="s">
        <v>6070</v>
      </c>
      <c r="D505" s="461" t="s">
        <v>6070</v>
      </c>
    </row>
    <row r="506" spans="1:4" ht="15">
      <c r="A506" s="314" t="s">
        <v>6071</v>
      </c>
      <c r="B506" s="314" t="s">
        <v>6072</v>
      </c>
      <c r="C506" s="314" t="s">
        <v>6073</v>
      </c>
      <c r="D506" s="67" t="s">
        <v>6074</v>
      </c>
    </row>
    <row r="507" spans="1:4" ht="15">
      <c r="A507" s="314" t="s">
        <v>6075</v>
      </c>
      <c r="B507" s="314" t="s">
        <v>6076</v>
      </c>
      <c r="C507" s="314" t="s">
        <v>6077</v>
      </c>
      <c r="D507" s="67" t="s">
        <v>6078</v>
      </c>
    </row>
    <row r="508" spans="1:4" ht="15">
      <c r="A508" s="314" t="s">
        <v>6079</v>
      </c>
      <c r="B508" s="314" t="s">
        <v>6080</v>
      </c>
      <c r="C508" s="314" t="s">
        <v>6081</v>
      </c>
      <c r="D508" s="67" t="s">
        <v>6082</v>
      </c>
    </row>
    <row r="509" spans="1:4" ht="15">
      <c r="A509" s="314" t="s">
        <v>6083</v>
      </c>
      <c r="B509" s="314" t="s">
        <v>6084</v>
      </c>
      <c r="C509" s="314" t="s">
        <v>6085</v>
      </c>
      <c r="D509" s="67" t="s">
        <v>6086</v>
      </c>
    </row>
    <row r="510" spans="1:4" ht="15">
      <c r="A510" s="314" t="s">
        <v>6087</v>
      </c>
      <c r="B510" s="314" t="s">
        <v>6088</v>
      </c>
      <c r="C510" s="314" t="s">
        <v>6089</v>
      </c>
      <c r="D510" s="67" t="s">
        <v>6090</v>
      </c>
    </row>
    <row r="511" spans="1:4" ht="15">
      <c r="A511" s="314" t="s">
        <v>6091</v>
      </c>
      <c r="B511" s="314" t="s">
        <v>6092</v>
      </c>
      <c r="C511" s="314" t="s">
        <v>6093</v>
      </c>
      <c r="D511" s="461" t="s">
        <v>6092</v>
      </c>
    </row>
    <row r="512" spans="1:4" ht="15">
      <c r="A512" s="314" t="s">
        <v>6094</v>
      </c>
      <c r="B512" s="314" t="s">
        <v>6095</v>
      </c>
      <c r="C512" s="314" t="s">
        <v>6096</v>
      </c>
      <c r="D512" s="67" t="s">
        <v>6097</v>
      </c>
    </row>
    <row r="513" spans="1:4" ht="15">
      <c r="A513" s="314" t="s">
        <v>6098</v>
      </c>
      <c r="B513" s="314" t="s">
        <v>6099</v>
      </c>
      <c r="C513" s="314" t="s">
        <v>6100</v>
      </c>
      <c r="D513" s="67" t="s">
        <v>6101</v>
      </c>
    </row>
    <row r="514" spans="1:4" ht="15">
      <c r="A514" s="314" t="s">
        <v>6102</v>
      </c>
      <c r="B514" s="314" t="s">
        <v>6103</v>
      </c>
      <c r="C514" s="314" t="s">
        <v>6104</v>
      </c>
      <c r="D514" s="67" t="s">
        <v>6105</v>
      </c>
    </row>
    <row r="515" spans="1:4" ht="15">
      <c r="A515" s="314" t="s">
        <v>6106</v>
      </c>
      <c r="B515" s="314" t="s">
        <v>6107</v>
      </c>
      <c r="C515" s="314" t="s">
        <v>6108</v>
      </c>
      <c r="D515" s="67" t="s">
        <v>6109</v>
      </c>
    </row>
    <row r="516" spans="1:4" ht="15">
      <c r="A516" s="314" t="s">
        <v>6110</v>
      </c>
      <c r="B516" s="314" t="s">
        <v>6111</v>
      </c>
      <c r="C516" s="314" t="s">
        <v>6112</v>
      </c>
      <c r="D516" s="67" t="s">
        <v>6113</v>
      </c>
    </row>
    <row r="517" spans="1:4" ht="15">
      <c r="A517" s="314" t="s">
        <v>6114</v>
      </c>
      <c r="B517" s="314" t="s">
        <v>6115</v>
      </c>
      <c r="C517" s="314" t="s">
        <v>6116</v>
      </c>
      <c r="D517" s="67" t="s">
        <v>6117</v>
      </c>
    </row>
    <row r="518" spans="1:4" ht="15">
      <c r="A518" s="314" t="s">
        <v>6118</v>
      </c>
      <c r="B518" s="314" t="s">
        <v>6119</v>
      </c>
      <c r="C518" s="314" t="s">
        <v>6120</v>
      </c>
      <c r="D518" s="67" t="s">
        <v>6121</v>
      </c>
    </row>
    <row r="519" spans="1:4" ht="15">
      <c r="A519" s="314" t="s">
        <v>6122</v>
      </c>
      <c r="B519" s="314" t="s">
        <v>6123</v>
      </c>
      <c r="C519" s="314" t="s">
        <v>6124</v>
      </c>
      <c r="D519" s="67" t="s">
        <v>6125</v>
      </c>
    </row>
    <row r="520" spans="1:4" ht="15">
      <c r="A520" s="314" t="s">
        <v>6126</v>
      </c>
      <c r="B520" s="314" t="s">
        <v>6127</v>
      </c>
      <c r="C520" s="314" t="s">
        <v>6128</v>
      </c>
      <c r="D520" s="67" t="s">
        <v>6129</v>
      </c>
    </row>
    <row r="521" spans="1:4" ht="15">
      <c r="A521" s="314" t="s">
        <v>6130</v>
      </c>
      <c r="B521" s="314" t="s">
        <v>6131</v>
      </c>
      <c r="C521" s="314" t="s">
        <v>6132</v>
      </c>
      <c r="D521" s="67" t="s">
        <v>6133</v>
      </c>
    </row>
    <row r="522" spans="1:4" ht="15">
      <c r="A522" s="314" t="s">
        <v>6134</v>
      </c>
      <c r="B522" s="314" t="s">
        <v>6135</v>
      </c>
      <c r="C522" s="314" t="s">
        <v>6136</v>
      </c>
      <c r="D522" s="67" t="s">
        <v>6137</v>
      </c>
    </row>
    <row r="523" spans="1:4" ht="15">
      <c r="A523" s="314" t="s">
        <v>6138</v>
      </c>
      <c r="B523" s="314" t="s">
        <v>6139</v>
      </c>
      <c r="C523" s="314" t="s">
        <v>6140</v>
      </c>
      <c r="D523" s="67" t="s">
        <v>6141</v>
      </c>
    </row>
    <row r="524" spans="1:4" ht="15">
      <c r="A524" s="314" t="s">
        <v>6142</v>
      </c>
      <c r="B524" s="314" t="s">
        <v>6143</v>
      </c>
      <c r="C524" s="314" t="s">
        <v>6144</v>
      </c>
      <c r="D524" s="67" t="s">
        <v>6145</v>
      </c>
    </row>
    <row r="525" spans="1:4" ht="15">
      <c r="A525" s="314" t="s">
        <v>6146</v>
      </c>
      <c r="B525" s="314" t="s">
        <v>6147</v>
      </c>
      <c r="C525" s="314" t="s">
        <v>6148</v>
      </c>
      <c r="D525" s="67" t="s">
        <v>6149</v>
      </c>
    </row>
    <row r="526" spans="1:4" ht="15">
      <c r="A526" s="314" t="s">
        <v>6150</v>
      </c>
      <c r="B526" s="314" t="s">
        <v>6151</v>
      </c>
      <c r="C526" s="314" t="s">
        <v>6152</v>
      </c>
      <c r="D526" s="67" t="s">
        <v>6153</v>
      </c>
    </row>
    <row r="527" spans="1:4" ht="15">
      <c r="A527" s="314" t="s">
        <v>6154</v>
      </c>
      <c r="B527" s="314" t="s">
        <v>6155</v>
      </c>
      <c r="C527" s="314" t="s">
        <v>6156</v>
      </c>
      <c r="D527" s="67" t="s">
        <v>6157</v>
      </c>
    </row>
    <row r="528" spans="1:4" ht="15">
      <c r="A528" s="314" t="s">
        <v>6158</v>
      </c>
      <c r="B528" s="314" t="s">
        <v>6159</v>
      </c>
      <c r="C528" s="314" t="s">
        <v>6160</v>
      </c>
      <c r="D528" s="67" t="s">
        <v>6161</v>
      </c>
    </row>
    <row r="529" spans="1:4" ht="15">
      <c r="A529" s="314" t="s">
        <v>6162</v>
      </c>
      <c r="B529" s="314" t="s">
        <v>6163</v>
      </c>
      <c r="C529" s="314" t="s">
        <v>6164</v>
      </c>
      <c r="D529" s="67" t="s">
        <v>6165</v>
      </c>
    </row>
    <row r="530" spans="1:4" ht="15">
      <c r="A530" s="314" t="s">
        <v>6166</v>
      </c>
      <c r="B530" s="314" t="s">
        <v>6167</v>
      </c>
      <c r="C530" s="314" t="s">
        <v>6168</v>
      </c>
      <c r="D530" s="67" t="s">
        <v>6169</v>
      </c>
    </row>
    <row r="531" spans="1:4" ht="15">
      <c r="A531" s="314" t="s">
        <v>6170</v>
      </c>
      <c r="B531" s="314" t="s">
        <v>6171</v>
      </c>
      <c r="C531" s="314" t="s">
        <v>6172</v>
      </c>
      <c r="D531" s="67" t="s">
        <v>6173</v>
      </c>
    </row>
    <row r="532" spans="1:4" ht="15">
      <c r="A532" s="314" t="s">
        <v>6174</v>
      </c>
      <c r="B532" s="314" t="s">
        <v>6175</v>
      </c>
      <c r="C532" s="314" t="s">
        <v>6176</v>
      </c>
      <c r="D532" s="67" t="s">
        <v>6177</v>
      </c>
    </row>
    <row r="533" spans="1:4" ht="15">
      <c r="A533" s="314" t="s">
        <v>6178</v>
      </c>
      <c r="B533" s="314" t="s">
        <v>6179</v>
      </c>
      <c r="C533" s="314" t="s">
        <v>6180</v>
      </c>
      <c r="D533" s="67" t="s">
        <v>6181</v>
      </c>
    </row>
    <row r="534" spans="1:4" ht="15">
      <c r="A534" s="314" t="s">
        <v>6182</v>
      </c>
      <c r="B534" s="314" t="s">
        <v>6183</v>
      </c>
      <c r="C534" s="314" t="s">
        <v>6184</v>
      </c>
      <c r="D534" s="67" t="s">
        <v>6185</v>
      </c>
    </row>
    <row r="535" spans="1:4" ht="15">
      <c r="A535" s="314" t="s">
        <v>6186</v>
      </c>
      <c r="B535" s="314" t="s">
        <v>6187</v>
      </c>
      <c r="C535" s="314" t="s">
        <v>6188</v>
      </c>
      <c r="D535" s="67" t="s">
        <v>6189</v>
      </c>
    </row>
    <row r="536" spans="1:4" ht="15">
      <c r="A536" s="314" t="s">
        <v>6190</v>
      </c>
      <c r="B536" s="314" t="s">
        <v>6191</v>
      </c>
      <c r="C536" s="314" t="s">
        <v>6192</v>
      </c>
      <c r="D536" s="67" t="s">
        <v>6193</v>
      </c>
    </row>
    <row r="537" spans="1:4" ht="15">
      <c r="A537" s="314" t="s">
        <v>6194</v>
      </c>
      <c r="B537" s="314" t="s">
        <v>6195</v>
      </c>
      <c r="C537" s="314" t="s">
        <v>6196</v>
      </c>
      <c r="D537" s="67" t="s">
        <v>6197</v>
      </c>
    </row>
    <row r="538" spans="1:4" ht="15">
      <c r="A538" s="314" t="s">
        <v>6198</v>
      </c>
      <c r="B538" s="314" t="s">
        <v>6199</v>
      </c>
      <c r="C538" s="314" t="s">
        <v>6200</v>
      </c>
      <c r="D538" s="461" t="s">
        <v>6199</v>
      </c>
    </row>
    <row r="539" spans="1:4" ht="15">
      <c r="A539" s="314" t="s">
        <v>6201</v>
      </c>
      <c r="B539" s="314" t="s">
        <v>6202</v>
      </c>
      <c r="C539" s="314" t="s">
        <v>6203</v>
      </c>
      <c r="D539" s="67" t="s">
        <v>6204</v>
      </c>
    </row>
    <row r="540" spans="1:4" ht="15">
      <c r="A540" s="314" t="s">
        <v>6205</v>
      </c>
      <c r="B540" s="314" t="s">
        <v>6206</v>
      </c>
      <c r="C540" s="314" t="s">
        <v>6207</v>
      </c>
      <c r="D540" s="67" t="s">
        <v>6208</v>
      </c>
    </row>
    <row r="541" spans="1:4" ht="15">
      <c r="A541" s="314" t="s">
        <v>6209</v>
      </c>
      <c r="B541" s="314" t="s">
        <v>6210</v>
      </c>
      <c r="C541" s="314" t="s">
        <v>6211</v>
      </c>
      <c r="D541" s="461" t="s">
        <v>6210</v>
      </c>
    </row>
    <row r="542" spans="1:4" ht="15">
      <c r="A542" s="314" t="s">
        <v>6212</v>
      </c>
      <c r="B542" s="314" t="s">
        <v>6213</v>
      </c>
      <c r="C542" s="316" t="s">
        <v>6213</v>
      </c>
      <c r="D542" s="67" t="s">
        <v>6213</v>
      </c>
    </row>
    <row r="543" spans="1:4" ht="15">
      <c r="A543" s="314" t="s">
        <v>6214</v>
      </c>
      <c r="B543" s="314" t="s">
        <v>6215</v>
      </c>
      <c r="C543" s="314" t="s">
        <v>6216</v>
      </c>
      <c r="D543" s="461" t="s">
        <v>6215</v>
      </c>
    </row>
    <row r="544" spans="1:4" ht="15">
      <c r="A544" s="314" t="s">
        <v>6217</v>
      </c>
      <c r="B544" s="314" t="s">
        <v>6218</v>
      </c>
      <c r="C544" s="314" t="s">
        <v>6219</v>
      </c>
      <c r="D544" s="67" t="s">
        <v>6220</v>
      </c>
    </row>
    <row r="545" spans="1:4" ht="15">
      <c r="A545" s="314" t="s">
        <v>6221</v>
      </c>
      <c r="B545" s="314" t="s">
        <v>6222</v>
      </c>
      <c r="C545" s="314" t="s">
        <v>6223</v>
      </c>
      <c r="D545" s="67" t="s">
        <v>6224</v>
      </c>
    </row>
    <row r="546" spans="1:4" ht="15">
      <c r="A546" s="314" t="s">
        <v>6225</v>
      </c>
      <c r="B546" s="314" t="s">
        <v>6226</v>
      </c>
      <c r="C546" s="314" t="s">
        <v>6227</v>
      </c>
      <c r="D546" s="67" t="s">
        <v>6228</v>
      </c>
    </row>
    <row r="547" spans="1:4" ht="15">
      <c r="A547" s="314" t="s">
        <v>6229</v>
      </c>
      <c r="B547" s="314" t="s">
        <v>6230</v>
      </c>
      <c r="C547" s="316" t="s">
        <v>6230</v>
      </c>
      <c r="D547" s="461" t="s">
        <v>6230</v>
      </c>
    </row>
    <row r="548" spans="1:4" ht="15">
      <c r="A548" s="314" t="s">
        <v>6231</v>
      </c>
      <c r="B548" s="314" t="s">
        <v>6232</v>
      </c>
      <c r="C548" s="316" t="s">
        <v>6232</v>
      </c>
      <c r="D548" s="461" t="s">
        <v>6232</v>
      </c>
    </row>
    <row r="549" spans="1:4" ht="15">
      <c r="A549" s="314" t="s">
        <v>6233</v>
      </c>
      <c r="B549" s="314" t="s">
        <v>6234</v>
      </c>
      <c r="C549" s="314" t="s">
        <v>6235</v>
      </c>
      <c r="D549" s="67" t="s">
        <v>6236</v>
      </c>
    </row>
    <row r="550" spans="1:4" ht="15">
      <c r="A550" s="314" t="s">
        <v>6237</v>
      </c>
      <c r="B550" s="314" t="s">
        <v>6238</v>
      </c>
      <c r="C550" s="314" t="s">
        <v>6239</v>
      </c>
      <c r="D550" s="67" t="s">
        <v>6240</v>
      </c>
    </row>
    <row r="551" spans="1:4" ht="15">
      <c r="A551" s="314" t="s">
        <v>6241</v>
      </c>
      <c r="B551" s="314" t="s">
        <v>6242</v>
      </c>
      <c r="C551" s="314" t="s">
        <v>6243</v>
      </c>
      <c r="D551" s="67" t="s">
        <v>6244</v>
      </c>
    </row>
    <row r="552" spans="1:4" ht="15">
      <c r="A552" s="314" t="s">
        <v>6245</v>
      </c>
      <c r="B552" s="314" t="s">
        <v>6246</v>
      </c>
      <c r="C552" s="314" t="s">
        <v>6247</v>
      </c>
      <c r="D552" s="67" t="s">
        <v>6248</v>
      </c>
    </row>
    <row r="553" spans="1:4" ht="15">
      <c r="A553" s="314" t="s">
        <v>6249</v>
      </c>
      <c r="B553" s="314" t="s">
        <v>6250</v>
      </c>
      <c r="C553" s="314" t="s">
        <v>6251</v>
      </c>
      <c r="D553" s="67" t="s">
        <v>6252</v>
      </c>
    </row>
    <row r="554" spans="1:4" ht="15">
      <c r="A554" s="314" t="s">
        <v>6253</v>
      </c>
      <c r="B554" s="314" t="s">
        <v>6254</v>
      </c>
      <c r="C554" s="314" t="s">
        <v>6255</v>
      </c>
      <c r="D554" s="461" t="s">
        <v>6254</v>
      </c>
    </row>
    <row r="555" spans="1:4" ht="15">
      <c r="A555" s="314" t="s">
        <v>6256</v>
      </c>
      <c r="B555" s="314" t="s">
        <v>6257</v>
      </c>
      <c r="C555" s="316" t="s">
        <v>6257</v>
      </c>
      <c r="D555" s="461" t="s">
        <v>6257</v>
      </c>
    </row>
    <row r="556" spans="1:4" ht="15">
      <c r="A556" s="314" t="s">
        <v>6258</v>
      </c>
      <c r="B556" s="314" t="s">
        <v>6259</v>
      </c>
      <c r="C556" s="316" t="s">
        <v>6259</v>
      </c>
      <c r="D556" s="461" t="s">
        <v>6259</v>
      </c>
    </row>
    <row r="557" spans="1:4" ht="15">
      <c r="A557" s="314" t="s">
        <v>6260</v>
      </c>
      <c r="B557" s="314" t="s">
        <v>6261</v>
      </c>
      <c r="C557" s="316" t="s">
        <v>6261</v>
      </c>
      <c r="D557" s="461" t="s">
        <v>6261</v>
      </c>
    </row>
    <row r="558" spans="1:4" ht="15">
      <c r="A558" s="314" t="s">
        <v>6262</v>
      </c>
      <c r="B558" s="314" t="s">
        <v>6263</v>
      </c>
      <c r="C558" s="316" t="s">
        <v>6263</v>
      </c>
      <c r="D558" s="461" t="s">
        <v>6263</v>
      </c>
    </row>
    <row r="559" spans="1:4" ht="15">
      <c r="A559" s="314" t="s">
        <v>6264</v>
      </c>
      <c r="B559" s="314" t="s">
        <v>6265</v>
      </c>
      <c r="C559" s="316" t="s">
        <v>6265</v>
      </c>
      <c r="D559" s="461" t="s">
        <v>6265</v>
      </c>
    </row>
    <row r="560" spans="1:4" ht="15">
      <c r="A560" s="314" t="s">
        <v>6266</v>
      </c>
      <c r="B560" s="314" t="s">
        <v>6267</v>
      </c>
      <c r="C560" s="316" t="s">
        <v>6267</v>
      </c>
      <c r="D560" s="67" t="s">
        <v>6268</v>
      </c>
    </row>
    <row r="561" spans="1:4" ht="15">
      <c r="A561" s="314" t="s">
        <v>6269</v>
      </c>
      <c r="B561" s="314" t="s">
        <v>6270</v>
      </c>
      <c r="C561" s="314" t="s">
        <v>6271</v>
      </c>
      <c r="D561" s="67" t="s">
        <v>6272</v>
      </c>
    </row>
    <row r="562" spans="1:4" ht="15">
      <c r="A562" s="314" t="s">
        <v>6273</v>
      </c>
      <c r="B562" s="314" t="s">
        <v>6274</v>
      </c>
      <c r="C562" s="316" t="s">
        <v>6274</v>
      </c>
      <c r="D562" s="461" t="s">
        <v>6274</v>
      </c>
    </row>
    <row r="563" spans="1:4" ht="15">
      <c r="A563" s="314" t="s">
        <v>6275</v>
      </c>
      <c r="B563" s="314" t="s">
        <v>6276</v>
      </c>
      <c r="C563" s="314" t="s">
        <v>6277</v>
      </c>
      <c r="D563" s="67" t="s">
        <v>6278</v>
      </c>
    </row>
    <row r="564" spans="1:4" ht="15">
      <c r="A564" s="314" t="s">
        <v>6279</v>
      </c>
      <c r="B564" s="314" t="s">
        <v>6280</v>
      </c>
      <c r="C564" s="314" t="s">
        <v>6281</v>
      </c>
      <c r="D564" s="67" t="s">
        <v>6282</v>
      </c>
    </row>
    <row r="565" spans="1:4" ht="15">
      <c r="A565" s="314" t="s">
        <v>6283</v>
      </c>
      <c r="B565" s="314" t="s">
        <v>6284</v>
      </c>
      <c r="C565" s="314" t="s">
        <v>6285</v>
      </c>
      <c r="D565" s="67" t="s">
        <v>6286</v>
      </c>
    </row>
    <row r="566" spans="1:4" ht="15">
      <c r="A566" s="314" t="s">
        <v>6287</v>
      </c>
      <c r="B566" s="314" t="s">
        <v>6288</v>
      </c>
      <c r="C566" s="314" t="s">
        <v>6289</v>
      </c>
      <c r="D566" s="67" t="s">
        <v>6290</v>
      </c>
    </row>
    <row r="567" spans="1:4" ht="15">
      <c r="A567" s="314" t="s">
        <v>6291</v>
      </c>
      <c r="B567" s="314" t="s">
        <v>6292</v>
      </c>
      <c r="C567" s="314" t="s">
        <v>6293</v>
      </c>
      <c r="D567" s="67" t="s">
        <v>6294</v>
      </c>
    </row>
    <row r="568" spans="1:4" ht="15">
      <c r="A568" s="314" t="s">
        <v>6295</v>
      </c>
      <c r="B568" s="314" t="s">
        <v>6296</v>
      </c>
      <c r="C568" s="314" t="s">
        <v>6297</v>
      </c>
      <c r="D568" s="67" t="s">
        <v>6298</v>
      </c>
    </row>
    <row r="569" spans="1:4" ht="15">
      <c r="A569" s="314" t="s">
        <v>6299</v>
      </c>
      <c r="B569" s="314" t="s">
        <v>6300</v>
      </c>
      <c r="C569" s="314" t="s">
        <v>6301</v>
      </c>
      <c r="D569" s="67" t="s">
        <v>6302</v>
      </c>
    </row>
    <row r="570" spans="1:4" ht="15">
      <c r="A570" s="314" t="s">
        <v>6303</v>
      </c>
      <c r="B570" s="314" t="s">
        <v>6304</v>
      </c>
      <c r="C570" s="314" t="s">
        <v>6305</v>
      </c>
      <c r="D570" s="67" t="s">
        <v>6306</v>
      </c>
    </row>
    <row r="571" spans="1:4" ht="15">
      <c r="A571" s="314" t="s">
        <v>6307</v>
      </c>
      <c r="B571" s="314" t="s">
        <v>6308</v>
      </c>
      <c r="C571" s="314" t="s">
        <v>6309</v>
      </c>
      <c r="D571" s="67" t="s">
        <v>6310</v>
      </c>
    </row>
    <row r="572" spans="1:4" ht="15">
      <c r="A572" s="314" t="s">
        <v>6311</v>
      </c>
      <c r="B572" s="314" t="s">
        <v>6312</v>
      </c>
      <c r="C572" s="314" t="s">
        <v>6313</v>
      </c>
      <c r="D572" s="67" t="s">
        <v>6314</v>
      </c>
    </row>
    <row r="573" spans="1:4" ht="15">
      <c r="A573" s="314" t="s">
        <v>6315</v>
      </c>
      <c r="B573" s="314" t="s">
        <v>6316</v>
      </c>
      <c r="C573" s="314" t="s">
        <v>6317</v>
      </c>
      <c r="D573" s="461" t="s">
        <v>6316</v>
      </c>
    </row>
    <row r="574" spans="1:4" ht="15">
      <c r="A574" s="314" t="s">
        <v>6318</v>
      </c>
      <c r="B574" s="314" t="s">
        <v>6319</v>
      </c>
      <c r="C574" s="314" t="s">
        <v>6320</v>
      </c>
      <c r="D574" s="67" t="s">
        <v>6321</v>
      </c>
    </row>
    <row r="575" spans="1:4" ht="15">
      <c r="A575" s="314" t="s">
        <v>6322</v>
      </c>
      <c r="B575" s="314" t="s">
        <v>6323</v>
      </c>
      <c r="C575" s="316" t="s">
        <v>6323</v>
      </c>
      <c r="D575" s="461" t="s">
        <v>6323</v>
      </c>
    </row>
    <row r="576" spans="1:4" ht="15">
      <c r="A576" s="314" t="s">
        <v>6324</v>
      </c>
      <c r="B576" s="314" t="s">
        <v>6325</v>
      </c>
      <c r="C576" s="316" t="s">
        <v>6325</v>
      </c>
      <c r="D576" s="461" t="s">
        <v>6325</v>
      </c>
    </row>
    <row r="577" spans="1:4" ht="15">
      <c r="A577" s="314" t="s">
        <v>6326</v>
      </c>
      <c r="B577" s="314" t="s">
        <v>6327</v>
      </c>
      <c r="C577" s="316" t="s">
        <v>6327</v>
      </c>
      <c r="D577" s="461" t="s">
        <v>6327</v>
      </c>
    </row>
    <row r="578" spans="1:4" ht="15">
      <c r="A578" s="314" t="s">
        <v>6328</v>
      </c>
      <c r="B578" s="314" t="s">
        <v>6329</v>
      </c>
      <c r="C578" s="316" t="s">
        <v>6329</v>
      </c>
      <c r="D578" s="461" t="s">
        <v>6329</v>
      </c>
    </row>
    <row r="579" spans="1:4" ht="15">
      <c r="A579" s="314" t="s">
        <v>6330</v>
      </c>
      <c r="B579" s="314" t="s">
        <v>6331</v>
      </c>
      <c r="C579" s="316" t="s">
        <v>6331</v>
      </c>
      <c r="D579" s="461" t="s">
        <v>6331</v>
      </c>
    </row>
    <row r="580" spans="1:4" ht="15">
      <c r="A580" s="314" t="s">
        <v>6332</v>
      </c>
      <c r="B580" s="314" t="s">
        <v>6333</v>
      </c>
      <c r="C580" s="316" t="s">
        <v>6333</v>
      </c>
      <c r="D580" s="461" t="s">
        <v>6333</v>
      </c>
    </row>
    <row r="581" spans="1:4" ht="15">
      <c r="A581" s="314" t="s">
        <v>6334</v>
      </c>
      <c r="B581" s="314" t="s">
        <v>6335</v>
      </c>
      <c r="C581" s="316" t="s">
        <v>6335</v>
      </c>
      <c r="D581" s="461" t="s">
        <v>6335</v>
      </c>
    </row>
    <row r="582" spans="1:4" ht="15">
      <c r="A582" s="314" t="s">
        <v>6336</v>
      </c>
      <c r="B582" s="314" t="s">
        <v>6337</v>
      </c>
      <c r="C582" s="316" t="s">
        <v>6337</v>
      </c>
      <c r="D582" s="67" t="s">
        <v>6338</v>
      </c>
    </row>
    <row r="583" spans="1:4" ht="15">
      <c r="A583" s="314" t="s">
        <v>6339</v>
      </c>
      <c r="B583" s="314" t="s">
        <v>6340</v>
      </c>
      <c r="C583" s="316" t="s">
        <v>6340</v>
      </c>
      <c r="D583" s="461" t="s">
        <v>6340</v>
      </c>
    </row>
    <row r="584" spans="1:4" ht="15">
      <c r="A584" s="314" t="s">
        <v>6341</v>
      </c>
      <c r="B584" s="314" t="s">
        <v>6342</v>
      </c>
      <c r="C584" s="316" t="s">
        <v>6342</v>
      </c>
      <c r="D584" s="461" t="s">
        <v>6342</v>
      </c>
    </row>
    <row r="585" spans="1:4" ht="15">
      <c r="A585" s="314" t="s">
        <v>6343</v>
      </c>
      <c r="B585" s="314" t="s">
        <v>6344</v>
      </c>
      <c r="C585" s="316" t="s">
        <v>6344</v>
      </c>
      <c r="D585" s="461" t="s">
        <v>6344</v>
      </c>
    </row>
    <row r="586" spans="1:4" ht="15">
      <c r="A586" s="314" t="s">
        <v>6345</v>
      </c>
      <c r="B586" s="314" t="s">
        <v>6346</v>
      </c>
      <c r="C586" s="316" t="s">
        <v>6346</v>
      </c>
      <c r="D586" s="461" t="s">
        <v>6346</v>
      </c>
    </row>
    <row r="587" spans="1:4" ht="15">
      <c r="A587" s="314" t="s">
        <v>6347</v>
      </c>
      <c r="B587" s="314" t="s">
        <v>6348</v>
      </c>
      <c r="C587" s="316" t="s">
        <v>6348</v>
      </c>
      <c r="D587" s="461" t="s">
        <v>6348</v>
      </c>
    </row>
    <row r="588" spans="1:4" ht="15">
      <c r="A588" s="314" t="s">
        <v>6349</v>
      </c>
      <c r="B588" s="314" t="s">
        <v>6350</v>
      </c>
      <c r="C588" s="316" t="s">
        <v>6350</v>
      </c>
      <c r="D588" s="461" t="s">
        <v>6350</v>
      </c>
    </row>
    <row r="589" spans="1:4" ht="15">
      <c r="A589" s="314" t="s">
        <v>6351</v>
      </c>
      <c r="B589" s="314" t="s">
        <v>6352</v>
      </c>
      <c r="C589" s="316" t="s">
        <v>6352</v>
      </c>
      <c r="D589" s="461" t="s">
        <v>6352</v>
      </c>
    </row>
    <row r="590" spans="1:4" ht="15">
      <c r="A590" s="314" t="s">
        <v>6353</v>
      </c>
      <c r="B590" s="314" t="s">
        <v>6354</v>
      </c>
      <c r="C590" s="316" t="s">
        <v>6354</v>
      </c>
      <c r="D590" s="461" t="s">
        <v>6354</v>
      </c>
    </row>
    <row r="591" spans="1:4" ht="15">
      <c r="A591" s="314" t="s">
        <v>6355</v>
      </c>
      <c r="B591" s="314" t="s">
        <v>6356</v>
      </c>
      <c r="C591" s="316" t="s">
        <v>6356</v>
      </c>
      <c r="D591" s="461" t="s">
        <v>6356</v>
      </c>
    </row>
    <row r="592" spans="1:4" ht="15">
      <c r="A592" s="314" t="s">
        <v>6357</v>
      </c>
      <c r="B592" s="314" t="s">
        <v>6358</v>
      </c>
      <c r="C592" s="316" t="s">
        <v>6358</v>
      </c>
      <c r="D592" s="461" t="s">
        <v>6358</v>
      </c>
    </row>
    <row r="593" spans="1:4" ht="15">
      <c r="A593" s="314" t="s">
        <v>6359</v>
      </c>
      <c r="B593" s="314" t="s">
        <v>6360</v>
      </c>
      <c r="C593" s="316" t="s">
        <v>6360</v>
      </c>
      <c r="D593" s="461" t="s">
        <v>6360</v>
      </c>
    </row>
    <row r="594" spans="1:4" ht="15">
      <c r="A594" s="314" t="s">
        <v>6361</v>
      </c>
      <c r="B594" s="314" t="s">
        <v>6362</v>
      </c>
      <c r="C594" s="316" t="s">
        <v>6362</v>
      </c>
      <c r="D594" s="461" t="s">
        <v>6362</v>
      </c>
    </row>
    <row r="595" spans="1:4" ht="15">
      <c r="A595" s="314" t="s">
        <v>6363</v>
      </c>
      <c r="B595" s="314" t="s">
        <v>6364</v>
      </c>
      <c r="C595" s="316" t="s">
        <v>6364</v>
      </c>
      <c r="D595" s="67" t="s">
        <v>6365</v>
      </c>
    </row>
    <row r="596" spans="1:4" ht="15">
      <c r="A596" s="314" t="s">
        <v>6366</v>
      </c>
      <c r="B596" s="314" t="s">
        <v>6367</v>
      </c>
      <c r="C596" s="314" t="s">
        <v>6368</v>
      </c>
      <c r="D596" s="67" t="s">
        <v>6369</v>
      </c>
    </row>
    <row r="597" spans="1:4" ht="15">
      <c r="A597" s="314" t="s">
        <v>6370</v>
      </c>
      <c r="B597" s="314" t="s">
        <v>6371</v>
      </c>
      <c r="C597" s="314" t="s">
        <v>6372</v>
      </c>
      <c r="D597" s="67" t="s">
        <v>6373</v>
      </c>
    </row>
    <row r="598" spans="1:4" ht="15">
      <c r="A598" s="314" t="s">
        <v>6374</v>
      </c>
      <c r="B598" s="314" t="s">
        <v>6375</v>
      </c>
      <c r="C598" s="314" t="s">
        <v>6376</v>
      </c>
      <c r="D598" s="461" t="s">
        <v>6375</v>
      </c>
    </row>
    <row r="599" spans="1:4" ht="15">
      <c r="A599" s="314" t="s">
        <v>6377</v>
      </c>
      <c r="B599" s="314" t="s">
        <v>6378</v>
      </c>
      <c r="C599" s="314" t="s">
        <v>6379</v>
      </c>
      <c r="D599" s="461" t="s">
        <v>6378</v>
      </c>
    </row>
    <row r="600" spans="1:4" ht="15">
      <c r="A600" s="314" t="s">
        <v>6380</v>
      </c>
      <c r="B600" s="314" t="s">
        <v>6381</v>
      </c>
      <c r="C600" s="314" t="s">
        <v>6382</v>
      </c>
      <c r="D600" s="67" t="s">
        <v>6383</v>
      </c>
    </row>
    <row r="601" spans="1:4" ht="15">
      <c r="A601" s="314" t="s">
        <v>6384</v>
      </c>
      <c r="B601" s="314" t="s">
        <v>6385</v>
      </c>
      <c r="C601" s="314" t="s">
        <v>6386</v>
      </c>
      <c r="D601" s="67" t="s">
        <v>6387</v>
      </c>
    </row>
    <row r="602" spans="1:4" ht="15">
      <c r="A602" s="314" t="s">
        <v>6388</v>
      </c>
      <c r="B602" s="314" t="s">
        <v>6389</v>
      </c>
      <c r="C602" s="314" t="s">
        <v>6390</v>
      </c>
      <c r="D602" s="461" t="s">
        <v>6389</v>
      </c>
    </row>
    <row r="603" spans="1:4" ht="15">
      <c r="A603" s="314" t="s">
        <v>6391</v>
      </c>
      <c r="B603" s="314" t="s">
        <v>6392</v>
      </c>
      <c r="C603" s="314" t="s">
        <v>6393</v>
      </c>
      <c r="D603" s="461" t="s">
        <v>6392</v>
      </c>
    </row>
    <row r="604" spans="1:4" ht="15">
      <c r="A604" s="314" t="s">
        <v>6394</v>
      </c>
      <c r="B604" s="314" t="s">
        <v>6395</v>
      </c>
      <c r="C604" s="314" t="s">
        <v>6396</v>
      </c>
      <c r="D604" s="461" t="s">
        <v>6395</v>
      </c>
    </row>
    <row r="605" spans="1:4" ht="15">
      <c r="A605" s="314" t="s">
        <v>6397</v>
      </c>
      <c r="B605" s="314" t="s">
        <v>6398</v>
      </c>
      <c r="C605" s="314" t="s">
        <v>6399</v>
      </c>
      <c r="D605" s="461" t="s">
        <v>6398</v>
      </c>
    </row>
    <row r="606" spans="1:4" ht="15">
      <c r="A606" s="314" t="s">
        <v>6400</v>
      </c>
      <c r="B606" s="314" t="s">
        <v>6401</v>
      </c>
      <c r="C606" s="314" t="s">
        <v>6402</v>
      </c>
      <c r="D606" s="461" t="s">
        <v>6401</v>
      </c>
    </row>
    <row r="607" spans="1:4" ht="15">
      <c r="A607" s="314" t="s">
        <v>6403</v>
      </c>
      <c r="B607" s="314" t="s">
        <v>6404</v>
      </c>
      <c r="C607" s="314" t="s">
        <v>6405</v>
      </c>
      <c r="D607" s="461" t="s">
        <v>6404</v>
      </c>
    </row>
    <row r="608" spans="1:4" ht="15">
      <c r="A608" s="314" t="s">
        <v>6406</v>
      </c>
      <c r="B608" s="314" t="s">
        <v>6407</v>
      </c>
      <c r="C608" s="316" t="s">
        <v>6407</v>
      </c>
      <c r="D608" s="461" t="s">
        <v>6407</v>
      </c>
    </row>
    <row r="609" spans="1:4" ht="15">
      <c r="A609" s="314" t="s">
        <v>6408</v>
      </c>
      <c r="B609" s="314" t="s">
        <v>6409</v>
      </c>
      <c r="C609" s="316" t="s">
        <v>6409</v>
      </c>
      <c r="D609" s="461" t="s">
        <v>6409</v>
      </c>
    </row>
    <row r="610" spans="1:4" ht="15">
      <c r="A610" s="314" t="s">
        <v>6410</v>
      </c>
      <c r="B610" s="314" t="s">
        <v>6411</v>
      </c>
      <c r="C610" s="314" t="s">
        <v>6412</v>
      </c>
      <c r="D610" s="67" t="s">
        <v>6413</v>
      </c>
    </row>
    <row r="611" spans="1:4" ht="15">
      <c r="A611" s="314" t="s">
        <v>6414</v>
      </c>
      <c r="B611" s="314" t="s">
        <v>6415</v>
      </c>
      <c r="C611" s="314" t="s">
        <v>6416</v>
      </c>
      <c r="D611" s="461" t="s">
        <v>6415</v>
      </c>
    </row>
    <row r="612" spans="1:4" ht="15">
      <c r="A612" s="314" t="s">
        <v>6417</v>
      </c>
      <c r="B612" s="314" t="s">
        <v>6418</v>
      </c>
      <c r="C612" s="314" t="s">
        <v>6419</v>
      </c>
      <c r="D612" s="461" t="s">
        <v>6418</v>
      </c>
    </row>
    <row r="613" spans="1:4" ht="15">
      <c r="A613" s="314" t="s">
        <v>6420</v>
      </c>
      <c r="B613" s="314" t="s">
        <v>6421</v>
      </c>
      <c r="C613" s="314" t="s">
        <v>6422</v>
      </c>
      <c r="D613" s="461" t="s">
        <v>6421</v>
      </c>
    </row>
    <row r="614" spans="1:4" ht="15">
      <c r="A614" s="314" t="s">
        <v>6423</v>
      </c>
      <c r="B614" s="314" t="s">
        <v>6424</v>
      </c>
      <c r="C614" s="314" t="s">
        <v>6425</v>
      </c>
      <c r="D614" s="461" t="s">
        <v>6424</v>
      </c>
    </row>
    <row r="615" spans="1:4" ht="15">
      <c r="A615" s="314" t="s">
        <v>6426</v>
      </c>
      <c r="B615" s="314" t="s">
        <v>6427</v>
      </c>
      <c r="C615" s="314" t="s">
        <v>6428</v>
      </c>
      <c r="D615" s="461" t="s">
        <v>6427</v>
      </c>
    </row>
    <row r="616" spans="1:4" ht="15">
      <c r="A616" s="314" t="s">
        <v>6429</v>
      </c>
      <c r="B616" s="314" t="s">
        <v>6430</v>
      </c>
      <c r="C616" s="316" t="s">
        <v>6430</v>
      </c>
      <c r="D616" s="461" t="s">
        <v>6430</v>
      </c>
    </row>
    <row r="617" spans="1:4" ht="15">
      <c r="A617" s="314" t="s">
        <v>6431</v>
      </c>
      <c r="B617" s="314" t="s">
        <v>6432</v>
      </c>
      <c r="C617" s="314" t="s">
        <v>6433</v>
      </c>
      <c r="D617" s="461" t="s">
        <v>6432</v>
      </c>
    </row>
    <row r="618" spans="1:4" ht="15">
      <c r="A618" s="314" t="s">
        <v>6434</v>
      </c>
      <c r="B618" s="314" t="s">
        <v>6435</v>
      </c>
      <c r="C618" s="316" t="s">
        <v>6435</v>
      </c>
      <c r="D618" s="461" t="s">
        <v>6435</v>
      </c>
    </row>
    <row r="619" spans="1:4" ht="15">
      <c r="A619" s="314" t="s">
        <v>6436</v>
      </c>
      <c r="B619" s="314" t="s">
        <v>6437</v>
      </c>
      <c r="C619" s="316" t="s">
        <v>6437</v>
      </c>
      <c r="D619" s="461" t="s">
        <v>6437</v>
      </c>
    </row>
    <row r="620" spans="1:4" ht="15">
      <c r="A620" s="314" t="s">
        <v>6438</v>
      </c>
      <c r="B620" s="314" t="s">
        <v>6439</v>
      </c>
      <c r="C620" s="316" t="s">
        <v>6439</v>
      </c>
      <c r="D620" s="461" t="s">
        <v>6439</v>
      </c>
    </row>
    <row r="621" spans="1:4" ht="15">
      <c r="A621" s="314" t="s">
        <v>6440</v>
      </c>
      <c r="B621" s="314" t="s">
        <v>6441</v>
      </c>
      <c r="C621" s="316" t="s">
        <v>6441</v>
      </c>
      <c r="D621" s="461" t="s">
        <v>6441</v>
      </c>
    </row>
    <row r="622" spans="1:4" ht="15">
      <c r="A622" s="314" t="s">
        <v>6442</v>
      </c>
      <c r="B622" s="314" t="s">
        <v>6443</v>
      </c>
      <c r="C622" s="314" t="s">
        <v>6444</v>
      </c>
      <c r="D622" s="461" t="s">
        <v>6443</v>
      </c>
    </row>
    <row r="623" spans="1:4" ht="15">
      <c r="A623" s="314" t="s">
        <v>6445</v>
      </c>
      <c r="B623" s="314" t="s">
        <v>6446</v>
      </c>
      <c r="C623" s="314" t="s">
        <v>6447</v>
      </c>
      <c r="D623" s="461" t="s">
        <v>6446</v>
      </c>
    </row>
    <row r="624" spans="1:4" ht="15">
      <c r="A624" s="314" t="s">
        <v>6448</v>
      </c>
      <c r="B624" s="314" t="s">
        <v>6449</v>
      </c>
      <c r="C624" s="314" t="s">
        <v>6450</v>
      </c>
      <c r="D624" s="461" t="s">
        <v>6449</v>
      </c>
    </row>
    <row r="625" spans="1:4" ht="15">
      <c r="A625" s="314" t="s">
        <v>6451</v>
      </c>
      <c r="B625" s="314" t="s">
        <v>6452</v>
      </c>
      <c r="C625" s="316" t="s">
        <v>6452</v>
      </c>
      <c r="D625" s="461" t="s">
        <v>6452</v>
      </c>
    </row>
    <row r="626" spans="1:4" ht="15">
      <c r="A626" s="314" t="s">
        <v>6453</v>
      </c>
      <c r="B626" s="314" t="s">
        <v>6454</v>
      </c>
      <c r="C626" s="316" t="s">
        <v>6454</v>
      </c>
      <c r="D626" s="461" t="s">
        <v>6454</v>
      </c>
    </row>
    <row r="627" spans="1:4" ht="15">
      <c r="A627" s="314" t="s">
        <v>6455</v>
      </c>
      <c r="B627" s="314" t="s">
        <v>6456</v>
      </c>
      <c r="C627" s="316" t="s">
        <v>6456</v>
      </c>
      <c r="D627" s="461" t="s">
        <v>6456</v>
      </c>
    </row>
    <row r="628" spans="1:4" ht="15">
      <c r="A628" s="314" t="s">
        <v>6457</v>
      </c>
      <c r="B628" s="314" t="s">
        <v>6458</v>
      </c>
      <c r="C628" s="316" t="s">
        <v>6458</v>
      </c>
      <c r="D628" s="461" t="s">
        <v>6458</v>
      </c>
    </row>
    <row r="629" spans="1:4" ht="15">
      <c r="A629" s="314" t="s">
        <v>6459</v>
      </c>
      <c r="B629" s="314" t="s">
        <v>6460</v>
      </c>
      <c r="C629" s="316" t="s">
        <v>6460</v>
      </c>
      <c r="D629" s="461" t="s">
        <v>6460</v>
      </c>
    </row>
    <row r="630" spans="1:4" ht="15">
      <c r="A630" s="314" t="s">
        <v>6461</v>
      </c>
      <c r="B630" s="314" t="s">
        <v>6462</v>
      </c>
      <c r="C630" s="316" t="s">
        <v>6462</v>
      </c>
      <c r="D630" s="461" t="s">
        <v>6462</v>
      </c>
    </row>
    <row r="631" spans="1:4" ht="15">
      <c r="A631" s="314" t="s">
        <v>6463</v>
      </c>
      <c r="B631" s="314" t="s">
        <v>6464</v>
      </c>
      <c r="C631" s="316" t="s">
        <v>6464</v>
      </c>
      <c r="D631" s="461" t="s">
        <v>6464</v>
      </c>
    </row>
    <row r="632" spans="1:4" ht="15">
      <c r="A632" s="314" t="s">
        <v>6465</v>
      </c>
      <c r="B632" s="314" t="s">
        <v>6466</v>
      </c>
      <c r="C632" s="316" t="s">
        <v>6466</v>
      </c>
      <c r="D632" s="461" t="s">
        <v>6466</v>
      </c>
    </row>
    <row r="633" spans="1:4" ht="15">
      <c r="A633" s="314" t="s">
        <v>6467</v>
      </c>
      <c r="B633" s="314" t="s">
        <v>6468</v>
      </c>
      <c r="C633" s="316" t="s">
        <v>6468</v>
      </c>
      <c r="D633" s="67" t="s">
        <v>6469</v>
      </c>
    </row>
    <row r="634" spans="1:4" ht="15">
      <c r="A634" s="314" t="s">
        <v>6470</v>
      </c>
      <c r="B634" s="314" t="s">
        <v>6471</v>
      </c>
      <c r="C634" s="316" t="s">
        <v>6472</v>
      </c>
      <c r="D634" s="461" t="s">
        <v>6471</v>
      </c>
    </row>
    <row r="635" spans="1:4" ht="15">
      <c r="A635" s="314" t="s">
        <v>6473</v>
      </c>
      <c r="B635" s="314" t="s">
        <v>6474</v>
      </c>
      <c r="C635" s="316" t="s">
        <v>6474</v>
      </c>
      <c r="D635" s="461" t="s">
        <v>6474</v>
      </c>
    </row>
    <row r="636" spans="1:4" ht="15">
      <c r="A636" s="314" t="s">
        <v>6475</v>
      </c>
      <c r="B636" s="314" t="s">
        <v>6476</v>
      </c>
      <c r="C636" s="316" t="s">
        <v>6476</v>
      </c>
      <c r="D636" s="67" t="s">
        <v>6477</v>
      </c>
    </row>
    <row r="637" spans="1:4" ht="15">
      <c r="A637" s="314" t="s">
        <v>6478</v>
      </c>
      <c r="B637" s="314" t="s">
        <v>6479</v>
      </c>
      <c r="C637" s="316" t="s">
        <v>6479</v>
      </c>
      <c r="D637" s="461" t="s">
        <v>6479</v>
      </c>
    </row>
    <row r="638" spans="1:4" ht="15">
      <c r="A638" s="314" t="s">
        <v>6480</v>
      </c>
      <c r="B638" s="314" t="s">
        <v>6481</v>
      </c>
      <c r="C638" s="316" t="s">
        <v>6481</v>
      </c>
      <c r="D638" s="461" t="s">
        <v>6481</v>
      </c>
    </row>
    <row r="639" spans="1:4" ht="15">
      <c r="A639" s="314" t="s">
        <v>6482</v>
      </c>
      <c r="B639" s="314" t="s">
        <v>6483</v>
      </c>
      <c r="C639" s="316" t="s">
        <v>6483</v>
      </c>
      <c r="D639" s="67" t="s">
        <v>6484</v>
      </c>
    </row>
    <row r="640" spans="1:4" ht="15">
      <c r="A640" s="314" t="s">
        <v>6485</v>
      </c>
      <c r="B640" s="314" t="s">
        <v>6486</v>
      </c>
      <c r="C640" s="314" t="s">
        <v>6487</v>
      </c>
      <c r="D640" s="67" t="s">
        <v>6488</v>
      </c>
    </row>
    <row r="641" spans="1:4" ht="15">
      <c r="A641" s="314" t="s">
        <v>6489</v>
      </c>
      <c r="B641" s="314" t="s">
        <v>6490</v>
      </c>
      <c r="C641" s="314" t="s">
        <v>6491</v>
      </c>
      <c r="D641" s="67" t="s">
        <v>6492</v>
      </c>
    </row>
    <row r="642" spans="1:4" ht="15">
      <c r="A642" s="314" t="s">
        <v>6493</v>
      </c>
      <c r="B642" s="314" t="s">
        <v>6494</v>
      </c>
      <c r="C642" s="314" t="s">
        <v>6495</v>
      </c>
      <c r="D642" s="461" t="s">
        <v>6494</v>
      </c>
    </row>
    <row r="643" spans="1:4" ht="15">
      <c r="A643" s="314" t="s">
        <v>6496</v>
      </c>
      <c r="B643" s="314" t="s">
        <v>6497</v>
      </c>
      <c r="C643" s="314" t="s">
        <v>6498</v>
      </c>
      <c r="D643" s="67" t="s">
        <v>6499</v>
      </c>
    </row>
    <row r="644" spans="1:4" ht="15">
      <c r="A644" s="314" t="s">
        <v>6500</v>
      </c>
      <c r="B644" s="314" t="s">
        <v>6501</v>
      </c>
      <c r="C644" s="316" t="s">
        <v>6501</v>
      </c>
      <c r="D644" s="461" t="s">
        <v>6501</v>
      </c>
    </row>
    <row r="645" spans="1:4" ht="15">
      <c r="A645" s="314" t="s">
        <v>6502</v>
      </c>
      <c r="B645" s="314" t="s">
        <v>6503</v>
      </c>
      <c r="C645" s="314" t="s">
        <v>6504</v>
      </c>
      <c r="D645" s="461" t="s">
        <v>6503</v>
      </c>
    </row>
    <row r="646" spans="1:4" ht="15">
      <c r="A646" s="314" t="s">
        <v>6505</v>
      </c>
      <c r="B646" s="314" t="s">
        <v>6506</v>
      </c>
      <c r="C646" s="316" t="s">
        <v>6506</v>
      </c>
      <c r="D646" s="461" t="s">
        <v>6506</v>
      </c>
    </row>
    <row r="647" spans="1:4" ht="15">
      <c r="A647" s="314" t="s">
        <v>6507</v>
      </c>
      <c r="B647" s="314" t="s">
        <v>6508</v>
      </c>
      <c r="C647" s="314" t="s">
        <v>6509</v>
      </c>
      <c r="D647" s="461" t="s">
        <v>6508</v>
      </c>
    </row>
    <row r="648" spans="1:4" ht="15">
      <c r="A648" s="314" t="s">
        <v>6510</v>
      </c>
      <c r="B648" s="314" t="s">
        <v>6511</v>
      </c>
      <c r="C648" s="316" t="s">
        <v>6511</v>
      </c>
      <c r="D648" s="461" t="s">
        <v>6511</v>
      </c>
    </row>
    <row r="649" spans="1:4" ht="15">
      <c r="A649" s="314" t="s">
        <v>6512</v>
      </c>
      <c r="B649" s="314" t="s">
        <v>6513</v>
      </c>
      <c r="C649" s="316" t="s">
        <v>6513</v>
      </c>
      <c r="D649" s="461" t="s">
        <v>6513</v>
      </c>
    </row>
    <row r="650" spans="1:4" ht="15">
      <c r="A650" s="314" t="s">
        <v>6514</v>
      </c>
      <c r="B650" s="314" t="s">
        <v>6515</v>
      </c>
      <c r="C650" s="316" t="s">
        <v>6515</v>
      </c>
      <c r="D650" s="461" t="s">
        <v>6515</v>
      </c>
    </row>
    <row r="651" spans="1:4" ht="15">
      <c r="A651" s="314" t="s">
        <v>6516</v>
      </c>
      <c r="B651" s="314" t="s">
        <v>6517</v>
      </c>
      <c r="C651" s="316" t="s">
        <v>6517</v>
      </c>
      <c r="D651" s="461" t="s">
        <v>6517</v>
      </c>
    </row>
    <row r="652" spans="1:4" ht="15">
      <c r="A652" s="314" t="s">
        <v>6518</v>
      </c>
      <c r="B652" s="314" t="s">
        <v>6519</v>
      </c>
      <c r="C652" s="314" t="s">
        <v>6520</v>
      </c>
      <c r="D652" s="67" t="s">
        <v>6521</v>
      </c>
    </row>
    <row r="653" spans="1:4" ht="15">
      <c r="A653" s="314" t="s">
        <v>6522</v>
      </c>
      <c r="B653" s="314" t="s">
        <v>6523</v>
      </c>
      <c r="C653" s="316" t="s">
        <v>6523</v>
      </c>
      <c r="D653" s="461" t="s">
        <v>6523</v>
      </c>
    </row>
    <row r="654" spans="1:4" ht="15">
      <c r="A654" s="314" t="s">
        <v>6524</v>
      </c>
      <c r="B654" s="314" t="s">
        <v>6525</v>
      </c>
      <c r="C654" s="316" t="s">
        <v>6525</v>
      </c>
      <c r="D654" s="461" t="s">
        <v>6525</v>
      </c>
    </row>
    <row r="655" spans="1:4" ht="15">
      <c r="A655" s="314" t="s">
        <v>6526</v>
      </c>
      <c r="B655" s="314" t="s">
        <v>6527</v>
      </c>
      <c r="C655" s="316" t="s">
        <v>6527</v>
      </c>
      <c r="D655" s="461" t="s">
        <v>6527</v>
      </c>
    </row>
    <row r="656" spans="1:4" ht="15">
      <c r="A656" s="314" t="s">
        <v>6528</v>
      </c>
      <c r="B656" s="314" t="s">
        <v>6529</v>
      </c>
      <c r="C656" s="316" t="s">
        <v>6529</v>
      </c>
      <c r="D656" s="461" t="s">
        <v>6529</v>
      </c>
    </row>
  </sheetData>
  <autoFilter ref="A1:B656" xr:uid="{00000000-0009-0000-0000-00000D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22">
    <tabColor rgb="FFFFC000"/>
    <pageSetUpPr fitToPage="1"/>
  </sheetPr>
  <dimension ref="A1:AH72"/>
  <sheetViews>
    <sheetView view="pageBreakPreview" topLeftCell="A14" zoomScaleNormal="100" zoomScaleSheetLayoutView="100" workbookViewId="0">
      <selection activeCell="A3" sqref="A3"/>
    </sheetView>
  </sheetViews>
  <sheetFormatPr defaultColWidth="9.140625" defaultRowHeight="12.75"/>
  <cols>
    <col min="1" max="3" width="3.7109375" style="51" customWidth="1"/>
    <col min="4" max="4" width="3.140625" style="51" customWidth="1"/>
    <col min="5" max="7" width="3.7109375" style="51" customWidth="1"/>
    <col min="8" max="9" width="3.7109375" style="56" customWidth="1"/>
    <col min="10" max="11" width="3.7109375" style="51" customWidth="1"/>
    <col min="12" max="13" width="3.7109375" style="56" customWidth="1"/>
    <col min="14" max="14" width="3.7109375" style="57" customWidth="1"/>
    <col min="15" max="15" width="2.7109375" style="57" customWidth="1"/>
    <col min="16" max="16" width="3.85546875" style="58" customWidth="1"/>
    <col min="17" max="18" width="3.7109375" style="58" customWidth="1"/>
    <col min="19" max="21" width="3.7109375" style="52" customWidth="1"/>
    <col min="22" max="22" width="4" style="52" customWidth="1"/>
    <col min="23" max="26" width="3.7109375" style="52" customWidth="1"/>
    <col min="27" max="16384" width="9.140625" style="52"/>
  </cols>
  <sheetData>
    <row r="1" spans="1:34" hidden="1">
      <c r="H1" s="51"/>
      <c r="I1" s="51"/>
      <c r="L1" s="51"/>
      <c r="M1" s="51"/>
      <c r="N1" s="51"/>
      <c r="O1" s="51"/>
      <c r="P1" s="51"/>
      <c r="Q1" s="51"/>
      <c r="R1" s="51"/>
      <c r="S1" s="51"/>
      <c r="T1" s="51"/>
      <c r="U1" s="56"/>
      <c r="X1" s="58"/>
      <c r="Y1" s="58"/>
      <c r="Z1" s="58"/>
      <c r="AA1" s="58"/>
    </row>
    <row r="2" spans="1:34" hidden="1">
      <c r="H2" s="51"/>
      <c r="I2" s="51"/>
      <c r="L2" s="51"/>
      <c r="M2" s="51"/>
      <c r="N2" s="51"/>
      <c r="O2" s="51"/>
      <c r="P2" s="51"/>
      <c r="Q2" s="51"/>
      <c r="R2" s="51"/>
      <c r="S2" s="51"/>
      <c r="T2" s="51"/>
      <c r="U2" s="56"/>
      <c r="X2" s="58"/>
      <c r="Y2" s="58"/>
      <c r="Z2" s="58"/>
      <c r="AA2" s="58"/>
    </row>
    <row r="3" spans="1:34" s="42" customFormat="1" ht="38.25" customHeight="1">
      <c r="A3" s="41"/>
      <c r="B3" s="41"/>
      <c r="C3" s="41"/>
      <c r="D3" s="41"/>
      <c r="E3" s="41"/>
      <c r="G3" s="43"/>
      <c r="H3" s="41"/>
      <c r="I3" s="43"/>
      <c r="J3" s="43"/>
      <c r="AA3" s="462" t="s">
        <v>3202</v>
      </c>
      <c r="AB3" s="462"/>
      <c r="AC3" s="462"/>
      <c r="AD3" s="462"/>
      <c r="AE3" s="462"/>
      <c r="AF3" s="462"/>
      <c r="AG3" s="462"/>
      <c r="AH3" s="462"/>
    </row>
    <row r="4" spans="1:34" s="46" customFormat="1" ht="10.5" customHeight="1">
      <c r="A4" s="44"/>
      <c r="B4" s="44"/>
      <c r="C4" s="44"/>
      <c r="D4" s="44"/>
      <c r="E4" s="44"/>
      <c r="F4" s="44"/>
      <c r="G4" s="44"/>
      <c r="H4" s="44"/>
      <c r="I4" s="44"/>
      <c r="J4" s="44"/>
      <c r="K4" s="44"/>
      <c r="L4" s="44"/>
      <c r="M4" s="44"/>
      <c r="N4" s="44"/>
      <c r="O4" s="44"/>
      <c r="P4" s="44"/>
      <c r="Q4" s="44"/>
      <c r="R4" s="44"/>
      <c r="S4" s="44"/>
      <c r="T4" s="44"/>
      <c r="U4" s="45"/>
      <c r="X4" s="47"/>
      <c r="Y4" s="47"/>
      <c r="Z4" s="47"/>
      <c r="AA4" s="47"/>
    </row>
    <row r="5" spans="1:34" s="46" customFormat="1" ht="10.5" customHeight="1">
      <c r="A5" s="44"/>
      <c r="B5" s="44"/>
      <c r="C5" s="44"/>
      <c r="D5" s="44"/>
      <c r="E5" s="44"/>
      <c r="F5" s="44"/>
      <c r="G5" s="44"/>
      <c r="H5" s="44"/>
      <c r="I5" s="44"/>
      <c r="J5" s="44"/>
      <c r="K5" s="44"/>
      <c r="L5" s="44"/>
      <c r="M5" s="44"/>
      <c r="N5" s="44"/>
      <c r="O5" s="44"/>
      <c r="P5" s="44"/>
      <c r="Q5" s="44"/>
      <c r="R5" s="44"/>
      <c r="S5" s="44"/>
      <c r="T5" s="44"/>
      <c r="U5" s="45"/>
      <c r="X5" s="47"/>
      <c r="Y5" s="47"/>
      <c r="Z5" s="47"/>
      <c r="AA5" s="47"/>
    </row>
    <row r="6" spans="1:34" s="46" customFormat="1" ht="10.5" customHeight="1">
      <c r="A6" s="44"/>
      <c r="B6" s="44"/>
      <c r="C6" s="44"/>
      <c r="D6" s="44"/>
      <c r="E6" s="44"/>
      <c r="F6" s="44"/>
      <c r="G6" s="44"/>
      <c r="H6" s="44"/>
      <c r="I6" s="44"/>
      <c r="J6" s="44"/>
      <c r="K6" s="44"/>
      <c r="L6" s="44"/>
      <c r="M6" s="44"/>
      <c r="N6" s="44"/>
      <c r="O6" s="44"/>
      <c r="P6" s="44"/>
      <c r="Q6" s="44"/>
      <c r="R6" s="44"/>
      <c r="S6" s="44"/>
      <c r="T6" s="44"/>
      <c r="U6" s="45"/>
      <c r="X6" s="47"/>
      <c r="Y6" s="47"/>
      <c r="Z6" s="47"/>
      <c r="AA6" s="47"/>
    </row>
    <row r="7" spans="1:34" s="46" customFormat="1" ht="10.5" customHeight="1">
      <c r="A7" s="44"/>
      <c r="B7" s="44"/>
      <c r="C7" s="44"/>
      <c r="D7" s="44"/>
      <c r="E7" s="44"/>
      <c r="F7" s="44"/>
      <c r="G7" s="44"/>
      <c r="H7" s="44"/>
      <c r="I7" s="44"/>
      <c r="J7" s="44"/>
      <c r="K7" s="44"/>
      <c r="L7" s="44"/>
      <c r="M7" s="44"/>
      <c r="N7" s="44"/>
      <c r="O7" s="44"/>
      <c r="P7" s="44"/>
      <c r="R7" s="44"/>
      <c r="S7" s="44"/>
      <c r="T7" s="44"/>
      <c r="U7" s="45"/>
      <c r="X7" s="47"/>
      <c r="Y7" s="47"/>
      <c r="Z7" s="47"/>
      <c r="AA7" s="47"/>
    </row>
    <row r="8" spans="1:34" s="46" customFormat="1" ht="10.5" customHeight="1">
      <c r="A8" s="44"/>
      <c r="B8" s="44"/>
      <c r="C8" s="44"/>
      <c r="D8" s="44"/>
      <c r="E8" s="44"/>
      <c r="F8" s="44"/>
      <c r="G8" s="44"/>
      <c r="H8" s="44"/>
      <c r="I8" s="44"/>
      <c r="J8" s="44"/>
      <c r="K8" s="44"/>
      <c r="L8" s="44"/>
      <c r="M8" s="44"/>
      <c r="N8" s="44"/>
      <c r="O8" s="44"/>
      <c r="P8" s="44"/>
      <c r="R8" s="44"/>
      <c r="S8" s="44"/>
      <c r="T8" s="44"/>
      <c r="U8" s="45"/>
      <c r="X8" s="47"/>
      <c r="Y8" s="47"/>
      <c r="Z8" s="47"/>
      <c r="AA8" s="47"/>
    </row>
    <row r="9" spans="1:34" s="46" customFormat="1" ht="10.5" customHeight="1">
      <c r="A9" s="44"/>
      <c r="B9" s="44"/>
      <c r="C9" s="44"/>
      <c r="D9" s="44"/>
      <c r="E9" s="44"/>
      <c r="F9" s="44"/>
      <c r="G9" s="44"/>
      <c r="H9" s="44"/>
      <c r="I9" s="44"/>
      <c r="J9" s="44"/>
      <c r="K9" s="44"/>
      <c r="L9" s="44"/>
      <c r="M9" s="44"/>
      <c r="N9" s="44"/>
      <c r="O9" s="44"/>
      <c r="P9" s="44"/>
      <c r="R9" s="44"/>
      <c r="S9" s="44"/>
      <c r="T9" s="44"/>
      <c r="U9" s="45"/>
      <c r="X9" s="47"/>
      <c r="Y9" s="47"/>
      <c r="Z9" s="47"/>
      <c r="AA9" s="47"/>
    </row>
    <row r="10" spans="1:34" s="46" customFormat="1" ht="10.5" customHeight="1">
      <c r="A10" s="44"/>
      <c r="B10" s="44"/>
      <c r="C10" s="44"/>
      <c r="D10" s="44"/>
      <c r="E10" s="44"/>
      <c r="F10" s="44"/>
      <c r="G10" s="44"/>
      <c r="H10" s="44"/>
      <c r="I10" s="44"/>
      <c r="J10" s="44"/>
      <c r="K10" s="44"/>
      <c r="L10" s="44"/>
      <c r="M10" s="44"/>
      <c r="N10" s="44"/>
      <c r="O10" s="44"/>
      <c r="P10" s="44"/>
      <c r="R10" s="44"/>
      <c r="S10" s="44"/>
      <c r="T10" s="44"/>
      <c r="U10" s="45"/>
      <c r="X10" s="47"/>
      <c r="Y10" s="47"/>
      <c r="Z10" s="47"/>
      <c r="AA10" s="47"/>
    </row>
    <row r="11" spans="1:34" s="46" customFormat="1" ht="10.5" customHeight="1">
      <c r="A11" s="44"/>
      <c r="B11" s="44"/>
      <c r="C11" s="44"/>
      <c r="D11" s="44"/>
      <c r="E11" s="44"/>
      <c r="F11" s="44"/>
      <c r="G11" s="44"/>
      <c r="H11" s="44"/>
      <c r="I11" s="44"/>
      <c r="J11" s="44"/>
      <c r="K11" s="44"/>
      <c r="L11" s="44"/>
      <c r="M11" s="44"/>
      <c r="N11" s="44"/>
      <c r="O11" s="44"/>
      <c r="P11" s="44"/>
      <c r="R11" s="44"/>
      <c r="S11" s="44"/>
      <c r="T11" s="44"/>
      <c r="U11" s="45"/>
      <c r="X11" s="47"/>
      <c r="Y11" s="47"/>
      <c r="Z11" s="47"/>
      <c r="AA11" s="47"/>
    </row>
    <row r="12" spans="1:34" s="46" customFormat="1" ht="10.5" customHeight="1">
      <c r="A12" s="44"/>
      <c r="B12" s="44"/>
      <c r="C12" s="44"/>
      <c r="D12" s="44"/>
      <c r="E12" s="44"/>
      <c r="F12" s="44"/>
      <c r="G12" s="44"/>
      <c r="H12" s="44"/>
      <c r="I12" s="44"/>
      <c r="J12" s="44"/>
      <c r="K12" s="44"/>
      <c r="L12" s="44"/>
      <c r="M12" s="44"/>
      <c r="N12" s="44"/>
      <c r="O12" s="44"/>
      <c r="P12" s="44"/>
      <c r="R12" s="44"/>
      <c r="S12" s="44"/>
      <c r="T12" s="44"/>
      <c r="U12" s="45"/>
      <c r="X12" s="47"/>
      <c r="Y12" s="47"/>
      <c r="Z12" s="47"/>
      <c r="AA12" s="47"/>
    </row>
    <row r="13" spans="1:34" s="46" customFormat="1" ht="10.5" customHeight="1">
      <c r="A13" s="44"/>
      <c r="B13" s="44"/>
      <c r="C13" s="44"/>
      <c r="D13" s="44"/>
      <c r="E13" s="44"/>
      <c r="F13" s="44"/>
      <c r="G13" s="44"/>
      <c r="H13" s="44"/>
      <c r="I13" s="44"/>
      <c r="J13" s="44"/>
      <c r="K13" s="44"/>
      <c r="L13" s="44"/>
      <c r="M13" s="44"/>
      <c r="N13" s="44"/>
      <c r="O13" s="44"/>
      <c r="P13" s="44"/>
      <c r="R13" s="44"/>
      <c r="S13" s="44"/>
      <c r="T13" s="44"/>
      <c r="U13" s="45"/>
      <c r="X13" s="47"/>
      <c r="Y13" s="47"/>
      <c r="Z13" s="47"/>
      <c r="AA13" s="47"/>
    </row>
    <row r="14" spans="1:34" s="46" customFormat="1" ht="10.5" customHeight="1">
      <c r="A14" s="44"/>
      <c r="B14" s="44"/>
      <c r="C14" s="44"/>
      <c r="D14" s="44"/>
      <c r="E14" s="44"/>
      <c r="F14" s="44"/>
      <c r="G14" s="44"/>
      <c r="H14" s="44"/>
      <c r="I14" s="44"/>
      <c r="J14" s="44"/>
      <c r="K14" s="44"/>
      <c r="L14" s="44"/>
      <c r="M14" s="44"/>
      <c r="N14" s="44"/>
      <c r="O14" s="44"/>
      <c r="P14" s="44"/>
      <c r="R14" s="44"/>
      <c r="S14" s="44"/>
      <c r="T14" s="44"/>
      <c r="U14" s="45"/>
      <c r="X14" s="47"/>
      <c r="Y14" s="47"/>
      <c r="Z14" s="47"/>
      <c r="AA14" s="47"/>
    </row>
    <row r="15" spans="1:34" s="46" customFormat="1" ht="10.5" customHeight="1">
      <c r="A15" s="44"/>
      <c r="B15" s="44"/>
      <c r="C15" s="44"/>
      <c r="D15" s="44"/>
      <c r="E15" s="44"/>
      <c r="F15" s="44"/>
      <c r="G15" s="44"/>
      <c r="H15" s="44"/>
      <c r="I15" s="44"/>
      <c r="J15" s="44"/>
      <c r="K15" s="44"/>
      <c r="L15" s="44"/>
      <c r="M15" s="44"/>
      <c r="N15" s="44"/>
      <c r="O15" s="44"/>
      <c r="P15" s="44"/>
      <c r="R15" s="44"/>
      <c r="S15" s="44"/>
      <c r="T15" s="44"/>
      <c r="U15" s="45"/>
      <c r="X15" s="47"/>
      <c r="Y15" s="47"/>
      <c r="Z15" s="47"/>
      <c r="AA15" s="47"/>
    </row>
    <row r="16" spans="1:34" s="46" customFormat="1" ht="10.5" customHeight="1">
      <c r="A16" s="44"/>
      <c r="B16" s="44"/>
      <c r="C16" s="44"/>
      <c r="D16" s="44"/>
      <c r="E16" s="44"/>
      <c r="F16" s="44"/>
      <c r="G16" s="44"/>
      <c r="H16" s="44"/>
      <c r="I16" s="44"/>
      <c r="J16" s="44"/>
      <c r="K16" s="44"/>
      <c r="L16" s="44"/>
      <c r="M16" s="44"/>
      <c r="N16" s="44"/>
      <c r="O16" s="44"/>
      <c r="P16" s="44"/>
      <c r="R16" s="44"/>
      <c r="S16" s="44"/>
      <c r="T16" s="44"/>
      <c r="U16" s="45"/>
      <c r="X16" s="47"/>
      <c r="Y16" s="47"/>
      <c r="Z16" s="47"/>
      <c r="AA16" s="47"/>
    </row>
    <row r="17" spans="1:27" s="46" customFormat="1" ht="10.5" customHeight="1">
      <c r="A17" s="44"/>
      <c r="B17" s="44"/>
      <c r="C17" s="44"/>
      <c r="D17" s="44"/>
      <c r="E17" s="44"/>
      <c r="F17" s="44"/>
      <c r="G17" s="44"/>
      <c r="H17" s="44"/>
      <c r="I17" s="44"/>
      <c r="J17" s="44"/>
      <c r="K17" s="44"/>
      <c r="L17" s="44"/>
      <c r="M17" s="44"/>
      <c r="N17" s="44"/>
      <c r="O17" s="44"/>
      <c r="P17" s="44"/>
      <c r="R17" s="44"/>
      <c r="S17" s="44"/>
      <c r="T17" s="44"/>
      <c r="U17" s="45"/>
      <c r="X17" s="47"/>
      <c r="Y17" s="47"/>
      <c r="Z17" s="47"/>
      <c r="AA17" s="47"/>
    </row>
    <row r="18" spans="1:27" s="46" customFormat="1" ht="10.5" customHeight="1">
      <c r="A18" s="44"/>
      <c r="B18" s="44"/>
      <c r="C18" s="44"/>
      <c r="D18" s="44"/>
      <c r="E18" s="44"/>
      <c r="F18" s="44"/>
      <c r="G18" s="44"/>
      <c r="H18" s="44"/>
      <c r="I18" s="44"/>
      <c r="J18" s="44"/>
      <c r="K18" s="44"/>
      <c r="L18" s="44"/>
      <c r="M18" s="44"/>
      <c r="N18" s="44"/>
      <c r="O18" s="44"/>
      <c r="P18" s="44"/>
      <c r="R18" s="44"/>
      <c r="S18" s="44"/>
      <c r="T18" s="44"/>
      <c r="U18" s="45"/>
      <c r="X18" s="47"/>
      <c r="Y18" s="47"/>
      <c r="Z18" s="47"/>
      <c r="AA18" s="47"/>
    </row>
    <row r="19" spans="1:27" s="46" customFormat="1" ht="10.5" customHeight="1">
      <c r="A19" s="44"/>
      <c r="B19" s="44"/>
      <c r="C19" s="44"/>
      <c r="D19" s="44"/>
      <c r="E19" s="44"/>
      <c r="F19" s="44"/>
      <c r="G19" s="44"/>
      <c r="H19" s="44"/>
      <c r="I19" s="44"/>
      <c r="J19" s="44"/>
      <c r="K19" s="44"/>
      <c r="L19" s="44"/>
      <c r="M19" s="44"/>
      <c r="N19" s="44"/>
      <c r="O19" s="44"/>
      <c r="P19" s="44"/>
      <c r="R19" s="44"/>
      <c r="S19" s="44"/>
      <c r="T19" s="44"/>
      <c r="U19" s="45"/>
      <c r="X19" s="47"/>
      <c r="Y19" s="47"/>
      <c r="Z19" s="47"/>
      <c r="AA19" s="47"/>
    </row>
    <row r="20" spans="1:27" s="46" customFormat="1" ht="10.5" customHeight="1">
      <c r="A20" s="44"/>
      <c r="B20" s="44"/>
      <c r="C20" s="44"/>
      <c r="D20" s="44"/>
      <c r="E20" s="44"/>
      <c r="F20" s="44"/>
      <c r="G20" s="44"/>
      <c r="H20" s="44"/>
      <c r="I20" s="44"/>
      <c r="J20" s="44"/>
      <c r="K20" s="44"/>
      <c r="L20" s="44"/>
      <c r="M20" s="44"/>
      <c r="N20" s="44"/>
      <c r="O20" s="44"/>
      <c r="P20" s="44"/>
      <c r="R20" s="44"/>
      <c r="S20" s="44"/>
      <c r="T20" s="44"/>
      <c r="U20" s="45"/>
      <c r="X20" s="47"/>
      <c r="Y20" s="47"/>
      <c r="Z20" s="47"/>
      <c r="AA20" s="47"/>
    </row>
    <row r="21" spans="1:27" s="46" customFormat="1" ht="10.5" customHeight="1">
      <c r="A21" s="44"/>
      <c r="B21" s="44"/>
      <c r="C21" s="44"/>
      <c r="D21" s="44"/>
      <c r="E21" s="44"/>
      <c r="F21" s="44"/>
      <c r="G21" s="44"/>
      <c r="H21" s="44"/>
      <c r="I21" s="44"/>
      <c r="J21" s="44"/>
      <c r="K21" s="44"/>
      <c r="L21" s="44"/>
      <c r="M21" s="44"/>
      <c r="N21" s="44"/>
      <c r="O21" s="44"/>
      <c r="P21" s="44"/>
      <c r="R21" s="44"/>
      <c r="S21" s="44"/>
      <c r="T21" s="44"/>
      <c r="U21" s="45"/>
      <c r="X21" s="47"/>
      <c r="Y21" s="47"/>
      <c r="Z21" s="47"/>
      <c r="AA21" s="47"/>
    </row>
    <row r="22" spans="1:27" s="46" customFormat="1" ht="10.5" customHeight="1">
      <c r="A22" s="44"/>
      <c r="B22" s="44"/>
      <c r="C22" s="44"/>
      <c r="D22" s="44"/>
      <c r="E22" s="44"/>
      <c r="F22" s="44"/>
      <c r="G22" s="44"/>
      <c r="H22" s="44"/>
      <c r="I22" s="44"/>
      <c r="J22" s="44"/>
      <c r="K22" s="44"/>
      <c r="L22" s="44"/>
      <c r="M22" s="44"/>
      <c r="N22" s="44"/>
      <c r="O22" s="44"/>
      <c r="P22" s="44"/>
      <c r="S22" s="44"/>
      <c r="T22" s="44"/>
      <c r="U22" s="45"/>
      <c r="X22" s="47"/>
      <c r="Y22" s="47"/>
      <c r="Z22" s="47"/>
      <c r="AA22" s="47"/>
    </row>
    <row r="23" spans="1:27" s="46" customFormat="1" ht="10.5" customHeight="1">
      <c r="A23" s="44"/>
      <c r="B23" s="44"/>
      <c r="C23" s="44"/>
      <c r="D23" s="44"/>
      <c r="E23" s="44"/>
      <c r="F23" s="44"/>
      <c r="G23" s="44"/>
      <c r="H23" s="44"/>
      <c r="I23" s="44"/>
      <c r="J23" s="44"/>
      <c r="K23" s="44"/>
      <c r="L23" s="44"/>
      <c r="M23" s="44"/>
      <c r="N23" s="44"/>
      <c r="O23" s="44"/>
      <c r="P23" s="44"/>
      <c r="X23" s="47"/>
      <c r="Y23" s="47"/>
      <c r="Z23" s="47"/>
      <c r="AA23" s="47"/>
    </row>
    <row r="24" spans="1:27" s="46" customFormat="1" ht="10.5" customHeight="1">
      <c r="A24" s="44"/>
      <c r="B24" s="44"/>
      <c r="C24" s="44"/>
      <c r="D24" s="44"/>
      <c r="E24" s="44"/>
      <c r="F24" s="44"/>
      <c r="G24" s="44"/>
      <c r="H24" s="44"/>
      <c r="I24" s="44"/>
      <c r="J24" s="44"/>
      <c r="K24" s="44"/>
      <c r="L24" s="44"/>
      <c r="M24" s="44"/>
      <c r="N24" s="44"/>
      <c r="O24" s="44"/>
      <c r="P24" s="44"/>
      <c r="S24" s="44"/>
      <c r="T24" s="44"/>
      <c r="U24" s="45"/>
      <c r="X24" s="47"/>
      <c r="Y24" s="47"/>
      <c r="Z24" s="47"/>
      <c r="AA24" s="47"/>
    </row>
    <row r="25" spans="1:27" s="46" customFormat="1" ht="10.5" customHeight="1">
      <c r="A25" s="44"/>
      <c r="B25" s="44"/>
      <c r="C25" s="44"/>
      <c r="D25" s="44"/>
      <c r="E25" s="44"/>
      <c r="F25" s="44"/>
      <c r="G25" s="44"/>
      <c r="H25" s="44"/>
      <c r="I25" s="44"/>
      <c r="J25" s="44"/>
      <c r="K25" s="44"/>
      <c r="L25" s="44"/>
      <c r="M25" s="44"/>
      <c r="N25" s="44"/>
      <c r="O25" s="44"/>
      <c r="P25" s="44"/>
      <c r="S25" s="44"/>
      <c r="T25" s="44"/>
      <c r="U25" s="45"/>
      <c r="X25" s="47"/>
      <c r="Y25" s="47"/>
      <c r="Z25" s="47"/>
      <c r="AA25" s="47"/>
    </row>
    <row r="26" spans="1:27" s="46" customFormat="1" ht="10.5" customHeight="1">
      <c r="A26" s="44"/>
      <c r="B26" s="44"/>
      <c r="C26" s="44"/>
      <c r="D26" s="44"/>
      <c r="E26" s="44"/>
      <c r="F26" s="44"/>
      <c r="G26" s="44"/>
      <c r="H26" s="44"/>
      <c r="I26" s="44"/>
      <c r="J26" s="44"/>
      <c r="K26" s="44"/>
      <c r="L26" s="44"/>
      <c r="M26" s="44"/>
      <c r="N26" s="44"/>
      <c r="O26" s="44"/>
      <c r="P26" s="44"/>
      <c r="S26" s="44"/>
      <c r="T26" s="44"/>
      <c r="U26" s="45"/>
      <c r="X26" s="47"/>
      <c r="Y26" s="47"/>
      <c r="Z26" s="47"/>
      <c r="AA26" s="47"/>
    </row>
    <row r="27" spans="1:27" s="46" customFormat="1" ht="10.5" customHeight="1">
      <c r="A27" s="44"/>
      <c r="B27" s="44"/>
      <c r="C27" s="44"/>
      <c r="D27" s="44"/>
      <c r="E27" s="44"/>
      <c r="F27" s="44"/>
      <c r="G27" s="44"/>
      <c r="H27" s="44"/>
      <c r="I27" s="44"/>
      <c r="J27" s="44"/>
      <c r="K27" s="44"/>
      <c r="L27" s="44"/>
      <c r="M27" s="44"/>
      <c r="N27" s="44"/>
      <c r="O27" s="44"/>
      <c r="P27" s="44"/>
      <c r="S27" s="44"/>
      <c r="T27" s="44"/>
      <c r="U27" s="45"/>
      <c r="X27" s="47"/>
      <c r="Y27" s="47"/>
      <c r="Z27" s="47"/>
      <c r="AA27" s="47"/>
    </row>
    <row r="28" spans="1:27" s="46" customFormat="1" ht="10.5" customHeight="1">
      <c r="A28" s="44"/>
      <c r="B28" s="44"/>
      <c r="C28" s="44"/>
      <c r="D28" s="44"/>
      <c r="E28" s="44"/>
      <c r="F28" s="44"/>
      <c r="G28" s="44"/>
      <c r="H28" s="44"/>
      <c r="I28" s="44"/>
      <c r="J28" s="44"/>
      <c r="K28" s="44"/>
      <c r="L28" s="44"/>
      <c r="M28" s="44"/>
      <c r="N28" s="44"/>
      <c r="O28" s="44"/>
      <c r="P28" s="44"/>
      <c r="S28" s="44"/>
      <c r="T28" s="44"/>
      <c r="U28" s="45"/>
      <c r="X28" s="47"/>
      <c r="Y28" s="47"/>
      <c r="Z28" s="47"/>
      <c r="AA28" s="47"/>
    </row>
    <row r="29" spans="1:27" s="46" customFormat="1" ht="10.5" customHeight="1">
      <c r="A29" s="44"/>
      <c r="B29" s="44"/>
      <c r="C29" s="44"/>
      <c r="D29" s="44"/>
      <c r="E29" s="44"/>
      <c r="F29" s="44"/>
      <c r="G29" s="44"/>
      <c r="H29" s="44"/>
      <c r="I29" s="44"/>
      <c r="J29" s="44"/>
      <c r="K29" s="44"/>
      <c r="L29" s="44"/>
      <c r="M29" s="44"/>
      <c r="N29" s="44"/>
      <c r="O29" s="44"/>
      <c r="P29" s="44"/>
      <c r="S29" s="44"/>
      <c r="T29" s="44"/>
      <c r="U29" s="45"/>
      <c r="X29" s="47"/>
      <c r="Y29" s="47"/>
      <c r="Z29" s="47"/>
      <c r="AA29" s="47"/>
    </row>
    <row r="30" spans="1:27" s="46" customFormat="1" ht="10.5" customHeight="1">
      <c r="A30" s="44"/>
      <c r="B30" s="44"/>
      <c r="C30" s="44"/>
      <c r="D30" s="44"/>
      <c r="E30" s="44"/>
      <c r="F30" s="44"/>
      <c r="G30" s="44"/>
      <c r="H30" s="44"/>
      <c r="I30" s="44"/>
      <c r="J30" s="44"/>
      <c r="K30" s="44"/>
      <c r="L30" s="44"/>
      <c r="M30" s="44"/>
      <c r="N30" s="44"/>
      <c r="O30" s="44"/>
      <c r="P30" s="44"/>
      <c r="S30" s="48"/>
      <c r="T30" s="48"/>
      <c r="U30" s="45"/>
      <c r="X30" s="47"/>
      <c r="Y30" s="47"/>
      <c r="Z30" s="47"/>
      <c r="AA30" s="47"/>
    </row>
    <row r="31" spans="1:27" s="46" customFormat="1" ht="10.5" customHeight="1">
      <c r="A31" s="44"/>
      <c r="B31" s="44"/>
      <c r="C31" s="44"/>
      <c r="D31" s="44"/>
      <c r="E31" s="44"/>
      <c r="F31" s="44"/>
      <c r="G31" s="44"/>
      <c r="H31" s="44"/>
      <c r="I31" s="44"/>
      <c r="J31" s="44"/>
      <c r="K31" s="44"/>
      <c r="L31" s="44"/>
      <c r="M31" s="44"/>
      <c r="N31" s="44"/>
      <c r="O31" s="44"/>
      <c r="P31" s="44"/>
      <c r="S31" s="44"/>
      <c r="T31" s="44"/>
      <c r="U31" s="45"/>
      <c r="X31" s="47"/>
      <c r="Y31" s="47"/>
      <c r="Z31" s="47"/>
      <c r="AA31" s="47"/>
    </row>
    <row r="32" spans="1:27" s="46" customFormat="1" ht="10.5" customHeight="1">
      <c r="A32" s="44"/>
      <c r="B32" s="44"/>
      <c r="C32" s="44"/>
      <c r="D32" s="44"/>
      <c r="E32" s="44"/>
      <c r="F32" s="44"/>
      <c r="G32" s="44"/>
      <c r="H32" s="44"/>
      <c r="I32" s="44"/>
      <c r="J32" s="44"/>
      <c r="K32" s="44"/>
      <c r="L32" s="44"/>
      <c r="M32" s="44"/>
      <c r="N32" s="44"/>
      <c r="O32" s="44"/>
      <c r="P32" s="44"/>
      <c r="S32" s="44"/>
      <c r="T32" s="44"/>
      <c r="U32" s="45"/>
      <c r="X32" s="47"/>
      <c r="Y32" s="47"/>
      <c r="Z32" s="47"/>
      <c r="AA32" s="47"/>
    </row>
    <row r="33" spans="1:27" s="46" customFormat="1" ht="10.5" customHeight="1">
      <c r="A33" s="44"/>
      <c r="B33" s="44"/>
      <c r="C33" s="44"/>
      <c r="D33" s="44"/>
      <c r="E33" s="44"/>
      <c r="F33" s="44"/>
      <c r="G33" s="44"/>
      <c r="H33" s="44"/>
      <c r="I33" s="44"/>
      <c r="J33" s="44"/>
      <c r="K33" s="44"/>
      <c r="L33" s="44"/>
      <c r="M33" s="44"/>
      <c r="N33" s="44"/>
      <c r="O33" s="44"/>
      <c r="P33" s="44"/>
      <c r="Q33" s="44"/>
      <c r="R33" s="44"/>
      <c r="S33" s="44"/>
      <c r="T33" s="44"/>
      <c r="U33" s="45"/>
      <c r="X33" s="47"/>
      <c r="Y33" s="47"/>
      <c r="Z33" s="47"/>
      <c r="AA33" s="47"/>
    </row>
    <row r="34" spans="1:27" s="46" customFormat="1" ht="10.5" customHeight="1">
      <c r="A34" s="44"/>
      <c r="B34" s="44"/>
      <c r="C34" s="44"/>
      <c r="D34" s="44"/>
      <c r="E34" s="44"/>
      <c r="F34" s="44"/>
      <c r="G34" s="44"/>
      <c r="H34" s="44"/>
      <c r="I34" s="44"/>
      <c r="J34" s="44"/>
      <c r="K34" s="44"/>
      <c r="L34" s="44"/>
      <c r="M34" s="44"/>
      <c r="N34" s="44"/>
      <c r="O34" s="44"/>
      <c r="P34" s="44"/>
      <c r="Q34" s="44"/>
      <c r="X34" s="47"/>
      <c r="Y34" s="47"/>
      <c r="Z34" s="47"/>
      <c r="AA34" s="47"/>
    </row>
    <row r="35" spans="1:27" s="46" customFormat="1" ht="10.5" customHeight="1">
      <c r="A35" s="44"/>
      <c r="B35" s="44"/>
      <c r="C35" s="44"/>
      <c r="D35" s="44"/>
      <c r="E35" s="44"/>
      <c r="F35" s="44"/>
      <c r="G35" s="44"/>
      <c r="H35" s="44"/>
      <c r="I35" s="44"/>
      <c r="J35" s="44"/>
      <c r="K35" s="44"/>
      <c r="L35" s="44"/>
      <c r="M35" s="44"/>
      <c r="N35" s="44"/>
      <c r="O35" s="44"/>
      <c r="P35" s="44"/>
      <c r="Q35" s="44"/>
      <c r="R35" s="44"/>
      <c r="S35" s="44"/>
      <c r="T35" s="44"/>
      <c r="U35" s="45"/>
      <c r="X35" s="47"/>
      <c r="Y35" s="47"/>
      <c r="Z35" s="47"/>
      <c r="AA35" s="47"/>
    </row>
    <row r="36" spans="1:27" s="46" customFormat="1" ht="10.5" customHeight="1">
      <c r="A36" s="44"/>
      <c r="B36" s="44"/>
      <c r="C36" s="44"/>
      <c r="D36" s="44"/>
      <c r="E36" s="44"/>
      <c r="F36" s="44"/>
      <c r="G36" s="44"/>
      <c r="H36" s="44"/>
      <c r="I36" s="44"/>
      <c r="J36" s="44"/>
      <c r="K36" s="44"/>
      <c r="L36" s="44"/>
      <c r="M36" s="44"/>
      <c r="N36" s="44"/>
      <c r="O36" s="44"/>
      <c r="P36" s="44"/>
      <c r="Q36" s="44"/>
      <c r="R36" s="44"/>
      <c r="S36" s="44"/>
      <c r="T36" s="44"/>
      <c r="U36" s="45"/>
      <c r="X36" s="47"/>
      <c r="Y36" s="47"/>
      <c r="Z36" s="47"/>
      <c r="AA36" s="47"/>
    </row>
    <row r="37" spans="1:27" s="46" customFormat="1" ht="10.5" customHeight="1">
      <c r="A37" s="44"/>
      <c r="B37" s="44"/>
      <c r="C37" s="44"/>
      <c r="D37" s="44"/>
      <c r="E37" s="44"/>
      <c r="F37" s="44"/>
      <c r="G37" s="44"/>
      <c r="H37" s="44"/>
      <c r="I37" s="44"/>
      <c r="J37" s="44"/>
      <c r="K37" s="44"/>
      <c r="L37" s="44"/>
      <c r="M37" s="44"/>
      <c r="N37" s="44"/>
      <c r="O37" s="44"/>
      <c r="P37" s="44"/>
      <c r="Q37" s="44"/>
      <c r="R37" s="44"/>
      <c r="S37" s="44"/>
      <c r="T37" s="44"/>
      <c r="U37" s="45"/>
      <c r="X37" s="47"/>
      <c r="Y37" s="47"/>
      <c r="Z37" s="47"/>
      <c r="AA37" s="47"/>
    </row>
    <row r="38" spans="1:27" s="46" customFormat="1" ht="10.5" customHeight="1">
      <c r="A38" s="44"/>
      <c r="B38" s="44"/>
      <c r="C38" s="44"/>
      <c r="D38" s="44"/>
      <c r="E38" s="44"/>
      <c r="F38" s="44"/>
      <c r="G38" s="44"/>
      <c r="H38" s="44"/>
      <c r="I38" s="44"/>
      <c r="J38" s="44"/>
      <c r="K38" s="44"/>
      <c r="L38" s="44"/>
      <c r="M38" s="44"/>
      <c r="N38" s="44"/>
      <c r="O38" s="44"/>
      <c r="P38" s="44"/>
      <c r="Q38" s="44"/>
      <c r="R38" s="44"/>
      <c r="S38" s="44"/>
      <c r="T38" s="44"/>
      <c r="U38" s="45"/>
      <c r="X38" s="47"/>
      <c r="Y38" s="47"/>
      <c r="Z38" s="47"/>
      <c r="AA38" s="47"/>
    </row>
    <row r="39" spans="1:27" s="46" customFormat="1" ht="10.5" customHeight="1">
      <c r="A39" s="44"/>
      <c r="B39" s="44"/>
      <c r="C39" s="44"/>
      <c r="D39" s="44"/>
      <c r="E39" s="44"/>
      <c r="F39" s="44"/>
      <c r="G39" s="44"/>
      <c r="H39" s="44"/>
      <c r="I39" s="44"/>
      <c r="J39" s="44"/>
      <c r="K39" s="44"/>
      <c r="L39" s="44"/>
      <c r="M39" s="44"/>
      <c r="N39" s="44"/>
      <c r="O39" s="44"/>
      <c r="P39" s="44"/>
      <c r="Q39" s="44"/>
      <c r="R39" s="44"/>
      <c r="S39" s="44"/>
      <c r="T39" s="44"/>
      <c r="U39" s="45"/>
      <c r="X39" s="47"/>
      <c r="Y39" s="47"/>
      <c r="Z39" s="47"/>
      <c r="AA39" s="47"/>
    </row>
    <row r="40" spans="1:27" s="46" customFormat="1" ht="10.5" customHeight="1">
      <c r="A40" s="44"/>
      <c r="B40" s="44"/>
      <c r="C40" s="44"/>
      <c r="D40" s="44"/>
      <c r="E40" s="44"/>
      <c r="F40" s="44"/>
      <c r="G40" s="44"/>
      <c r="H40" s="44"/>
      <c r="I40" s="44"/>
      <c r="J40" s="44"/>
      <c r="K40" s="44"/>
      <c r="L40" s="44"/>
      <c r="M40" s="44"/>
      <c r="N40" s="44"/>
      <c r="O40" s="44"/>
      <c r="P40" s="44"/>
      <c r="Q40" s="44"/>
      <c r="R40" s="44"/>
      <c r="S40" s="44"/>
      <c r="T40" s="44"/>
      <c r="U40" s="45"/>
      <c r="X40" s="47"/>
      <c r="Y40" s="47"/>
      <c r="Z40" s="47"/>
      <c r="AA40" s="47"/>
    </row>
    <row r="41" spans="1:27" s="46" customFormat="1" ht="10.5" customHeight="1">
      <c r="A41" s="44"/>
      <c r="B41" s="44"/>
      <c r="C41" s="44"/>
      <c r="D41" s="44"/>
      <c r="E41" s="44"/>
      <c r="F41" s="44"/>
      <c r="G41" s="44"/>
      <c r="H41" s="44"/>
      <c r="I41" s="44"/>
      <c r="J41" s="44"/>
      <c r="K41" s="44"/>
      <c r="L41" s="44"/>
      <c r="M41" s="44"/>
      <c r="N41" s="44"/>
      <c r="O41" s="44"/>
      <c r="P41" s="44"/>
      <c r="Q41" s="44"/>
      <c r="R41" s="44"/>
      <c r="S41" s="44"/>
      <c r="T41" s="44"/>
      <c r="U41" s="45"/>
      <c r="X41" s="47"/>
      <c r="Y41" s="47"/>
      <c r="Z41" s="47"/>
      <c r="AA41" s="47"/>
    </row>
    <row r="42" spans="1:27" s="46" customFormat="1" ht="10.5" customHeight="1">
      <c r="A42" s="44"/>
      <c r="B42" s="44"/>
      <c r="C42" s="44"/>
      <c r="D42" s="44"/>
      <c r="E42" s="44"/>
      <c r="F42" s="44"/>
      <c r="G42" s="44"/>
      <c r="I42" s="44"/>
      <c r="J42" s="44"/>
      <c r="K42" s="44"/>
      <c r="L42" s="44"/>
      <c r="M42" s="44"/>
      <c r="N42" s="44"/>
      <c r="O42" s="44"/>
      <c r="P42" s="44"/>
      <c r="Q42" s="44"/>
      <c r="R42" s="44"/>
      <c r="S42" s="44"/>
      <c r="T42" s="44"/>
      <c r="U42" s="45"/>
      <c r="X42" s="47"/>
      <c r="Y42" s="47"/>
      <c r="Z42" s="47"/>
      <c r="AA42" s="47"/>
    </row>
    <row r="43" spans="1:27" s="46" customFormat="1" ht="10.5" customHeight="1">
      <c r="A43" s="44"/>
      <c r="B43" s="44"/>
      <c r="C43" s="44"/>
      <c r="D43" s="44"/>
      <c r="E43" s="44"/>
      <c r="F43" s="44"/>
      <c r="G43" s="44"/>
      <c r="I43" s="44"/>
      <c r="J43" s="44"/>
      <c r="K43" s="44"/>
      <c r="L43" s="44"/>
      <c r="M43" s="44"/>
      <c r="N43" s="44"/>
      <c r="O43" s="44"/>
      <c r="P43" s="44"/>
      <c r="Q43" s="44"/>
      <c r="R43" s="44"/>
      <c r="S43" s="44"/>
      <c r="T43" s="44"/>
      <c r="U43" s="45"/>
      <c r="X43" s="47"/>
      <c r="Y43" s="47"/>
      <c r="Z43" s="47"/>
      <c r="AA43" s="47"/>
    </row>
    <row r="44" spans="1:27" s="46" customFormat="1" ht="10.5" customHeight="1">
      <c r="A44" s="44"/>
      <c r="B44" s="44"/>
      <c r="C44" s="44"/>
      <c r="D44" s="44"/>
      <c r="E44" s="44"/>
      <c r="F44" s="44"/>
      <c r="G44" s="44"/>
      <c r="I44" s="44"/>
      <c r="J44" s="44"/>
      <c r="K44" s="44"/>
      <c r="L44" s="44"/>
      <c r="M44" s="44"/>
      <c r="N44" s="44"/>
      <c r="O44" s="44"/>
      <c r="P44" s="44"/>
      <c r="Q44" s="44"/>
      <c r="R44" s="44"/>
      <c r="S44" s="44"/>
      <c r="T44" s="44"/>
      <c r="U44" s="45"/>
      <c r="X44" s="47"/>
      <c r="Y44" s="47"/>
      <c r="Z44" s="47"/>
      <c r="AA44" s="47"/>
    </row>
    <row r="45" spans="1:27" s="46" customFormat="1" ht="10.5" customHeight="1">
      <c r="A45" s="44"/>
      <c r="B45" s="44"/>
      <c r="C45" s="44"/>
      <c r="D45" s="44"/>
      <c r="E45" s="44"/>
      <c r="F45" s="44"/>
      <c r="G45" s="44"/>
      <c r="I45" s="44"/>
      <c r="J45" s="44"/>
      <c r="K45" s="44"/>
      <c r="L45" s="44"/>
      <c r="M45" s="44"/>
      <c r="N45" s="44"/>
      <c r="O45" s="44"/>
      <c r="P45" s="44"/>
      <c r="Q45" s="44"/>
      <c r="R45" s="44"/>
      <c r="S45" s="44"/>
      <c r="T45" s="44"/>
      <c r="U45" s="45"/>
      <c r="X45" s="47"/>
      <c r="Y45" s="47"/>
      <c r="Z45" s="47"/>
      <c r="AA45" s="47"/>
    </row>
    <row r="46" spans="1:27" s="46" customFormat="1" ht="10.5" customHeight="1">
      <c r="A46" s="44"/>
      <c r="B46" s="44"/>
      <c r="C46" s="44"/>
      <c r="D46" s="44"/>
      <c r="E46" s="44"/>
      <c r="F46" s="44"/>
      <c r="G46" s="44"/>
      <c r="I46" s="44"/>
      <c r="J46" s="44"/>
      <c r="K46" s="44"/>
      <c r="L46" s="44"/>
      <c r="M46" s="44"/>
      <c r="N46" s="44"/>
      <c r="O46" s="44"/>
      <c r="P46" s="44"/>
      <c r="Q46" s="44"/>
      <c r="R46" s="44"/>
      <c r="S46" s="44"/>
      <c r="T46" s="44"/>
      <c r="U46" s="45"/>
      <c r="X46" s="47"/>
      <c r="Y46" s="47"/>
      <c r="Z46" s="47"/>
      <c r="AA46" s="47"/>
    </row>
    <row r="47" spans="1:27" s="46" customFormat="1" ht="10.5" customHeight="1">
      <c r="A47" s="44"/>
      <c r="B47" s="44"/>
      <c r="C47" s="44"/>
      <c r="D47" s="44"/>
      <c r="E47" s="44"/>
      <c r="F47" s="44"/>
      <c r="G47" s="44"/>
      <c r="I47" s="44"/>
      <c r="J47" s="44"/>
      <c r="K47" s="44"/>
      <c r="L47" s="44"/>
      <c r="M47" s="44"/>
      <c r="N47" s="44"/>
      <c r="O47" s="44"/>
      <c r="P47" s="44"/>
      <c r="Q47" s="44"/>
      <c r="R47" s="44"/>
      <c r="S47" s="44"/>
      <c r="T47" s="44"/>
      <c r="U47" s="45"/>
      <c r="X47" s="47"/>
      <c r="Y47" s="47"/>
      <c r="Z47" s="47"/>
      <c r="AA47" s="47"/>
    </row>
    <row r="48" spans="1:27" s="46" customFormat="1" ht="10.5" customHeight="1">
      <c r="A48" s="44"/>
      <c r="B48" s="44"/>
      <c r="C48" s="44"/>
      <c r="D48" s="44"/>
      <c r="E48" s="44"/>
      <c r="F48" s="44"/>
      <c r="G48" s="44"/>
      <c r="I48" s="44"/>
      <c r="J48" s="44"/>
      <c r="K48" s="44"/>
      <c r="L48" s="44"/>
      <c r="M48" s="44"/>
      <c r="N48" s="44"/>
      <c r="O48" s="44"/>
      <c r="P48" s="44"/>
      <c r="Q48" s="44"/>
      <c r="R48" s="44"/>
      <c r="S48" s="44"/>
      <c r="T48" s="44"/>
      <c r="U48" s="45"/>
      <c r="X48" s="47"/>
      <c r="Y48" s="47"/>
      <c r="Z48" s="47"/>
      <c r="AA48" s="47"/>
    </row>
    <row r="49" spans="1:27" s="46" customFormat="1" ht="10.5" customHeight="1">
      <c r="A49" s="44"/>
      <c r="B49" s="44"/>
      <c r="C49" s="44"/>
      <c r="D49" s="44"/>
      <c r="E49" s="44"/>
      <c r="F49" s="44"/>
      <c r="G49" s="44"/>
      <c r="I49" s="44"/>
      <c r="J49" s="44"/>
      <c r="K49" s="44"/>
      <c r="L49" s="44"/>
      <c r="M49" s="44"/>
      <c r="N49" s="44"/>
      <c r="O49" s="44"/>
      <c r="P49" s="44"/>
      <c r="Q49" s="44"/>
      <c r="R49" s="44"/>
      <c r="S49" s="44"/>
      <c r="T49" s="44"/>
      <c r="U49" s="45"/>
      <c r="X49" s="47"/>
      <c r="Y49" s="47"/>
      <c r="Z49" s="47"/>
      <c r="AA49" s="47"/>
    </row>
    <row r="50" spans="1:27" s="46" customFormat="1" ht="10.5" customHeight="1">
      <c r="A50" s="44"/>
      <c r="B50" s="44"/>
      <c r="C50" s="44"/>
      <c r="D50" s="44"/>
      <c r="E50" s="44"/>
      <c r="F50" s="44"/>
      <c r="G50" s="44"/>
      <c r="I50" s="44"/>
      <c r="J50" s="44"/>
      <c r="K50" s="44"/>
      <c r="L50" s="44"/>
      <c r="M50" s="44"/>
      <c r="N50" s="44"/>
      <c r="O50" s="44"/>
      <c r="P50" s="44"/>
      <c r="Q50" s="44"/>
      <c r="R50" s="44"/>
      <c r="S50" s="44"/>
      <c r="T50" s="44"/>
      <c r="U50" s="45"/>
      <c r="X50" s="47"/>
      <c r="Y50" s="47"/>
      <c r="Z50" s="47"/>
      <c r="AA50" s="47"/>
    </row>
    <row r="51" spans="1:27" s="46" customFormat="1" ht="10.5" customHeight="1">
      <c r="A51" s="44"/>
      <c r="B51" s="44"/>
      <c r="C51" s="44"/>
      <c r="D51" s="44"/>
      <c r="E51" s="44"/>
      <c r="F51" s="44"/>
      <c r="G51" s="44"/>
      <c r="I51" s="44"/>
      <c r="J51" s="44"/>
      <c r="K51" s="44"/>
      <c r="L51" s="44"/>
      <c r="M51" s="44"/>
      <c r="N51" s="44"/>
      <c r="O51" s="44"/>
      <c r="P51" s="44"/>
      <c r="Q51" s="44"/>
      <c r="R51" s="44"/>
      <c r="S51" s="44"/>
      <c r="T51" s="44"/>
      <c r="U51" s="45"/>
      <c r="X51" s="47"/>
      <c r="Y51" s="47"/>
      <c r="Z51" s="47"/>
      <c r="AA51" s="47"/>
    </row>
    <row r="52" spans="1:27" s="46" customFormat="1" ht="10.5" customHeight="1">
      <c r="A52" s="44"/>
      <c r="B52" s="44"/>
      <c r="C52" s="44"/>
      <c r="D52" s="44"/>
      <c r="E52" s="44"/>
      <c r="F52" s="44"/>
      <c r="G52" s="44"/>
      <c r="I52" s="44"/>
      <c r="J52" s="44"/>
      <c r="K52" s="44"/>
      <c r="L52" s="44"/>
      <c r="M52" s="44"/>
      <c r="N52" s="44"/>
      <c r="O52" s="44"/>
      <c r="P52" s="44"/>
      <c r="Q52" s="44"/>
      <c r="R52" s="44"/>
      <c r="S52" s="44"/>
      <c r="T52" s="44"/>
      <c r="U52" s="45"/>
      <c r="X52" s="47"/>
      <c r="Y52" s="47"/>
      <c r="Z52" s="47"/>
      <c r="AA52" s="47"/>
    </row>
    <row r="53" spans="1:27" s="46" customFormat="1" ht="10.5" customHeight="1">
      <c r="A53" s="44"/>
      <c r="B53" s="44"/>
      <c r="C53" s="44"/>
      <c r="D53" s="44"/>
      <c r="E53" s="44"/>
      <c r="F53" s="44"/>
      <c r="G53" s="44"/>
      <c r="I53" s="44"/>
      <c r="J53" s="44"/>
      <c r="K53" s="44"/>
      <c r="L53" s="44"/>
      <c r="M53" s="44"/>
      <c r="N53" s="44"/>
      <c r="O53" s="44"/>
      <c r="P53" s="44"/>
      <c r="Q53" s="44"/>
      <c r="R53" s="44"/>
      <c r="S53" s="44"/>
      <c r="T53" s="44"/>
      <c r="U53" s="45"/>
      <c r="X53" s="47"/>
      <c r="Y53" s="47"/>
      <c r="Z53" s="47"/>
      <c r="AA53" s="47"/>
    </row>
    <row r="54" spans="1:27" s="46" customFormat="1" ht="10.5" customHeight="1">
      <c r="A54" s="44"/>
      <c r="B54" s="44"/>
      <c r="C54" s="44"/>
      <c r="D54" s="44"/>
      <c r="E54" s="712" t="str">
        <f>GA!D16</f>
        <v>Rhenus Digital Workforce Sp. z o.o.</v>
      </c>
      <c r="F54" s="712"/>
      <c r="G54" s="712"/>
      <c r="H54" s="712"/>
      <c r="I54" s="712"/>
      <c r="J54" s="712"/>
      <c r="K54" s="712"/>
      <c r="L54" s="712"/>
      <c r="M54" s="712"/>
      <c r="N54" s="712"/>
      <c r="O54" s="712"/>
      <c r="P54" s="712"/>
      <c r="Q54" s="712"/>
      <c r="R54" s="712"/>
      <c r="S54" s="712"/>
      <c r="T54" s="712"/>
      <c r="U54" s="712"/>
      <c r="V54" s="712"/>
      <c r="W54" s="712"/>
      <c r="X54" s="47"/>
      <c r="Y54" s="47"/>
      <c r="Z54" s="47"/>
      <c r="AA54" s="47"/>
    </row>
    <row r="55" spans="1:27" s="46" customFormat="1" ht="10.5" customHeight="1">
      <c r="A55" s="44"/>
      <c r="B55" s="44"/>
      <c r="C55" s="44"/>
      <c r="D55" s="44"/>
      <c r="E55" s="712"/>
      <c r="F55" s="712"/>
      <c r="G55" s="712"/>
      <c r="H55" s="712"/>
      <c r="I55" s="712"/>
      <c r="J55" s="712"/>
      <c r="K55" s="712"/>
      <c r="L55" s="712"/>
      <c r="M55" s="712"/>
      <c r="N55" s="712"/>
      <c r="O55" s="712"/>
      <c r="P55" s="712"/>
      <c r="Q55" s="712"/>
      <c r="R55" s="712"/>
      <c r="S55" s="712"/>
      <c r="T55" s="712"/>
      <c r="U55" s="712"/>
      <c r="V55" s="712"/>
      <c r="W55" s="712"/>
      <c r="X55" s="47"/>
      <c r="Y55" s="47"/>
      <c r="Z55" s="47"/>
      <c r="AA55" s="47"/>
    </row>
    <row r="56" spans="1:27" s="46" customFormat="1" ht="10.5" customHeight="1">
      <c r="A56" s="44"/>
      <c r="B56" s="44"/>
      <c r="C56" s="44"/>
      <c r="D56" s="44"/>
      <c r="E56" s="712"/>
      <c r="F56" s="712"/>
      <c r="G56" s="712"/>
      <c r="H56" s="712"/>
      <c r="I56" s="712"/>
      <c r="J56" s="712"/>
      <c r="K56" s="712"/>
      <c r="L56" s="712"/>
      <c r="M56" s="712"/>
      <c r="N56" s="712"/>
      <c r="O56" s="712"/>
      <c r="P56" s="712"/>
      <c r="Q56" s="712"/>
      <c r="R56" s="712"/>
      <c r="S56" s="712"/>
      <c r="T56" s="712"/>
      <c r="U56" s="712"/>
      <c r="V56" s="712"/>
      <c r="W56" s="712"/>
      <c r="X56" s="47"/>
      <c r="Y56" s="47"/>
      <c r="Z56" s="47"/>
      <c r="AA56" s="47"/>
    </row>
    <row r="57" spans="1:27" s="46" customFormat="1" ht="10.5" customHeight="1">
      <c r="A57" s="44"/>
      <c r="B57" s="44"/>
      <c r="C57" s="44"/>
      <c r="D57" s="44"/>
      <c r="E57" s="712"/>
      <c r="F57" s="712"/>
      <c r="G57" s="712"/>
      <c r="H57" s="712"/>
      <c r="I57" s="712"/>
      <c r="J57" s="712"/>
      <c r="K57" s="712"/>
      <c r="L57" s="712"/>
      <c r="M57" s="712"/>
      <c r="N57" s="712"/>
      <c r="O57" s="712"/>
      <c r="P57" s="712"/>
      <c r="Q57" s="712"/>
      <c r="R57" s="712"/>
      <c r="S57" s="712"/>
      <c r="T57" s="712"/>
      <c r="U57" s="712"/>
      <c r="V57" s="712"/>
      <c r="W57" s="712"/>
      <c r="X57" s="47"/>
      <c r="Y57" s="47"/>
      <c r="Z57" s="47"/>
      <c r="AA57" s="47"/>
    </row>
    <row r="58" spans="1:27" s="46" customFormat="1" ht="10.5" customHeight="1">
      <c r="A58" s="44"/>
      <c r="B58" s="44"/>
      <c r="C58" s="44"/>
      <c r="D58" s="44"/>
      <c r="E58" s="712"/>
      <c r="F58" s="712"/>
      <c r="G58" s="712"/>
      <c r="H58" s="712"/>
      <c r="I58" s="712"/>
      <c r="J58" s="712"/>
      <c r="K58" s="712"/>
      <c r="L58" s="712"/>
      <c r="M58" s="712"/>
      <c r="N58" s="712"/>
      <c r="O58" s="712"/>
      <c r="P58" s="712"/>
      <c r="Q58" s="712"/>
      <c r="R58" s="712"/>
      <c r="S58" s="712"/>
      <c r="T58" s="712"/>
      <c r="U58" s="712"/>
      <c r="V58" s="712"/>
      <c r="W58" s="712"/>
      <c r="X58" s="47"/>
      <c r="Y58" s="47"/>
      <c r="Z58" s="47"/>
      <c r="AA58" s="47"/>
    </row>
    <row r="59" spans="1:27" s="46" customFormat="1" ht="4.5" customHeight="1">
      <c r="A59" s="44"/>
      <c r="B59" s="44"/>
      <c r="C59" s="44"/>
      <c r="D59" s="44"/>
      <c r="E59" s="713" t="str">
        <f>GA!D17</f>
        <v>ul. Puławska 99</v>
      </c>
      <c r="F59" s="714"/>
      <c r="G59" s="714"/>
      <c r="H59" s="714"/>
      <c r="I59" s="714"/>
      <c r="J59" s="714"/>
      <c r="K59" s="714"/>
      <c r="L59" s="714"/>
      <c r="M59" s="714"/>
      <c r="N59" s="714"/>
      <c r="O59" s="714"/>
      <c r="P59" s="714"/>
      <c r="Q59" s="49"/>
      <c r="R59" s="44"/>
      <c r="S59" s="44"/>
      <c r="T59" s="44"/>
      <c r="U59" s="45"/>
      <c r="X59" s="47"/>
      <c r="Y59" s="47"/>
      <c r="Z59" s="47"/>
      <c r="AA59" s="47"/>
    </row>
    <row r="60" spans="1:27" s="46" customFormat="1" ht="12.75" customHeight="1">
      <c r="A60" s="44"/>
      <c r="B60" s="44"/>
      <c r="C60" s="44"/>
      <c r="D60" s="44"/>
      <c r="E60" s="714"/>
      <c r="F60" s="714"/>
      <c r="G60" s="714"/>
      <c r="H60" s="714"/>
      <c r="I60" s="714"/>
      <c r="J60" s="714"/>
      <c r="K60" s="714"/>
      <c r="L60" s="714"/>
      <c r="M60" s="714"/>
      <c r="N60" s="714"/>
      <c r="O60" s="714"/>
      <c r="P60" s="714"/>
      <c r="Q60" s="49"/>
      <c r="R60" s="44"/>
      <c r="S60" s="44"/>
      <c r="T60" s="44"/>
      <c r="U60" s="45"/>
      <c r="X60" s="47"/>
      <c r="Y60" s="47"/>
      <c r="Z60" s="47"/>
      <c r="AA60" s="47"/>
    </row>
    <row r="61" spans="1:27" s="54" customFormat="1" ht="12.75" customHeight="1">
      <c r="A61" s="44"/>
      <c r="B61" s="44"/>
      <c r="C61" s="44"/>
      <c r="D61" s="44"/>
      <c r="E61" s="713" t="str">
        <f>GA!D18</f>
        <v>02-595</v>
      </c>
      <c r="F61" s="713"/>
      <c r="G61" s="383" t="str">
        <f>GA!D19</f>
        <v>Warszawa</v>
      </c>
      <c r="H61" s="59"/>
      <c r="I61" s="59"/>
      <c r="J61" s="59"/>
      <c r="L61" s="59"/>
      <c r="M61" s="59"/>
      <c r="N61" s="59"/>
      <c r="O61" s="59"/>
      <c r="P61" s="59"/>
      <c r="Q61" s="49"/>
      <c r="R61" s="44"/>
      <c r="S61" s="44"/>
      <c r="T61" s="44"/>
      <c r="U61" s="45"/>
      <c r="V61" s="46"/>
      <c r="W61" s="46"/>
      <c r="X61" s="47"/>
      <c r="Y61" s="47"/>
      <c r="Z61" s="53"/>
      <c r="AA61" s="53"/>
    </row>
    <row r="62" spans="1:27" s="54" customFormat="1" ht="9.75" customHeight="1">
      <c r="A62" s="60"/>
      <c r="B62" s="60"/>
      <c r="C62" s="60"/>
      <c r="D62" s="60"/>
      <c r="E62" s="60"/>
      <c r="G62" s="60"/>
      <c r="H62" s="62"/>
      <c r="J62" s="60"/>
      <c r="K62" s="60"/>
      <c r="L62" s="60"/>
      <c r="M62" s="60"/>
      <c r="N62" s="60"/>
      <c r="O62" s="60"/>
      <c r="P62" s="60"/>
      <c r="Q62" s="60"/>
      <c r="R62" s="60"/>
      <c r="S62" s="60"/>
      <c r="T62" s="60"/>
      <c r="U62" s="61"/>
      <c r="X62" s="53"/>
      <c r="Y62" s="53"/>
      <c r="Z62" s="53"/>
      <c r="AA62" s="53"/>
    </row>
    <row r="63" spans="1:27" s="46" customFormat="1" ht="12.75" customHeight="1">
      <c r="A63" s="44"/>
      <c r="B63" s="44"/>
      <c r="C63" s="44"/>
      <c r="D63" s="44"/>
      <c r="E63" s="715" t="str">
        <f>CHOOSE(jezyk,n!A29,n!B29,n!C29)</f>
        <v>Sprawozdanie finansowe</v>
      </c>
      <c r="F63" s="715"/>
      <c r="G63" s="715"/>
      <c r="H63" s="715"/>
      <c r="I63" s="715"/>
      <c r="J63" s="715"/>
      <c r="K63" s="715"/>
      <c r="L63" s="715"/>
      <c r="M63" s="715"/>
      <c r="N63" s="715"/>
      <c r="O63" s="715"/>
      <c r="P63" s="715"/>
      <c r="Q63" s="715"/>
      <c r="R63" s="715"/>
      <c r="S63" s="715"/>
      <c r="T63" s="715"/>
      <c r="U63" s="715"/>
      <c r="V63" s="715"/>
      <c r="X63" s="47"/>
      <c r="Y63" s="47"/>
      <c r="Z63" s="47"/>
      <c r="AA63" s="47"/>
    </row>
    <row r="64" spans="1:27" s="46" customFormat="1" ht="12" customHeight="1">
      <c r="A64" s="44"/>
      <c r="B64" s="44"/>
      <c r="C64" s="44"/>
      <c r="D64" s="44"/>
      <c r="E64" s="59" t="str">
        <f>CHOOSE(jezyk,n!A30,n!B30,n!C30)</f>
        <v>na dzień 31.12.2024</v>
      </c>
      <c r="G64" s="44"/>
      <c r="H64" s="52"/>
      <c r="J64" s="44"/>
      <c r="K64" s="44"/>
      <c r="L64" s="44"/>
      <c r="M64" s="44"/>
      <c r="N64" s="44"/>
      <c r="O64" s="44"/>
      <c r="P64" s="44"/>
      <c r="Q64" s="44"/>
      <c r="R64" s="44"/>
      <c r="S64" s="44"/>
      <c r="T64" s="44"/>
      <c r="U64" s="45"/>
      <c r="X64" s="47"/>
      <c r="Y64" s="47"/>
      <c r="Z64" s="47"/>
      <c r="AA64" s="47"/>
    </row>
    <row r="65" spans="1:27" s="46" customFormat="1" ht="12.75" customHeight="1">
      <c r="A65" s="44"/>
      <c r="B65" s="44"/>
      <c r="C65" s="44"/>
      <c r="D65" s="44"/>
      <c r="E65" s="51"/>
      <c r="G65" s="44"/>
      <c r="H65" s="50"/>
      <c r="J65" s="44"/>
      <c r="K65" s="44"/>
      <c r="L65" s="44"/>
      <c r="M65" s="44"/>
      <c r="N65" s="44"/>
      <c r="O65" s="44"/>
      <c r="P65" s="44"/>
      <c r="Q65" s="44"/>
      <c r="R65" s="44"/>
      <c r="S65" s="44"/>
      <c r="T65" s="44"/>
      <c r="U65" s="45"/>
      <c r="X65" s="47"/>
      <c r="Y65" s="47"/>
      <c r="Z65" s="47"/>
      <c r="AA65" s="47"/>
    </row>
    <row r="66" spans="1:27" s="46" customFormat="1" ht="46.5" customHeight="1">
      <c r="A66" s="44"/>
      <c r="B66" s="44"/>
      <c r="C66" s="44"/>
      <c r="D66" s="44"/>
      <c r="E66" s="716" t="str">
        <f>CHOOSE(jezyk,n!A31,n!B31,n!C31)</f>
        <v>NINIEJSZY DOKUMENT NIE STANOWI ORYGINAŁU SPRAWOZDANIA FINANSOWEGO W ROZUMIENIU USTAWY Z DN. 29 WRZEŚNIA 1994 R. O RACHUNKOWOŚCI (Dz. U. Z 2023 r., POZ. 120 z późn. zm.).</v>
      </c>
      <c r="F66" s="716"/>
      <c r="G66" s="716"/>
      <c r="H66" s="716"/>
      <c r="I66" s="716"/>
      <c r="J66" s="716"/>
      <c r="K66" s="716"/>
      <c r="L66" s="716"/>
      <c r="M66" s="716"/>
      <c r="N66" s="716"/>
      <c r="O66" s="716"/>
      <c r="P66" s="716"/>
      <c r="Q66" s="716"/>
      <c r="R66" s="716"/>
      <c r="S66" s="716"/>
      <c r="T66" s="716"/>
      <c r="U66" s="716"/>
      <c r="V66" s="716"/>
      <c r="X66" s="47"/>
      <c r="Y66" s="47"/>
      <c r="Z66" s="47"/>
      <c r="AA66" s="47"/>
    </row>
    <row r="67" spans="1:27" s="46" customFormat="1" ht="30" customHeight="1">
      <c r="A67" s="44"/>
      <c r="B67" s="44"/>
      <c r="C67" s="44"/>
      <c r="D67" s="44"/>
      <c r="E67" s="716" t="str">
        <f>CHOOSE(jezyk,n!A32,n!B32,n!C32)</f>
        <v xml:space="preserve">SPRAWOZDANIE FINANSOWE SPÓŁKI SPORZĄDZONE ZOSTAŁO W WYMAGANEJ PRZEZ USTAWĘ FORMIE ELEKTRONICZNEJ. </v>
      </c>
      <c r="F67" s="716"/>
      <c r="G67" s="716"/>
      <c r="H67" s="716"/>
      <c r="I67" s="716"/>
      <c r="J67" s="716"/>
      <c r="K67" s="716"/>
      <c r="L67" s="716"/>
      <c r="M67" s="716"/>
      <c r="N67" s="716"/>
      <c r="O67" s="716"/>
      <c r="P67" s="716"/>
      <c r="Q67" s="716"/>
      <c r="R67" s="716"/>
      <c r="S67" s="716"/>
      <c r="T67" s="716"/>
      <c r="U67" s="716"/>
      <c r="V67" s="716"/>
      <c r="X67" s="47"/>
      <c r="Y67" s="47"/>
      <c r="Z67" s="47"/>
      <c r="AA67" s="47"/>
    </row>
    <row r="68" spans="1:27" s="46" customFormat="1">
      <c r="A68" s="44"/>
      <c r="B68" s="44"/>
      <c r="C68" s="44"/>
      <c r="D68" s="44"/>
      <c r="E68" s="384"/>
      <c r="F68" s="384"/>
      <c r="G68" s="384"/>
      <c r="H68" s="384"/>
      <c r="I68" s="384"/>
      <c r="J68" s="384"/>
      <c r="K68" s="384"/>
      <c r="L68" s="384"/>
      <c r="M68" s="384"/>
      <c r="N68" s="384"/>
      <c r="O68" s="384"/>
      <c r="P68" s="384"/>
      <c r="Q68" s="384"/>
      <c r="R68" s="384"/>
      <c r="S68" s="384"/>
      <c r="T68" s="384"/>
      <c r="U68" s="384"/>
      <c r="V68" s="384"/>
      <c r="X68" s="47"/>
      <c r="Y68" s="47"/>
      <c r="Z68" s="47"/>
      <c r="AA68" s="47"/>
    </row>
    <row r="69" spans="1:27" s="46" customFormat="1" ht="10.5" customHeight="1">
      <c r="A69" s="44"/>
      <c r="B69" s="44"/>
      <c r="C69" s="44"/>
      <c r="D69" s="44"/>
      <c r="E69" s="716" t="str">
        <f>CHOOSE(jezyk,n!A34,n!B34,n!C34)</f>
        <v>NINIEJSZY DOKUMENT STANOWI JEDYNIE KOPIĘ W/W SPRAWOZDANIA FINANSOWEGO.</v>
      </c>
      <c r="F69" s="716"/>
      <c r="G69" s="716"/>
      <c r="H69" s="716"/>
      <c r="I69" s="716"/>
      <c r="J69" s="716"/>
      <c r="K69" s="716"/>
      <c r="L69" s="716"/>
      <c r="M69" s="716"/>
      <c r="N69" s="716"/>
      <c r="O69" s="716"/>
      <c r="P69" s="716"/>
      <c r="Q69" s="716"/>
      <c r="R69" s="716"/>
      <c r="S69" s="716"/>
      <c r="T69" s="716"/>
      <c r="U69" s="716"/>
      <c r="V69" s="716"/>
      <c r="X69" s="47"/>
      <c r="Y69" s="47"/>
      <c r="Z69" s="47"/>
      <c r="AA69" s="47"/>
    </row>
    <row r="70" spans="1:27" s="46" customFormat="1" ht="20.25" customHeight="1">
      <c r="A70" s="44"/>
      <c r="B70" s="44"/>
      <c r="C70" s="44"/>
      <c r="D70" s="44"/>
      <c r="E70" s="716"/>
      <c r="F70" s="716"/>
      <c r="G70" s="716"/>
      <c r="H70" s="716"/>
      <c r="I70" s="716"/>
      <c r="J70" s="716"/>
      <c r="K70" s="716"/>
      <c r="L70" s="716"/>
      <c r="M70" s="716"/>
      <c r="N70" s="716"/>
      <c r="O70" s="716"/>
      <c r="P70" s="716"/>
      <c r="Q70" s="716"/>
      <c r="R70" s="716"/>
      <c r="S70" s="716"/>
      <c r="T70" s="716"/>
      <c r="U70" s="716"/>
      <c r="V70" s="716"/>
      <c r="X70" s="47"/>
      <c r="Y70" s="47"/>
      <c r="Z70" s="47"/>
      <c r="AA70" s="47"/>
    </row>
    <row r="71" spans="1:27" s="46" customFormat="1" ht="10.5" hidden="1" customHeight="1">
      <c r="A71" s="44"/>
      <c r="B71" s="44"/>
      <c r="C71" s="44"/>
      <c r="D71" s="44"/>
      <c r="E71" s="44"/>
      <c r="F71" s="44"/>
      <c r="G71" s="44"/>
      <c r="I71" s="44"/>
      <c r="J71" s="44"/>
      <c r="K71" s="44"/>
      <c r="L71" s="44"/>
      <c r="M71" s="44"/>
      <c r="N71" s="44"/>
      <c r="O71" s="44"/>
      <c r="P71" s="44"/>
      <c r="Q71" s="44"/>
      <c r="R71" s="44"/>
      <c r="S71" s="44"/>
      <c r="T71" s="44"/>
      <c r="U71" s="45"/>
      <c r="X71" s="47"/>
      <c r="Y71" s="47"/>
      <c r="Z71" s="47"/>
      <c r="AA71" s="47"/>
    </row>
    <row r="72" spans="1:27" s="46" customFormat="1" ht="10.5" customHeight="1">
      <c r="A72" s="44"/>
      <c r="B72" s="44"/>
      <c r="C72" s="44"/>
      <c r="D72" s="44"/>
      <c r="E72" s="44"/>
      <c r="F72" s="44"/>
      <c r="G72" s="44"/>
      <c r="H72" s="44"/>
      <c r="I72" s="44"/>
      <c r="J72" s="44"/>
      <c r="K72" s="44"/>
      <c r="L72" s="44"/>
      <c r="M72" s="44"/>
      <c r="N72" s="44"/>
      <c r="O72" s="44"/>
      <c r="P72" s="44"/>
      <c r="Q72" s="44"/>
      <c r="R72" s="44"/>
      <c r="S72" s="44"/>
      <c r="T72" s="44"/>
      <c r="U72" s="45"/>
      <c r="X72" s="47"/>
      <c r="Y72" s="47"/>
      <c r="Z72" s="47"/>
      <c r="AA72" s="47"/>
    </row>
  </sheetData>
  <sheetProtection formatCells="0" formatRows="0" insertRows="0" deleteRows="0"/>
  <mergeCells count="7">
    <mergeCell ref="E54:W58"/>
    <mergeCell ref="E59:P60"/>
    <mergeCell ref="E63:V63"/>
    <mergeCell ref="E69:V70"/>
    <mergeCell ref="E66:V66"/>
    <mergeCell ref="E67:V67"/>
    <mergeCell ref="E61:F61"/>
  </mergeCells>
  <hyperlinks>
    <hyperlink ref="AA3:AH3" location="'spis treści'!A1" display="SPIS TREŚCI" xr:uid="{00000000-0004-0000-0E00-000001000000}"/>
  </hyperlinks>
  <pageMargins left="0.70866141732283472" right="0.23622047244094491" top="0.35433070866141736" bottom="0.19685039370078741" header="0.27559055118110237" footer="7.874015748031496E-2"/>
  <pageSetup paperSize="9" fitToHeight="0" orientation="portrait" blackAndWhite="1" r:id="rId1"/>
  <colBreaks count="1" manualBreakCount="1">
    <brk id="26" max="7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40">
    <tabColor rgb="FFFFC000"/>
    <pageSetUpPr fitToPage="1"/>
  </sheetPr>
  <dimension ref="A1:AC306"/>
  <sheetViews>
    <sheetView showGridLines="0" view="pageBreakPreview" topLeftCell="A161" zoomScaleNormal="100" zoomScaleSheetLayoutView="100" workbookViewId="0">
      <selection activeCell="B54" sqref="B54"/>
    </sheetView>
  </sheetViews>
  <sheetFormatPr defaultColWidth="9.140625" defaultRowHeight="12.75" customHeight="1"/>
  <cols>
    <col min="1" max="1" width="21.85546875" style="72" customWidth="1"/>
    <col min="2" max="2" width="9.28515625" style="72" customWidth="1"/>
    <col min="3" max="3" width="10.5703125" style="72" customWidth="1"/>
    <col min="4" max="4" width="9.28515625" style="72" customWidth="1"/>
    <col min="5" max="5" width="9.7109375" style="72" customWidth="1"/>
    <col min="6" max="11" width="9.28515625" style="72" customWidth="1"/>
    <col min="12" max="12" width="9.140625" style="75"/>
    <col min="13" max="13" width="10.28515625" style="72" customWidth="1"/>
    <col min="14" max="14" width="12" style="72" customWidth="1"/>
    <col min="15" max="15" width="14.5703125" style="72" customWidth="1"/>
    <col min="16" max="16" width="9.140625" style="72" customWidth="1"/>
    <col min="17" max="17" width="6.5703125" style="72" customWidth="1"/>
    <col min="18" max="18" width="4.28515625" style="72" customWidth="1"/>
    <col min="19" max="19" width="5.140625" style="72" customWidth="1"/>
    <col min="20" max="20" width="4" style="72" customWidth="1"/>
    <col min="21" max="21" width="4.7109375" style="72" customWidth="1"/>
    <col min="22" max="22" width="2.7109375" style="72" customWidth="1"/>
    <col min="23" max="23" width="4.85546875" style="72" customWidth="1"/>
    <col min="24" max="24" width="3.85546875" style="72" customWidth="1"/>
    <col min="25" max="27" width="3.7109375" style="72" customWidth="1"/>
    <col min="28" max="28" width="9.140625" style="72"/>
    <col min="29" max="29" width="9.140625" style="72" customWidth="1"/>
    <col min="30" max="16384" width="9.140625" style="72"/>
  </cols>
  <sheetData>
    <row r="1" spans="2:13" ht="12.75" customHeight="1">
      <c r="B1" s="717" t="s">
        <v>3202</v>
      </c>
      <c r="C1" s="717"/>
      <c r="D1" s="717"/>
      <c r="E1" s="717"/>
      <c r="F1" s="717"/>
      <c r="G1" s="717"/>
      <c r="H1" s="717"/>
      <c r="I1" s="717"/>
      <c r="J1" s="717"/>
      <c r="K1" s="717"/>
    </row>
    <row r="2" spans="2:13" ht="12.75" customHeight="1">
      <c r="B2" s="386" t="str">
        <f>nazwa_spolki</f>
        <v>Rhenus Digital Workforce Sp. z o.o.</v>
      </c>
      <c r="C2" s="385"/>
      <c r="D2" s="385"/>
      <c r="E2" s="385"/>
      <c r="F2" s="385"/>
      <c r="G2" s="385"/>
      <c r="H2" s="385"/>
      <c r="I2" s="385"/>
      <c r="J2" s="385"/>
      <c r="K2" s="385"/>
    </row>
    <row r="3" spans="2:13" ht="53.25" customHeight="1">
      <c r="B3" s="718" t="str">
        <f>tytul</f>
        <v>Sprawozdanie finansowe sporządzone za rok obrotowy 2024</v>
      </c>
      <c r="C3" s="718"/>
      <c r="D3" s="718"/>
      <c r="E3" s="718"/>
      <c r="F3" s="718"/>
      <c r="G3" s="718"/>
      <c r="H3" s="718"/>
      <c r="I3" s="718"/>
      <c r="J3" s="718"/>
      <c r="K3" s="718"/>
    </row>
    <row r="4" spans="2:13" ht="21" customHeight="1">
      <c r="B4" s="719" t="str">
        <f>CHOOSE(jezyk,n!A37,n!B37,n!C37,n!D37)</f>
        <v>WPROWADZENIE DO SPRAWOZDANIA FINANSOWEGO</v>
      </c>
      <c r="C4" s="719" t="s">
        <v>105</v>
      </c>
      <c r="D4" s="719" t="s">
        <v>106</v>
      </c>
      <c r="E4" s="719">
        <v>0</v>
      </c>
      <c r="F4" s="719">
        <v>0</v>
      </c>
      <c r="G4" s="719">
        <v>0</v>
      </c>
      <c r="H4" s="719">
        <v>0</v>
      </c>
      <c r="I4" s="719">
        <v>0</v>
      </c>
      <c r="J4" s="719">
        <v>0</v>
      </c>
      <c r="K4" s="719">
        <v>0</v>
      </c>
    </row>
    <row r="5" spans="2:13" ht="24.75" customHeight="1"/>
    <row r="6" spans="2:13">
      <c r="B6" s="76" t="s">
        <v>6530</v>
      </c>
      <c r="C6" s="725" t="str">
        <f>CHOOSE(jezyk,n!A84,n!B84,n!C84,n!D84)</f>
        <v>Dane identyfikujące jednostkę</v>
      </c>
      <c r="D6" s="725"/>
      <c r="E6" s="725"/>
      <c r="F6" s="725"/>
      <c r="G6" s="725"/>
      <c r="H6" s="725"/>
      <c r="I6" s="725"/>
      <c r="J6" s="725"/>
    </row>
    <row r="8" spans="2:13" s="77" customFormat="1" ht="24" customHeight="1">
      <c r="C8" s="722" t="str">
        <f>CHOOSE(jezyk,n!A85,n!B85,n!C85,n!D85)</f>
        <v>NIP:</v>
      </c>
      <c r="D8" s="722"/>
      <c r="E8" s="722"/>
      <c r="F8" s="735">
        <f>GA!H17</f>
        <v>7011174664</v>
      </c>
      <c r="G8" s="735"/>
      <c r="H8" s="735"/>
      <c r="I8" s="735"/>
      <c r="J8" s="735"/>
      <c r="K8" s="735"/>
      <c r="L8" s="78"/>
      <c r="M8" s="72"/>
    </row>
    <row r="9" spans="2:13" ht="24.75" customHeight="1">
      <c r="C9" s="722" t="str">
        <f>CHOOSE(jezyk,n!A86,n!B86,n!C86,n!D86)</f>
        <v>KRS:</v>
      </c>
      <c r="D9" s="722"/>
      <c r="E9" s="722"/>
      <c r="F9" s="736">
        <f>GA!H18</f>
        <v>1069165</v>
      </c>
      <c r="G9" s="736"/>
      <c r="H9" s="736"/>
      <c r="I9" s="736"/>
      <c r="J9" s="736"/>
      <c r="K9" s="736"/>
      <c r="L9" s="78"/>
    </row>
    <row r="10" spans="2:13" ht="12.75" customHeight="1">
      <c r="C10" s="726"/>
      <c r="D10" s="726"/>
      <c r="E10" s="726"/>
      <c r="F10" s="726"/>
      <c r="G10" s="726"/>
      <c r="H10" s="726"/>
      <c r="I10" s="726"/>
      <c r="J10" s="726"/>
    </row>
    <row r="11" spans="2:13" ht="12.75" customHeight="1">
      <c r="C11" s="72" t="str">
        <f>CHOOSE(jezyk,n!A87,n!B87,n!C87,n!D87)</f>
        <v>Nazwa pełna jednostki:</v>
      </c>
      <c r="D11" s="79"/>
      <c r="E11" s="79"/>
      <c r="F11" s="79"/>
      <c r="G11" s="79"/>
      <c r="H11" s="79"/>
      <c r="I11" s="79"/>
      <c r="J11" s="79"/>
      <c r="K11" s="79"/>
    </row>
    <row r="12" spans="2:13" ht="4.5" customHeight="1"/>
    <row r="13" spans="2:13" ht="12.75" customHeight="1">
      <c r="C13" s="727" t="str">
        <f>GA!D16</f>
        <v>Rhenus Digital Workforce Sp. z o.o.</v>
      </c>
      <c r="D13" s="727"/>
      <c r="E13" s="727"/>
      <c r="F13" s="727"/>
      <c r="G13" s="727"/>
      <c r="H13" s="727"/>
      <c r="I13" s="727"/>
      <c r="J13" s="727"/>
      <c r="K13" s="727"/>
    </row>
    <row r="14" spans="2:13" ht="12.75" customHeight="1">
      <c r="C14" s="727"/>
      <c r="D14" s="727"/>
      <c r="E14" s="727"/>
      <c r="F14" s="727"/>
      <c r="G14" s="727"/>
      <c r="H14" s="727"/>
      <c r="I14" s="727"/>
      <c r="J14" s="727"/>
      <c r="K14" s="727"/>
    </row>
    <row r="16" spans="2:13" ht="12.75" customHeight="1">
      <c r="B16" s="80" t="s">
        <v>6531</v>
      </c>
      <c r="C16" s="725" t="str">
        <f>CHOOSE(jezyk,n!A88,n!B88,n!C88,n!D88)</f>
        <v>Dane i adres siedziby</v>
      </c>
      <c r="D16" s="725"/>
      <c r="E16" s="725"/>
      <c r="F16" s="725"/>
      <c r="G16" s="725"/>
      <c r="H16" s="725"/>
      <c r="I16" s="725"/>
      <c r="J16" s="725"/>
    </row>
    <row r="17" spans="1:12" ht="12.75" customHeight="1">
      <c r="G17" s="79"/>
      <c r="H17" s="79"/>
      <c r="I17" s="79"/>
      <c r="J17" s="79"/>
    </row>
    <row r="18" spans="1:12" ht="12.75" customHeight="1">
      <c r="C18" s="79" t="str">
        <f>CHOOSE(jezyk,n!A89,n!B89,n!C89,n!D89)</f>
        <v>Ulica:</v>
      </c>
      <c r="D18" s="79"/>
      <c r="E18" s="723" t="s">
        <v>6532</v>
      </c>
      <c r="F18" s="723"/>
      <c r="G18" s="79"/>
      <c r="H18" s="79"/>
      <c r="I18" s="79"/>
      <c r="J18" s="79"/>
    </row>
    <row r="19" spans="1:12" ht="12.75" customHeight="1">
      <c r="B19" s="80"/>
      <c r="C19" s="79" t="str">
        <f>CHOOSE(jezyk,n!A90,n!B90,n!C90,n!D90)</f>
        <v>Nr domu:</v>
      </c>
      <c r="D19" s="418"/>
      <c r="E19" s="723">
        <v>99</v>
      </c>
      <c r="F19" s="723"/>
      <c r="G19" s="418"/>
      <c r="H19" s="418"/>
      <c r="I19" s="418"/>
      <c r="J19" s="418"/>
    </row>
    <row r="20" spans="1:12" ht="12.75" hidden="1" customHeight="1">
      <c r="B20" s="80"/>
      <c r="C20" s="79" t="str">
        <f>CHOOSE(jezyk,n!A91,n!B91,n!C91,n!D91)</f>
        <v>Nr lokalu:</v>
      </c>
      <c r="D20" s="418"/>
      <c r="E20" s="723"/>
      <c r="F20" s="723"/>
      <c r="G20" s="418"/>
      <c r="H20" s="418"/>
      <c r="I20" s="418"/>
      <c r="J20" s="418"/>
    </row>
    <row r="21" spans="1:12" ht="12.75" customHeight="1">
      <c r="C21" s="79" t="str">
        <f>CHOOSE(jezyk,n!A92,n!B92,n!C92,n!D92)</f>
        <v>Miejscowość:</v>
      </c>
      <c r="D21" s="79"/>
      <c r="E21" s="720" t="str">
        <f>GA!D19</f>
        <v>Warszawa</v>
      </c>
      <c r="F21" s="720"/>
    </row>
    <row r="22" spans="1:12" ht="12.75" customHeight="1">
      <c r="C22" s="79" t="str">
        <f>CHOOSE(jezyk,n!A93,n!B93,n!C93,n!D93)</f>
        <v>Kod pocztowy:</v>
      </c>
      <c r="E22" s="720" t="str">
        <f>GA!D18</f>
        <v>02-595</v>
      </c>
      <c r="F22" s="720"/>
    </row>
    <row r="23" spans="1:12" ht="12.75" hidden="1" customHeight="1">
      <c r="C23" s="79" t="str">
        <f>CHOOSE(jezyk,n!A94,n!B94,n!C94,n!D94)</f>
        <v>Poczta:</v>
      </c>
      <c r="E23" s="723" t="s">
        <v>4363</v>
      </c>
      <c r="F23" s="723"/>
    </row>
    <row r="24" spans="1:12" ht="12.75" hidden="1" customHeight="1">
      <c r="C24" s="79" t="str">
        <f>CHOOSE(jezyk,n!A95,n!B95,n!C95,n!D95)</f>
        <v>Gmina:</v>
      </c>
      <c r="D24" s="79"/>
      <c r="E24" s="723" t="s">
        <v>6533</v>
      </c>
      <c r="F24" s="723"/>
    </row>
    <row r="25" spans="1:12" ht="12.75" hidden="1" customHeight="1">
      <c r="C25" s="79" t="str">
        <f>CHOOSE(jezyk,n!A96,n!B96,n!C96,n!D96)</f>
        <v>Powiat:</v>
      </c>
      <c r="D25" s="79"/>
      <c r="E25" s="723"/>
      <c r="F25" s="723"/>
    </row>
    <row r="26" spans="1:12" ht="12.75" customHeight="1">
      <c r="C26" s="79" t="str">
        <f>CHOOSE(jezyk,n!A97,n!B97,n!C97,n!D97)</f>
        <v>Województwo:</v>
      </c>
      <c r="D26" s="79"/>
      <c r="E26" s="723" t="s">
        <v>6534</v>
      </c>
      <c r="F26" s="723"/>
    </row>
    <row r="28" spans="1:12" ht="12.75" hidden="1" customHeight="1">
      <c r="B28" s="80" t="s">
        <v>6535</v>
      </c>
      <c r="C28" s="725" t="str">
        <f>CHOOSE(jezyk,n!A98,n!B98,n!C98,n!D98)</f>
        <v>Adres zagraniczny (opcjonalny)</v>
      </c>
      <c r="D28" s="725"/>
      <c r="E28" s="725"/>
      <c r="F28" s="725"/>
      <c r="G28" s="725"/>
      <c r="H28" s="725"/>
      <c r="I28" s="725"/>
      <c r="J28" s="725"/>
      <c r="L28" s="81" t="s">
        <v>6536</v>
      </c>
    </row>
    <row r="29" spans="1:12" ht="12.75" hidden="1" customHeight="1">
      <c r="C29" s="725"/>
      <c r="D29" s="725"/>
      <c r="E29" s="725"/>
      <c r="F29" s="725"/>
      <c r="G29" s="725"/>
      <c r="H29" s="725"/>
      <c r="I29" s="725"/>
      <c r="J29" s="725"/>
    </row>
    <row r="30" spans="1:12" ht="12.75" hidden="1" customHeight="1">
      <c r="C30" s="731" t="str">
        <f>CHOOSE(jezyk,n!A1131,n!B1131,n!C1131,n!D1129)</f>
        <v>Nie dotyczy</v>
      </c>
      <c r="D30" s="731"/>
      <c r="E30" s="731"/>
      <c r="F30" s="731"/>
      <c r="G30" s="731"/>
      <c r="H30" s="731"/>
      <c r="I30" s="731"/>
      <c r="J30" s="731"/>
    </row>
    <row r="31" spans="1:12" ht="12.75" hidden="1" customHeight="1">
      <c r="A31" s="124"/>
      <c r="C31" s="388"/>
      <c r="D31" s="388"/>
      <c r="E31" s="388"/>
      <c r="F31" s="388"/>
      <c r="G31" s="388"/>
      <c r="H31" s="388"/>
      <c r="I31" s="388"/>
      <c r="J31" s="388"/>
      <c r="L31" s="124"/>
    </row>
    <row r="32" spans="1:12" ht="12.75" hidden="1" customHeight="1">
      <c r="C32" s="79" t="str">
        <f>CHOOSE(jezyk,n!A99,n!B99,n!C99,n!D99)</f>
        <v>Kraj:</v>
      </c>
      <c r="D32" s="79"/>
      <c r="E32" s="723"/>
      <c r="F32" s="723"/>
      <c r="G32" s="84"/>
      <c r="H32" s="388"/>
      <c r="I32" s="388"/>
      <c r="J32" s="388"/>
      <c r="L32" s="72"/>
    </row>
    <row r="33" spans="2:25" ht="12.75" hidden="1" customHeight="1">
      <c r="C33" s="79" t="str">
        <f>CHOOSE(jezyk,n!A93,n!B93,n!C93,n!D93)</f>
        <v>Kod pocztowy:</v>
      </c>
      <c r="D33" s="418"/>
      <c r="E33" s="723"/>
      <c r="F33" s="723"/>
      <c r="G33" s="388"/>
      <c r="H33" s="388"/>
      <c r="I33" s="388"/>
      <c r="J33" s="388"/>
      <c r="L33" s="82" t="s">
        <v>6537</v>
      </c>
    </row>
    <row r="34" spans="2:25" ht="12.75" hidden="1" customHeight="1">
      <c r="C34" s="79" t="str">
        <f>CHOOSE(jezyk,n!A92,n!B92,n!C92,n!D92)</f>
        <v>Miejscowość:</v>
      </c>
      <c r="D34" s="79"/>
      <c r="E34" s="732"/>
      <c r="F34" s="723"/>
      <c r="G34" s="388"/>
      <c r="H34" s="388"/>
      <c r="I34" s="388"/>
      <c r="J34" s="388"/>
      <c r="L34" s="82"/>
    </row>
    <row r="35" spans="2:25" ht="12.75" hidden="1" customHeight="1">
      <c r="C35" s="79" t="str">
        <f>CHOOSE(jezyk,n!A89,n!B89,n!C89,n!D89)</f>
        <v>Ulica:</v>
      </c>
      <c r="E35" s="732"/>
      <c r="F35" s="723"/>
      <c r="G35" s="388"/>
      <c r="H35" s="388"/>
      <c r="I35" s="388"/>
      <c r="J35" s="388"/>
      <c r="L35" s="82" t="s">
        <v>6537</v>
      </c>
    </row>
    <row r="36" spans="2:25" ht="12.75" hidden="1" customHeight="1">
      <c r="C36" s="79" t="str">
        <f>CHOOSE(jezyk,n!A90,n!B90,n!C90,n!D90)</f>
        <v>Nr domu:</v>
      </c>
      <c r="E36" s="723"/>
      <c r="F36" s="723"/>
      <c r="G36" s="388"/>
      <c r="H36" s="388"/>
      <c r="I36" s="388"/>
      <c r="J36" s="388"/>
      <c r="L36" s="82" t="s">
        <v>6537</v>
      </c>
    </row>
    <row r="37" spans="2:25" ht="12.75" hidden="1" customHeight="1">
      <c r="C37" s="79" t="str">
        <f>CHOOSE(jezyk,n!A91,n!B91,n!C91,n!D91)</f>
        <v>Nr lokalu:</v>
      </c>
      <c r="D37" s="79"/>
      <c r="E37" s="723"/>
      <c r="F37" s="723"/>
      <c r="G37" s="388"/>
      <c r="H37" s="388"/>
      <c r="I37" s="388"/>
      <c r="J37" s="388"/>
      <c r="L37" s="82" t="s">
        <v>6537</v>
      </c>
    </row>
    <row r="38" spans="2:25" ht="12.75" hidden="1" customHeight="1">
      <c r="C38" s="388"/>
      <c r="D38" s="388"/>
      <c r="E38" s="388"/>
      <c r="F38" s="388"/>
      <c r="G38" s="388"/>
      <c r="H38" s="388"/>
      <c r="I38" s="388"/>
      <c r="J38" s="388"/>
      <c r="L38" s="72"/>
    </row>
    <row r="39" spans="2:25" ht="12.75" customHeight="1">
      <c r="B39" s="76" t="s">
        <v>6535</v>
      </c>
      <c r="C39" s="725" t="str">
        <f>CHOOSE(jezyk,n!A100,n!B100,n!C100,n!D100)</f>
        <v>Kody PKD określające podstawową działalność podmiotu</v>
      </c>
      <c r="D39" s="725"/>
      <c r="E39" s="725"/>
      <c r="F39" s="725"/>
      <c r="G39" s="725"/>
      <c r="H39" s="725"/>
      <c r="I39" s="725"/>
      <c r="J39" s="725"/>
      <c r="L39" s="72"/>
    </row>
    <row r="40" spans="2:25" ht="12.75" customHeight="1">
      <c r="C40" s="388"/>
      <c r="D40" s="388"/>
      <c r="E40" s="388"/>
      <c r="F40" s="388"/>
      <c r="G40" s="388"/>
      <c r="H40" s="388"/>
      <c r="I40" s="388"/>
      <c r="J40" s="388"/>
      <c r="L40" s="81" t="s">
        <v>6538</v>
      </c>
    </row>
    <row r="41" spans="2:25" ht="36" customHeight="1">
      <c r="C41" s="83" t="s">
        <v>6013</v>
      </c>
      <c r="D41" s="734" t="str">
        <f>IF(jezyk=1,VLOOKUP(C41,PKD!A:B,2,FALSE),IF(jezyk=2,VLOOKUP(C41,PKD!A:C,3,FALSE),VLOOKUP(C41,PKD!A:D,4,FALSE)))</f>
        <v>Przetwarzanie danych; zarządzanie stronami internetowymi (hosting) i podobna działalność</v>
      </c>
      <c r="E41" s="734"/>
      <c r="F41" s="734"/>
      <c r="G41" s="734"/>
      <c r="H41" s="734"/>
      <c r="I41" s="734"/>
      <c r="J41" s="734"/>
      <c r="L41" s="81"/>
    </row>
    <row r="42" spans="2:25" ht="15.75" customHeight="1">
      <c r="C42" s="83" t="s">
        <v>6001</v>
      </c>
      <c r="D42" s="734" t="str">
        <f>IF(jezyk=1,VLOOKUP(C42,PKD!A:B,2,FALSE),IF(jezyk=2,VLOOKUP(C42,PKD!A:C,3,FALSE),VLOOKUP(C42,PKD!A:D,4,FALSE)))</f>
        <v>Działalność związana z doradztwem w zakresie informatyki</v>
      </c>
      <c r="E42" s="734"/>
      <c r="F42" s="734"/>
      <c r="G42" s="734"/>
      <c r="H42" s="734"/>
      <c r="I42" s="734"/>
      <c r="J42" s="734"/>
      <c r="K42" s="99"/>
      <c r="L42" s="81" t="s">
        <v>6539</v>
      </c>
    </row>
    <row r="43" spans="2:25" ht="30.75" customHeight="1">
      <c r="C43" s="83" t="s">
        <v>6299</v>
      </c>
      <c r="D43" s="734" t="str">
        <f>IF(jezyk=1,VLOOKUP(C43,PKD!A:B,2,FALSE),IF(jezyk=2,VLOOKUP(C43,PKD!A:C,3,FALSE),VLOOKUP(C43,PKD!A:D,4,FALSE)))</f>
        <v>Wykonywanie fotokopii, przygotowywanie dokumentów i pozostała specjalistyczna działalność wspomagająca prowadzenie biura</v>
      </c>
      <c r="E43" s="734"/>
      <c r="F43" s="734"/>
      <c r="G43" s="734"/>
      <c r="H43" s="734"/>
      <c r="I43" s="734"/>
      <c r="J43" s="734"/>
      <c r="K43" s="99"/>
      <c r="L43" s="81"/>
    </row>
    <row r="45" spans="2:25" ht="12.75" customHeight="1">
      <c r="B45" s="76" t="s">
        <v>6540</v>
      </c>
      <c r="C45" s="725" t="str">
        <f>CHOOSE(jezyk,n!A42,n!B42,n!C42,n!D42)</f>
        <v>Czas trwania działalności jednostki</v>
      </c>
      <c r="D45" s="725"/>
      <c r="E45" s="725"/>
      <c r="F45" s="725"/>
      <c r="G45" s="725"/>
      <c r="H45" s="725"/>
      <c r="I45" s="725"/>
      <c r="J45" s="725"/>
      <c r="K45" s="79"/>
    </row>
    <row r="46" spans="2:25" ht="12.75" customHeight="1">
      <c r="R46" s="744"/>
      <c r="S46" s="744"/>
      <c r="T46" s="744"/>
      <c r="U46" s="744"/>
      <c r="V46" s="744"/>
      <c r="W46" s="744"/>
      <c r="X46" s="744"/>
      <c r="Y46" s="744"/>
    </row>
    <row r="47" spans="2:25" ht="15.75" customHeight="1">
      <c r="C47" s="729" t="str">
        <f>CHOOSE(jezyk,n!A1554,n!B1554,n!C1554,n!D1549)</f>
        <v>Nieograniczony</v>
      </c>
      <c r="D47" s="729"/>
      <c r="E47" s="729"/>
      <c r="F47" s="729"/>
      <c r="G47" s="729"/>
      <c r="H47" s="729"/>
      <c r="I47" s="729"/>
      <c r="J47" s="729"/>
    </row>
    <row r="48" spans="2:25" ht="12.75" customHeight="1">
      <c r="C48" s="84"/>
      <c r="D48" s="84"/>
      <c r="E48" s="84"/>
      <c r="F48" s="84"/>
      <c r="G48" s="84"/>
      <c r="H48" s="84"/>
      <c r="I48" s="84"/>
      <c r="J48" s="84"/>
      <c r="L48" s="72"/>
    </row>
    <row r="49" spans="2:13" ht="12.75" hidden="1" customHeight="1">
      <c r="C49" s="682" t="str">
        <f>CHOOSE(jezyk,n!A101,n!B101,n!C101,n!D101)</f>
        <v>Ograniczony do:</v>
      </c>
      <c r="D49" s="682"/>
      <c r="E49" s="682"/>
      <c r="F49" s="682"/>
      <c r="G49" s="682"/>
      <c r="H49" s="682"/>
      <c r="I49" s="682"/>
      <c r="J49" s="682"/>
      <c r="L49" s="81" t="s">
        <v>6541</v>
      </c>
    </row>
    <row r="50" spans="2:13" ht="12.75" hidden="1" customHeight="1">
      <c r="C50" s="682" t="str">
        <f>CHOOSE(jezyk,n!A102,n!B102,n!C102,n!D102)</f>
        <v>data od:</v>
      </c>
      <c r="D50" s="738">
        <v>43983</v>
      </c>
      <c r="E50" s="738"/>
      <c r="F50" s="682"/>
      <c r="G50" s="682"/>
      <c r="H50" s="682"/>
      <c r="I50" s="682"/>
      <c r="J50" s="682"/>
      <c r="L50" s="81"/>
    </row>
    <row r="51" spans="2:13" ht="12.75" hidden="1" customHeight="1">
      <c r="C51" s="682" t="str">
        <f>CHOOSE(jezyk,n!A103,n!B103,n!C103,n!D103)</f>
        <v>data do:</v>
      </c>
      <c r="D51" s="738"/>
      <c r="E51" s="738"/>
      <c r="F51" s="682"/>
      <c r="G51" s="682"/>
      <c r="H51" s="682"/>
      <c r="I51" s="682"/>
      <c r="J51" s="682"/>
      <c r="L51" s="81"/>
    </row>
    <row r="52" spans="2:13" ht="12.75" hidden="1" customHeight="1">
      <c r="C52" s="728" t="s">
        <v>6542</v>
      </c>
      <c r="D52" s="728"/>
      <c r="E52" s="728"/>
      <c r="F52" s="728"/>
      <c r="G52" s="728"/>
      <c r="H52" s="728"/>
      <c r="I52" s="728"/>
      <c r="J52" s="728"/>
      <c r="L52" s="81" t="s">
        <v>6543</v>
      </c>
    </row>
    <row r="53" spans="2:13" ht="12.75" hidden="1" customHeight="1"/>
    <row r="54" spans="2:13" ht="12.75" customHeight="1">
      <c r="B54" s="76" t="s">
        <v>6544</v>
      </c>
      <c r="C54" s="79" t="str">
        <f>CHOOSE(jezyk,n!A43,n!B43,n!C43,n!D43)</f>
        <v>Okres objęty sprawozdaniem finansowym:</v>
      </c>
      <c r="D54" s="79"/>
      <c r="E54" s="79"/>
      <c r="F54" s="79"/>
      <c r="G54" s="79"/>
      <c r="H54" s="79"/>
      <c r="I54" s="79"/>
      <c r="J54" s="79"/>
      <c r="K54" s="79"/>
    </row>
    <row r="56" spans="2:13" ht="12.75" customHeight="1">
      <c r="C56" s="730" t="str">
        <f>GA!D28&amp;" - "&amp;GA!D23</f>
        <v>01.01.2024 - 31.12.2024</v>
      </c>
      <c r="D56" s="730"/>
      <c r="E56" s="730"/>
      <c r="F56" s="730"/>
      <c r="G56" s="730"/>
      <c r="H56" s="730"/>
      <c r="I56" s="730"/>
      <c r="J56" s="730"/>
      <c r="L56" s="85"/>
    </row>
    <row r="58" spans="2:13" ht="12.75" hidden="1" customHeight="1">
      <c r="B58" s="76" t="s">
        <v>6545</v>
      </c>
      <c r="C58" s="79" t="str">
        <f>CHOOSE(jezyk,n!A104,n!B104,n!C104,n!D104)</f>
        <v>Wskazanie, że sprawozdanie finansowe zawiera dane łączne</v>
      </c>
    </row>
    <row r="59" spans="2:13" ht="12.75" hidden="1" customHeight="1"/>
    <row r="60" spans="2:13" ht="12.75" hidden="1" customHeight="1">
      <c r="C60" s="731" t="str">
        <f>CHOOSE(jezyk,n!A1131,n!B1131,n!C1131,n!D1129)</f>
        <v>Nie dotyczy</v>
      </c>
      <c r="D60" s="731"/>
      <c r="E60" s="731"/>
      <c r="F60" s="731"/>
      <c r="G60" s="731"/>
      <c r="H60" s="731"/>
      <c r="I60" s="731"/>
      <c r="J60" s="731"/>
    </row>
    <row r="61" spans="2:13" s="86" customFormat="1" ht="12.75" hidden="1" customHeight="1">
      <c r="C61" s="87"/>
      <c r="D61" s="87"/>
      <c r="E61" s="87"/>
      <c r="F61" s="87"/>
      <c r="G61" s="87"/>
      <c r="H61" s="87"/>
      <c r="I61" s="87"/>
      <c r="J61" s="87"/>
      <c r="M61" s="72"/>
    </row>
    <row r="62" spans="2:13" ht="12.75" hidden="1" customHeight="1">
      <c r="C62" s="731" t="str">
        <f>CHOOSE(jezyk,n!A1563,n!B1563,n!C1563,n!D1559)</f>
        <v>Sprawozdanie finansowe zawiera dane łączne z wewnętrznymi jednostkami organizacyjnymi sporządzającymi samodzielnie sprawozdania finansowe.</v>
      </c>
      <c r="D62" s="731"/>
      <c r="E62" s="731"/>
      <c r="F62" s="731"/>
      <c r="G62" s="731"/>
      <c r="H62" s="731"/>
      <c r="I62" s="731"/>
      <c r="J62" s="731"/>
      <c r="K62" s="99"/>
      <c r="L62" s="81" t="s">
        <v>6541</v>
      </c>
    </row>
    <row r="63" spans="2:13" ht="12.75" hidden="1" customHeight="1">
      <c r="C63" s="731"/>
      <c r="D63" s="731"/>
      <c r="E63" s="731"/>
      <c r="F63" s="731"/>
      <c r="G63" s="731"/>
      <c r="H63" s="731"/>
      <c r="I63" s="731"/>
      <c r="J63" s="731"/>
      <c r="K63" s="99"/>
      <c r="L63" s="83"/>
    </row>
    <row r="64" spans="2:13" ht="12.75" hidden="1" customHeight="1"/>
    <row r="65" spans="2:14" ht="12.75" customHeight="1">
      <c r="B65" s="76" t="s">
        <v>6545</v>
      </c>
      <c r="C65" s="79" t="str">
        <f>CHOOSE(jezyk,n!A44,n!B44,n!C44,n!D44)</f>
        <v>Założenie kontynuacji działalności</v>
      </c>
    </row>
    <row r="66" spans="2:14" ht="12.75" customHeight="1">
      <c r="B66" s="76"/>
      <c r="C66" s="79"/>
    </row>
    <row r="67" spans="2:14" ht="27.75" customHeight="1">
      <c r="C67" s="721" t="str">
        <f>IF(GA!F67="tak",CHOOSE(jezyk,n!A44,n!B44,n!C44,n!D44),CHOOSE(jezyk,n!A45,n!B45,n!C45,n!D45))</f>
        <v xml:space="preserve">Sprawozdanie finansowe zostało sporządzone przy założeniu kontynuowania działalności gospodarczej przez Spółkę.  </v>
      </c>
      <c r="D67" s="721"/>
      <c r="E67" s="721"/>
      <c r="F67" s="721"/>
      <c r="G67" s="721"/>
      <c r="H67" s="721"/>
      <c r="I67" s="721"/>
      <c r="J67" s="721"/>
      <c r="K67" s="99"/>
    </row>
    <row r="69" spans="2:14" ht="27.75" customHeight="1">
      <c r="C69" s="721" t="str">
        <f>CHOOSE(jezyk,n!A50,n!B50,n!C50,n!D50)</f>
        <v>Nie istnieją żadne okoliczności wskazujące na zagrożenie dla kontynuowania działalności przez Oddział.</v>
      </c>
      <c r="D69" s="721"/>
      <c r="E69" s="721"/>
      <c r="F69" s="721"/>
      <c r="G69" s="721"/>
      <c r="H69" s="721"/>
      <c r="I69" s="721"/>
      <c r="J69" s="721"/>
      <c r="K69" s="99"/>
      <c r="L69" s="72"/>
    </row>
    <row r="71" spans="2:14" hidden="1">
      <c r="C71" s="721" t="str">
        <f>CHOOSE(jezyk,n!A105,n!B105,n!C105,n!A106)</f>
        <v>Istnieją poniższe okoliczności wskazujące na zagrożenie kontynuacji działalności:</v>
      </c>
      <c r="D71" s="721"/>
      <c r="E71" s="721"/>
      <c r="F71" s="721"/>
      <c r="G71" s="721"/>
      <c r="H71" s="721"/>
      <c r="I71" s="721"/>
      <c r="J71" s="721"/>
      <c r="L71" s="81" t="s">
        <v>6546</v>
      </c>
    </row>
    <row r="72" spans="2:14" ht="52.9" hidden="1" customHeight="1">
      <c r="B72" s="88" t="s">
        <v>6547</v>
      </c>
      <c r="C72" s="721"/>
      <c r="D72" s="721"/>
      <c r="E72" s="721"/>
      <c r="F72" s="721"/>
      <c r="G72" s="721"/>
      <c r="H72" s="721"/>
      <c r="I72" s="721"/>
      <c r="J72" s="721"/>
      <c r="L72" s="277" t="s">
        <v>6548</v>
      </c>
      <c r="N72" s="649">
        <v>1</v>
      </c>
    </row>
    <row r="73" spans="2:14" ht="12.75" hidden="1" customHeight="1">
      <c r="B73" s="88" t="s">
        <v>6547</v>
      </c>
      <c r="C73" s="721"/>
      <c r="D73" s="721"/>
      <c r="E73" s="721"/>
      <c r="F73" s="721"/>
      <c r="G73" s="721"/>
      <c r="H73" s="721"/>
      <c r="I73" s="721"/>
      <c r="J73" s="721"/>
    </row>
    <row r="74" spans="2:14" ht="12.75" hidden="1" customHeight="1">
      <c r="B74" s="88" t="s">
        <v>6547</v>
      </c>
      <c r="C74" s="721"/>
      <c r="D74" s="721"/>
      <c r="E74" s="721"/>
      <c r="F74" s="721"/>
      <c r="G74" s="721"/>
      <c r="H74" s="721"/>
      <c r="I74" s="721"/>
      <c r="J74" s="721"/>
    </row>
    <row r="75" spans="2:14" ht="12.75" hidden="1" customHeight="1"/>
    <row r="76" spans="2:14" ht="12.75" hidden="1" customHeight="1">
      <c r="B76" s="76" t="s">
        <v>6549</v>
      </c>
      <c r="C76" s="79" t="str">
        <f>CHOOSE(jezyk,n!A51,n!B51,n!C51,n!D51)</f>
        <v>Informacja, czy sprawozdanie finansowe jest sporządzone po połączeniu spółek</v>
      </c>
    </row>
    <row r="77" spans="2:14" ht="12.75" hidden="1" customHeight="1"/>
    <row r="78" spans="2:14" ht="12.75" hidden="1" customHeight="1">
      <c r="C78" s="731" t="str">
        <f>CHOOSE(jezyk,n!A1131,n!B1131,n!C1131,n!D1129)</f>
        <v>Nie dotyczy</v>
      </c>
      <c r="D78" s="731"/>
      <c r="E78" s="731"/>
      <c r="F78" s="731"/>
      <c r="G78" s="731"/>
      <c r="H78" s="731"/>
      <c r="I78" s="731"/>
      <c r="J78" s="731"/>
    </row>
    <row r="79" spans="2:14" s="86" customFormat="1" ht="12.75" hidden="1" customHeight="1">
      <c r="C79" s="87"/>
      <c r="D79" s="87"/>
      <c r="E79" s="87"/>
      <c r="F79" s="87"/>
      <c r="G79" s="87"/>
      <c r="H79" s="87"/>
      <c r="I79" s="87"/>
      <c r="J79" s="87"/>
    </row>
    <row r="80" spans="2:14" ht="30" hidden="1" customHeight="1">
      <c r="C80" s="721" t="str">
        <f>IF(GA!H81=1,CHOOSE(jezyk,n!A1564,n!B1564,n!C1564,n!D1562),CHOOSE(jezyk,n!A1565,n!B1565,n!C1565,n!D1563))</f>
        <v xml:space="preserve">Sprawozdanie finansowe zostało sporządzone za okres, w ciągu którego nastąpiło połączenie Spółek. Połączenie Spółek zostało rozliczone metodą nabycia. </v>
      </c>
      <c r="D80" s="721"/>
      <c r="E80" s="721"/>
      <c r="F80" s="721"/>
      <c r="G80" s="721"/>
      <c r="H80" s="721"/>
      <c r="I80" s="721"/>
      <c r="J80" s="721"/>
      <c r="L80" s="81" t="s">
        <v>6541</v>
      </c>
    </row>
    <row r="81" spans="2:29" ht="12.75" hidden="1" customHeight="1"/>
    <row r="82" spans="2:29" ht="12.75" customHeight="1">
      <c r="B82" s="76" t="s">
        <v>6550</v>
      </c>
      <c r="C82" s="79" t="str">
        <f>CHOOSE(jezyk,n!A109,n!B109,n!C109,n!D109)</f>
        <v>Zasady (polityka) rachunkowości</v>
      </c>
    </row>
    <row r="84" spans="2:29" ht="12.75" customHeight="1">
      <c r="B84" s="76" t="s">
        <v>6551</v>
      </c>
      <c r="C84" s="79" t="str">
        <f>CHOOSE(jezyk,n!A123,n!B123,n!C123,n!A124)</f>
        <v>Metody wyceny</v>
      </c>
    </row>
    <row r="85" spans="2:29" ht="12.75" customHeight="1">
      <c r="B85" s="76"/>
      <c r="C85" s="79"/>
    </row>
    <row r="86" spans="2:29" ht="38.25" customHeight="1">
      <c r="C86" s="722" t="str">
        <f>CHOOSE(jezyk,n!A124,n!B124,n!C124)</f>
        <v>W Spółce stosowane są następujące zasady rachunkowości, które są zgodne z przepisami ustawy z dnia 29 września 1994 r. o rachunkowości (Dz. U. z 2023 r., poz. 120 z późn. zm. - zwaną dalej UoR).</v>
      </c>
      <c r="D86" s="722"/>
      <c r="E86" s="722"/>
      <c r="F86" s="722"/>
      <c r="G86" s="722"/>
      <c r="H86" s="722"/>
      <c r="I86" s="722"/>
      <c r="J86" s="722"/>
      <c r="L86" s="72"/>
    </row>
    <row r="87" spans="2:29" ht="12.75" customHeight="1">
      <c r="C87" s="722"/>
      <c r="D87" s="722"/>
      <c r="E87" s="722"/>
      <c r="F87" s="722"/>
      <c r="G87" s="722"/>
      <c r="H87" s="722"/>
      <c r="I87" s="722"/>
      <c r="J87" s="722"/>
      <c r="L87" s="72"/>
    </row>
    <row r="88" spans="2:29" ht="12.75" customHeight="1">
      <c r="C88" s="89" t="str">
        <f>CHOOSE(jezyk,n!A130,n!B130,n!C130,n!D130)</f>
        <v>Wartości niematerialne i prawne</v>
      </c>
      <c r="D88" s="89"/>
      <c r="E88" s="89"/>
      <c r="L88" s="72"/>
    </row>
    <row r="90" spans="2:29" ht="62.25" customHeight="1">
      <c r="C90" s="721" t="str">
        <f>CHOOSE(jezyk,n!A131,n!B131,n!C131,n!D131)</f>
        <v xml:space="preserve">Wartości niematerialne i prawne ujmuje się w cenach nabycia lub kosztach wytworzenia pomniejszonych o dokonane odpisy amortyzacyjne. Cena nabycia obejmuje cenę zakupu oraz inne wydatki związane z nabyciem oraz przystosowaniem danego składnika wartości niematerialnych i prawnych do użytkowania. </v>
      </c>
      <c r="D90" s="721"/>
      <c r="E90" s="721"/>
      <c r="F90" s="721"/>
      <c r="G90" s="721"/>
      <c r="H90" s="721"/>
      <c r="I90" s="721"/>
      <c r="J90" s="721"/>
    </row>
    <row r="91" spans="2:29" ht="49.5" customHeight="1">
      <c r="C91" s="721" t="str">
        <f>CHOOSE(jezyk,n!A132,n!B132,n!C132,n!D132)</f>
        <v>Wartości niematerialne i prawne o wartości początkowej od 1.000,00 PLN do 3500 PLN ujmowane są w ewidencji wartości niematerialnych prawnych i amortyzowane jednorazowo w miesiącu przekazania ich do użytkowania.</v>
      </c>
      <c r="D91" s="721"/>
      <c r="E91" s="721"/>
      <c r="F91" s="721"/>
      <c r="G91" s="721"/>
      <c r="H91" s="721"/>
      <c r="I91" s="721"/>
      <c r="J91" s="721"/>
      <c r="L91" s="81"/>
    </row>
    <row r="92" spans="2:29" ht="12.75" customHeight="1">
      <c r="L92" s="90" t="s">
        <v>6552</v>
      </c>
      <c r="M92" s="90"/>
      <c r="N92" s="91">
        <v>1000</v>
      </c>
      <c r="O92" s="90" t="s">
        <v>6553</v>
      </c>
      <c r="AC92" s="92" t="str">
        <f>SUBSTITUTE(TEXT(N92,"# ##0,00")," ",".")</f>
        <v>1.000,00</v>
      </c>
    </row>
    <row r="93" spans="2:29" ht="12.75" customHeight="1">
      <c r="C93" s="89" t="str">
        <f>CHOOSE(jezyk,n!A133,n!B133,n!C133,n!D133)</f>
        <v>Środki trwałe</v>
      </c>
      <c r="L93" s="90" t="s">
        <v>6554</v>
      </c>
      <c r="N93" s="91">
        <v>10000</v>
      </c>
      <c r="O93" s="90" t="s">
        <v>6553</v>
      </c>
      <c r="AC93" s="72" t="str">
        <f>SUBSTITUTE(TEXT(N92,"# ##0,00")," ",".")</f>
        <v>1.000,00</v>
      </c>
    </row>
    <row r="94" spans="2:29" ht="12.75" customHeight="1">
      <c r="AC94" s="72">
        <v>3500</v>
      </c>
    </row>
    <row r="95" spans="2:29" ht="47.25" customHeight="1">
      <c r="C95" s="721" t="str">
        <f>CHOOSE(jezyk,n!A134,n!B134,n!C134,n!D134)</f>
        <v xml:space="preserve">Środki trwałe ujmuje się w cenach nabycia lub kosztach wytworzenia pomniejszonych o dokonane odpisy amortyzacyjne. Cena nabycia obejmuje cenę zakupu oraz inne wydatki związane z nabyciem oraz przystosowaniem danego środka trwałego do użytkowania. </v>
      </c>
      <c r="D95" s="721"/>
      <c r="E95" s="721"/>
      <c r="F95" s="721"/>
      <c r="G95" s="721"/>
      <c r="H95" s="721"/>
      <c r="I95" s="721"/>
      <c r="J95" s="721"/>
    </row>
    <row r="96" spans="2:29" ht="36" customHeight="1">
      <c r="C96" s="721" t="str">
        <f>CHOOSE(jezyk,n!A135,n!B135,n!C135,n!D135)</f>
        <v>Środki trwałe o wartości początkowej od 1.000,00 PLN do 3500 PLN ujmowane są w ewidencji środków trwałych i amortyzowane jednorazowo w miesiącu oddania do użytkowania.</v>
      </c>
      <c r="D96" s="721"/>
      <c r="E96" s="721"/>
      <c r="F96" s="721"/>
      <c r="G96" s="721"/>
      <c r="H96" s="721"/>
      <c r="I96" s="721"/>
      <c r="J96" s="721"/>
      <c r="L96" s="81" t="s">
        <v>6555</v>
      </c>
    </row>
    <row r="97" spans="3:29" ht="12.75" customHeight="1">
      <c r="L97" s="90" t="s">
        <v>6552</v>
      </c>
      <c r="N97" s="91">
        <v>1000</v>
      </c>
      <c r="O97" s="90" t="s">
        <v>6556</v>
      </c>
      <c r="AC97" s="92" t="str">
        <f>SUBSTITUTE(TEXT(N97,"# ##0,00")," ",".")</f>
        <v>1.000,00</v>
      </c>
    </row>
    <row r="98" spans="3:29" ht="12.75" customHeight="1">
      <c r="C98" s="89" t="str">
        <f>CHOOSE(jezyk,n!A136,n!B136,n!C136,n!D136)</f>
        <v>Amortyzacja</v>
      </c>
      <c r="L98" s="90" t="s">
        <v>6554</v>
      </c>
      <c r="N98" s="93">
        <v>10000</v>
      </c>
      <c r="O98" s="94" t="s">
        <v>6556</v>
      </c>
      <c r="AC98" s="92">
        <v>3500</v>
      </c>
    </row>
    <row r="100" spans="3:29" ht="93.75" customHeight="1">
      <c r="C100" s="721" t="str">
        <f>CHOOSE(jezyk,n!A137,n!B137,n!C137,n!D137)</f>
        <v>Odpisy amortyzacyjne od środków trwałych oraz wartości niematerialnych prawnych dokonywane są na podstawie planu amortyzacji zawierającego kwoty rocznych odpisów i stawki amortyzacji. Umarzania środków trwałych oraz wartości niematerialnych i prawnych dokonuje się w oparciu o aktualny plan amortyzacji. Przy ustalaniu okresu amortyzacji i stawki amortyzacyjnej uwzględnia się okres ekonomicznej użyteczności środka trwałego oraz wartości niematerialnej i prawnej oraz przewidywaną przy likwidacji cenę sprzedaży netto istotnej pozostałości środka trwałego.</v>
      </c>
      <c r="D100" s="721"/>
      <c r="E100" s="721"/>
      <c r="F100" s="721"/>
      <c r="G100" s="721"/>
      <c r="H100" s="721"/>
      <c r="I100" s="721"/>
      <c r="J100" s="721"/>
    </row>
    <row r="102" spans="3:29">
      <c r="C102" s="721" t="str">
        <f>IF(N102="liniowa",CHOOSE(jezyk,n!A139,n!B139,n!C139,n!D139),CHOOSE(jezyk,n!A140,n!B140,n!C140,n!D140))</f>
        <v>Środki trwałe o wartości powyżej 3500 PLN amortyzowane są metodą liniową.</v>
      </c>
      <c r="D102" s="721"/>
      <c r="E102" s="721"/>
      <c r="F102" s="721"/>
      <c r="G102" s="721"/>
      <c r="H102" s="721"/>
      <c r="I102" s="721"/>
      <c r="J102" s="721"/>
      <c r="L102" s="90" t="s">
        <v>6557</v>
      </c>
      <c r="M102" s="90"/>
      <c r="N102" s="90" t="s">
        <v>6558</v>
      </c>
    </row>
    <row r="103" spans="3:29" hidden="1">
      <c r="C103" s="721"/>
      <c r="D103" s="721"/>
      <c r="E103" s="721"/>
      <c r="F103" s="721"/>
      <c r="G103" s="721"/>
      <c r="H103" s="721"/>
      <c r="I103" s="721"/>
      <c r="J103" s="721"/>
    </row>
    <row r="104" spans="3:29" hidden="1">
      <c r="C104" s="721"/>
      <c r="D104" s="721"/>
      <c r="E104" s="721"/>
      <c r="F104" s="721"/>
      <c r="G104" s="721"/>
      <c r="H104" s="721"/>
      <c r="I104" s="721"/>
      <c r="J104" s="721"/>
      <c r="L104" s="94" t="s">
        <v>6559</v>
      </c>
    </row>
    <row r="106" spans="3:29" ht="61.5" customHeight="1">
      <c r="C106" s="721" t="str">
        <f>CHOOSE(jezyk,n!A142,n!B142,n!C142,n!D142)</f>
        <v>Jeżeli wartość początkowa przedmiotu długotrwałego użytku nie przekracza kwoty 1.000,00 PLN, to składników tych nie zalicza się do środków trwałych i odpisywane są one bezpośrednio jako koszt zużycia materiałów, o ile nie zniekształca to istotnie wyniku finansowego za dany rok obrotowy.</v>
      </c>
      <c r="D106" s="721"/>
      <c r="E106" s="721"/>
      <c r="F106" s="721"/>
      <c r="G106" s="721"/>
      <c r="H106" s="721"/>
      <c r="I106" s="721"/>
      <c r="J106" s="721"/>
      <c r="L106" s="81"/>
      <c r="N106" s="92"/>
    </row>
    <row r="108" spans="3:29" ht="12.75" customHeight="1">
      <c r="C108" s="724" t="str">
        <f>IF(GA!F75&lt;&gt;"nie",CHOOSE(jezyk,n!A145,n!B145,n!C145,n!D145),CHOOSE(jezyk,n!A146,n!B146,n!C146,n!D146))</f>
        <v xml:space="preserve">Spółka stosuje następujące roczne stawki amortyzacyjne: </v>
      </c>
      <c r="D108" s="724"/>
      <c r="E108" s="724"/>
      <c r="F108" s="724"/>
      <c r="G108" s="724"/>
      <c r="H108" s="724"/>
      <c r="I108" s="724"/>
      <c r="J108" s="724"/>
    </row>
    <row r="110" spans="3:29" ht="12.75" customHeight="1">
      <c r="C110" s="724" t="str">
        <f>CHOOSE(jezyk,n!A147,n!B147,n!C147,n!D147)</f>
        <v>Środki trwałe - Stawki amortyzacyjne</v>
      </c>
      <c r="D110" s="724"/>
      <c r="E110" s="724"/>
      <c r="F110" s="724"/>
      <c r="G110" s="724"/>
      <c r="H110" s="724"/>
      <c r="I110" s="724"/>
      <c r="J110" s="724"/>
    </row>
    <row r="111" spans="3:29" ht="12.75" customHeight="1">
      <c r="C111" s="721" t="str">
        <f>CHOOSE(jezyk,n!A148,n!B148,n!C148,n!D148)</f>
        <v>Budynki, lokale, prawa do lokali i obiekty inżynierii lądowej i wodnej - 2,5% - 10%</v>
      </c>
      <c r="D111" s="721"/>
      <c r="E111" s="721"/>
      <c r="F111" s="721"/>
      <c r="G111" s="721"/>
      <c r="H111" s="721"/>
      <c r="I111" s="721"/>
      <c r="J111" s="721"/>
    </row>
    <row r="112" spans="3:29" ht="12.75" customHeight="1">
      <c r="C112" s="721" t="str">
        <f>CHOOSE(jezyk,n!A149,n!B149,n!C149,n!D149)</f>
        <v>Urządzenia techniczne i maszyny -14% - 30%</v>
      </c>
      <c r="D112" s="721"/>
      <c r="E112" s="721"/>
      <c r="F112" s="721"/>
      <c r="G112" s="721"/>
      <c r="H112" s="721"/>
      <c r="I112" s="721"/>
      <c r="J112" s="721"/>
    </row>
    <row r="113" spans="1:15" ht="12.75" customHeight="1">
      <c r="C113" s="721" t="str">
        <f>CHOOSE(jezyk,n!A150,n!B150,n!C150,n!D150)</f>
        <v>Środki transportu - 20%</v>
      </c>
      <c r="D113" s="721"/>
      <c r="E113" s="721"/>
      <c r="F113" s="721"/>
      <c r="G113" s="721"/>
      <c r="H113" s="721"/>
      <c r="I113" s="721"/>
      <c r="J113" s="721"/>
    </row>
    <row r="114" spans="1:15" ht="12.75" customHeight="1">
      <c r="C114" s="721" t="str">
        <f>CHOOSE(jezyk,n!A151,n!B151,n!C151,n!D151)</f>
        <v>Pozostałe środki trwałe - 7% - 50%</v>
      </c>
      <c r="D114" s="721"/>
      <c r="E114" s="721"/>
      <c r="F114" s="721"/>
      <c r="G114" s="721"/>
      <c r="H114" s="721"/>
      <c r="I114" s="721"/>
      <c r="J114" s="721"/>
    </row>
    <row r="115" spans="1:15" ht="12.75" customHeight="1">
      <c r="C115" s="724"/>
      <c r="D115" s="724"/>
      <c r="E115" s="724"/>
      <c r="F115" s="724"/>
      <c r="G115" s="724"/>
      <c r="H115" s="724"/>
      <c r="I115" s="724"/>
      <c r="J115" s="724"/>
    </row>
    <row r="116" spans="1:15" ht="12.75" customHeight="1">
      <c r="C116" s="724" t="str">
        <f>CHOOSE(jezyk,n!A153,n!B153,n!C153,n!D153)</f>
        <v>Wartości niematerialne i prawne - Stawki amortyzacyjne</v>
      </c>
      <c r="D116" s="724"/>
      <c r="E116" s="724"/>
      <c r="F116" s="724"/>
      <c r="G116" s="724"/>
      <c r="H116" s="724"/>
      <c r="I116" s="724"/>
      <c r="J116" s="724"/>
    </row>
    <row r="117" spans="1:15" ht="12.75" customHeight="1">
      <c r="C117" s="721" t="str">
        <f>CHOOSE(jezyk,n!A154,n!B154,n!C154,n!D154)</f>
        <v>Licencje - 20% - 50%</v>
      </c>
      <c r="D117" s="721"/>
      <c r="E117" s="721"/>
      <c r="F117" s="721"/>
      <c r="G117" s="721"/>
      <c r="H117" s="721"/>
      <c r="I117" s="721"/>
      <c r="J117" s="721"/>
    </row>
    <row r="118" spans="1:15" ht="16.5" customHeight="1">
      <c r="C118" s="721" t="str">
        <f>CHOOSE(jezyk,n!A155,n!B155,n!C155,n!D155)</f>
        <v>Oprogramowanie- 20%- 5 0%</v>
      </c>
      <c r="D118" s="721"/>
      <c r="E118" s="721"/>
      <c r="F118" s="721"/>
      <c r="G118" s="721"/>
      <c r="H118" s="721"/>
      <c r="I118" s="721"/>
      <c r="J118" s="721"/>
    </row>
    <row r="119" spans="1:15" ht="12.75" customHeight="1">
      <c r="C119" s="388"/>
      <c r="D119" s="388"/>
      <c r="E119" s="388"/>
      <c r="F119" s="388"/>
      <c r="G119" s="388"/>
      <c r="H119" s="388"/>
      <c r="I119" s="388"/>
      <c r="J119" s="388"/>
      <c r="L119" s="72"/>
    </row>
    <row r="120" spans="1:15" ht="12.75" customHeight="1">
      <c r="C120" s="733" t="str">
        <f>CHOOSE(jezyk,n!A156,n!B156,n!C156,n!D156)</f>
        <v>Ujmowanie leasingu</v>
      </c>
      <c r="D120" s="733"/>
      <c r="E120" s="733"/>
      <c r="F120" s="733"/>
      <c r="G120" s="733"/>
      <c r="H120" s="733"/>
      <c r="I120" s="733"/>
      <c r="J120" s="733"/>
      <c r="L120" s="72"/>
    </row>
    <row r="121" spans="1:15" ht="12.75" customHeight="1">
      <c r="C121" s="681"/>
      <c r="D121" s="681"/>
      <c r="E121" s="681"/>
      <c r="F121" s="681"/>
      <c r="G121" s="681"/>
      <c r="H121" s="681"/>
      <c r="I121" s="681"/>
      <c r="J121" s="681"/>
      <c r="L121" s="72"/>
    </row>
    <row r="122" spans="1:15" ht="72" customHeight="1">
      <c r="C122" s="721" t="str">
        <f>IF(GA!F75="nie",CHOOSE(jezyk,n!A143,n!B143,n!C143,n!D143),CHOOSE(jezyk,n!A144,n!B144,n!C144,n!D144))</f>
        <v xml:space="preserve">Zgodnie z uproszczeniem wynikającym z Art. 3 ust. 6 UoR Oddział nie ujmuje w aktywach trwałych środków trwałych oraz wartości niematerialnych i prawnych użytkowanych na podstawie umów najmu, dzierżawy, leasingu i umów o podobnym charakterze. Kwalifikuje te umowy zgodnie z przepisami prawa podatkowego, tj. ustawy o podatku dochodowym od osób prawnych. </v>
      </c>
      <c r="D122" s="721"/>
      <c r="E122" s="721"/>
      <c r="F122" s="721"/>
      <c r="G122" s="721"/>
      <c r="H122" s="721"/>
      <c r="I122" s="721"/>
      <c r="J122" s="721"/>
      <c r="L122" s="81" t="s">
        <v>6560</v>
      </c>
    </row>
    <row r="123" spans="1:15" hidden="1">
      <c r="C123" s="388"/>
      <c r="D123" s="388"/>
      <c r="E123" s="388"/>
      <c r="F123" s="388"/>
      <c r="G123" s="388"/>
      <c r="H123" s="388"/>
      <c r="I123" s="388"/>
      <c r="J123" s="388"/>
      <c r="L123" s="90"/>
    </row>
    <row r="124" spans="1:15" ht="32.25" hidden="1" customHeight="1">
      <c r="A124" s="737"/>
      <c r="C124" s="721" t="str">
        <f>IF(GA!F75&lt;&gt;"nie",CHOOSE(jezyk,n!A157,n!B157,n!C157,n!D157),CHOOSE(jezyk,n!A158,n!B158,n!C158,n!D158))</f>
        <v>Spółka kwalifikuje umowy leasingowe oraz inne umowy o podobnym charakterze zgodnie z art. 3 ust. 4-5 UoR i nie korzysta z uproszczeń.</v>
      </c>
      <c r="D124" s="721"/>
      <c r="E124" s="721"/>
      <c r="F124" s="721"/>
      <c r="G124" s="721"/>
      <c r="H124" s="721"/>
      <c r="I124" s="721"/>
      <c r="J124" s="721"/>
      <c r="L124" s="81" t="s">
        <v>6561</v>
      </c>
    </row>
    <row r="125" spans="1:15" ht="12.75" customHeight="1">
      <c r="A125" s="737"/>
    </row>
    <row r="126" spans="1:15" ht="12.75" customHeight="1">
      <c r="C126" s="89" t="str">
        <f>CHOOSE(jezyk,n!A159,n!B159,n!C159,n!D159)</f>
        <v>Materiały</v>
      </c>
    </row>
    <row r="128" spans="1:15" ht="45" customHeight="1">
      <c r="C128" s="721" t="str">
        <f>CHOOSE(jezyk,n!A160,n!B160,n!C160,n!D160)</f>
        <v>Materiały wykazywane są według cen nabycia, nie wyższych od cen ich sprzedaży na dzień bilansowy. Korektę wyceny do ceny sprzedaży na dzień bilansowy dokonuje się poprzez dokonanie odpisu aktualizującego.</v>
      </c>
      <c r="D128" s="721"/>
      <c r="E128" s="721"/>
      <c r="F128" s="721"/>
      <c r="G128" s="721"/>
      <c r="H128" s="721"/>
      <c r="I128" s="721"/>
      <c r="J128" s="721"/>
      <c r="O128" s="90"/>
    </row>
    <row r="129" spans="1:24" ht="48.75" customHeight="1">
      <c r="C129" s="721" t="str">
        <f>CHOOSE(jezyk,n!A161,n!B161,n!C161,n!D161)</f>
        <v xml:space="preserve">Cena nabycia obejmuje cenę zakupu oraz inne wydatki związane z nabyciem materiałów. Jeżeli wydatki związane z nabyciem materiałów (np. koszty transportu, ubezpieczenia) nie są istotne, materiały wycenia się według cen zakupu, nie wyższych od cen ich sprzedaży na dzień bilansowy. </v>
      </c>
      <c r="D129" s="721"/>
      <c r="E129" s="721"/>
      <c r="F129" s="721"/>
      <c r="G129" s="721"/>
      <c r="H129" s="721"/>
      <c r="I129" s="721"/>
      <c r="J129" s="721"/>
      <c r="O129" s="722"/>
      <c r="P129" s="722"/>
      <c r="Q129" s="721"/>
      <c r="R129" s="721"/>
      <c r="S129" s="721"/>
      <c r="T129" s="721"/>
      <c r="U129" s="721"/>
      <c r="V129" s="721"/>
      <c r="W129" s="721"/>
      <c r="X129" s="721"/>
    </row>
    <row r="130" spans="1:24" ht="12.75" customHeight="1">
      <c r="O130" s="84"/>
      <c r="P130" s="84"/>
      <c r="Q130" s="721"/>
      <c r="R130" s="721"/>
      <c r="S130" s="721"/>
      <c r="T130" s="721"/>
      <c r="U130" s="721"/>
      <c r="V130" s="721"/>
      <c r="W130" s="721"/>
      <c r="X130" s="721"/>
    </row>
    <row r="131" spans="1:24" ht="35.25" customHeight="1">
      <c r="C131" s="721" t="str">
        <f>IF(L132="ilościowo-wartościowa",CHOOSE(jezyk,n!A162,n!B162,n!C162,n!D162),IF(L132="wartościowa",CHOOSE(jezyk,n!A163,n!B163,n!C163,n!D163),CHOOSE(jezyk,n!A164,n!B164,n!C164,n!D164)))</f>
        <v>Zakupione materiały ujmowane są w księgach pomocniczych w postaci ewidencji ilościowo - wartościowej.</v>
      </c>
      <c r="D131" s="721"/>
      <c r="E131" s="721"/>
      <c r="F131" s="721"/>
      <c r="G131" s="721"/>
      <c r="H131" s="721"/>
      <c r="I131" s="721"/>
      <c r="J131" s="721"/>
      <c r="L131" s="81" t="s">
        <v>6562</v>
      </c>
      <c r="O131" s="722"/>
      <c r="P131" s="722"/>
      <c r="Q131" s="276"/>
      <c r="R131" s="276"/>
      <c r="S131" s="276"/>
      <c r="T131" s="276"/>
      <c r="U131" s="276"/>
      <c r="V131" s="276"/>
      <c r="W131" s="276"/>
      <c r="X131" s="276"/>
    </row>
    <row r="132" spans="1:24" ht="31.5" customHeight="1">
      <c r="C132" s="721" t="str">
        <f>CHOOSE(jezyk,n!A165,n!B165,n!C165,n!D165)</f>
        <v>Zakupione materiały, dla których nie prowadzi się ewidencji magazynowej, podlegają inwentaryzacji metodą spisu z natury na koniec roku obrotowego.</v>
      </c>
      <c r="D132" s="721"/>
      <c r="E132" s="721"/>
      <c r="F132" s="721"/>
      <c r="G132" s="721"/>
      <c r="H132" s="721"/>
      <c r="I132" s="721"/>
      <c r="J132" s="721"/>
      <c r="L132" s="81" t="s">
        <v>6563</v>
      </c>
      <c r="O132" s="84"/>
      <c r="P132" s="84"/>
      <c r="Q132" s="276"/>
      <c r="R132" s="276"/>
      <c r="S132" s="276"/>
      <c r="T132" s="276"/>
      <c r="U132" s="276"/>
      <c r="V132" s="276"/>
      <c r="W132" s="276"/>
      <c r="X132" s="276"/>
    </row>
    <row r="133" spans="1:24" ht="45.75" customHeight="1">
      <c r="C133" s="721" t="str">
        <f>CHOOSE(jezyk,n!A168,n!B168,n!C168,n!D168)</f>
        <v>O przydatności lub cechach użytkowych zapasów materiałów w celu ustalenia konieczności dokonania (lub nie) odpisów aktualizujących decyduje każdorazowo kierownik jednostki podczas inwentaryzacji rocznej.</v>
      </c>
      <c r="D133" s="721"/>
      <c r="E133" s="721"/>
      <c r="F133" s="721"/>
      <c r="G133" s="721"/>
      <c r="H133" s="721"/>
      <c r="I133" s="721"/>
      <c r="J133" s="721"/>
      <c r="L133" s="72"/>
    </row>
    <row r="135" spans="1:24" ht="12.75" customHeight="1">
      <c r="C135" s="89" t="str">
        <f>CHOOSE(jezyk,n!A169,n!B169,n!C169,n!D169)</f>
        <v xml:space="preserve">Towary handlowe </v>
      </c>
    </row>
    <row r="136" spans="1:24" ht="12.75" customHeight="1">
      <c r="O136" s="90"/>
    </row>
    <row r="137" spans="1:24" ht="48" customHeight="1">
      <c r="C137" s="721" t="str">
        <f>CHOOSE(jezyk,n!A170,n!B170,n!C170,n!D170)</f>
        <v>Towary handlowe wykazywane są według cen nabycia, nie wyższych od cen ich sprzedaży na dzień bilansowy. Korektę wyceny do ceny sprzedaży na dzień bilansowy dokonuje się poprzez dokonanie odpisu aktualizującego.</v>
      </c>
      <c r="D137" s="721"/>
      <c r="E137" s="721"/>
      <c r="F137" s="721"/>
      <c r="G137" s="721"/>
      <c r="H137" s="721"/>
      <c r="I137" s="721"/>
      <c r="J137" s="721"/>
      <c r="O137" s="722"/>
      <c r="P137" s="722"/>
      <c r="Q137" s="721"/>
      <c r="R137" s="721"/>
      <c r="S137" s="721"/>
      <c r="T137" s="721"/>
      <c r="U137" s="721"/>
      <c r="V137" s="721"/>
      <c r="W137" s="721"/>
      <c r="X137" s="721"/>
    </row>
    <row r="138" spans="1:24" ht="51" customHeight="1">
      <c r="C138" s="721" t="str">
        <f>CHOOSE(jezyk,n!A171,n!B171,n!C171,n!D171)</f>
        <v>Cena nabycia obejmuje cenę zakupu oraz inne wydatki związane z nabyciem towarów. Jeżeli wydatki związane z nabyciem towarów (np. koszty transportu, ubezpieczenia) nie są istotne, towary wycenia się według cen zakupu, nie wyższych od cen ich sprzedaży na dzień bilansowy.</v>
      </c>
      <c r="D138" s="721"/>
      <c r="E138" s="721"/>
      <c r="F138" s="721"/>
      <c r="G138" s="721"/>
      <c r="H138" s="721"/>
      <c r="I138" s="721"/>
      <c r="J138" s="721"/>
      <c r="O138" s="84"/>
      <c r="P138" s="84"/>
      <c r="Q138" s="721"/>
      <c r="R138" s="721"/>
      <c r="S138" s="721"/>
      <c r="T138" s="721"/>
      <c r="U138" s="721"/>
      <c r="V138" s="721"/>
      <c r="W138" s="721"/>
      <c r="X138" s="721"/>
    </row>
    <row r="139" spans="1:24" ht="26.25" customHeight="1">
      <c r="C139" s="721" t="str">
        <f>IF(L140="ilościowo-wartościowa",CHOOSE(jezyk,n!A172,n!B172,n!C172,n!D172),IF(L140="ilościowa",CHOOSE(jezyk,n!A173,n!B173,n!C173,n!D173),IF(L140="wartościowa",CHOOSE(jezyk,n!A174,n!B174,n!C174,n!D174),CHOOSE(jezyk,n!A175,n!B175,n!C175,n!D175))))</f>
        <v>Zakupione towary handlowe ujmowane są w księgach pomocniczych w postaci ewidencji ilościowo-wartościowej.</v>
      </c>
      <c r="D139" s="721"/>
      <c r="E139" s="721"/>
      <c r="F139" s="721"/>
      <c r="G139" s="721"/>
      <c r="H139" s="721"/>
      <c r="I139" s="721"/>
      <c r="J139" s="721"/>
      <c r="L139" s="81" t="s">
        <v>6564</v>
      </c>
      <c r="O139" s="722"/>
      <c r="P139" s="722"/>
      <c r="Q139" s="721"/>
      <c r="R139" s="721"/>
      <c r="S139" s="721"/>
      <c r="T139" s="721"/>
      <c r="U139" s="721"/>
      <c r="V139" s="721"/>
      <c r="W139" s="721"/>
      <c r="X139" s="721"/>
    </row>
    <row r="140" spans="1:24" ht="42" customHeight="1">
      <c r="C140" s="721" t="str">
        <f>CHOOSE(jezyk,n!A176,n!B176,n!C176,n!D176)</f>
        <v>Zakupione towary handlowe, dla których nie prowadzi się ewidencji magazynowej, podlegają inwentaryzacji metodą spisu z natury na koniec każdego miesiąca, na koniec każdego kwartału, na koniec roku obrotowego.</v>
      </c>
      <c r="D140" s="721"/>
      <c r="E140" s="721"/>
      <c r="F140" s="721"/>
      <c r="G140" s="721"/>
      <c r="H140" s="721"/>
      <c r="I140" s="721"/>
      <c r="J140" s="721"/>
      <c r="L140" s="81" t="s">
        <v>6563</v>
      </c>
      <c r="O140" s="84"/>
      <c r="P140" s="84"/>
      <c r="Q140" s="721"/>
      <c r="R140" s="721"/>
      <c r="S140" s="721"/>
      <c r="T140" s="721"/>
      <c r="U140" s="721"/>
      <c r="V140" s="721"/>
      <c r="W140" s="721"/>
      <c r="X140" s="721"/>
    </row>
    <row r="142" spans="1:24" ht="31.5" customHeight="1">
      <c r="A142" s="737"/>
      <c r="C142" s="721" t="str">
        <f>CHOOSE(jezyk,n!A179,n!B179,n!C179,n!D179)</f>
        <v>Cenę nabycia towarów spełniających warunki zaliczania ich do aktywów nie zwiększa się o koszty obsługi zobowiązań zaciągniętych w celu finansowania zapasu towarów.</v>
      </c>
      <c r="D142" s="721"/>
      <c r="E142" s="721"/>
      <c r="F142" s="721"/>
      <c r="G142" s="721"/>
      <c r="H142" s="721"/>
      <c r="I142" s="721"/>
      <c r="J142" s="721"/>
    </row>
    <row r="143" spans="1:24">
      <c r="A143" s="737"/>
      <c r="C143" s="724"/>
      <c r="D143" s="724"/>
      <c r="E143" s="724"/>
      <c r="F143" s="724"/>
      <c r="G143" s="724"/>
      <c r="H143" s="724"/>
      <c r="I143" s="724"/>
      <c r="J143" s="724"/>
    </row>
    <row r="144" spans="1:24" ht="49.5" customHeight="1">
      <c r="C144" s="721" t="str">
        <f>CHOOSE(jezyk,n!A180,n!B180,n!C180,n!D180)</f>
        <v>O przydatności lub cechach użytkowych zapasów towarów w celu ustalenia konieczności dokonania (lub nie) odpisów aktualizujących decyduje każdorazowo kierownik jednostki podczas inwentaryzacji rocznej.</v>
      </c>
      <c r="D144" s="721"/>
      <c r="E144" s="721"/>
      <c r="F144" s="721"/>
      <c r="G144" s="721"/>
      <c r="H144" s="721"/>
      <c r="I144" s="721"/>
      <c r="J144" s="721"/>
    </row>
    <row r="146" spans="3:12" ht="12.75" customHeight="1">
      <c r="C146" s="89" t="str">
        <f>CHOOSE(jezyk,n!A181,n!B181,n!C181,n!D181)</f>
        <v>Wyroby gotowe</v>
      </c>
    </row>
    <row r="148" spans="3:12" ht="29.25" customHeight="1">
      <c r="C148" s="721" t="str">
        <f>IF(L149="ilościowo-wartościowa",CHOOSE(jezyk,n!A182,n!B182,n!C182,n!D182),IF(L149="ilościowa",CHOOSE(jezyk,n!A183,n!B183,n!C183,n!D183),IF(L149="wartościowa",CHOOSE(jezyk,n!A184,n!B184,n!C184,n!D184),CHOOSE(jezyk,n!A185,n!B185,n!C185,n!D185))))</f>
        <v>Wytworzone wyroby gotowe ujmowane są w księgach pomocniczych w postaci ewidencji ilościowo-wartościowej.</v>
      </c>
      <c r="D148" s="721"/>
      <c r="E148" s="721"/>
      <c r="F148" s="721"/>
      <c r="G148" s="721"/>
      <c r="H148" s="721"/>
      <c r="I148" s="721"/>
      <c r="J148" s="721"/>
      <c r="L148" s="81" t="s">
        <v>6565</v>
      </c>
    </row>
    <row r="149" spans="3:12" ht="33" customHeight="1">
      <c r="C149" s="721" t="str">
        <f>CHOOSE(jezyk,n!A186,n!B186,n!C186,n!D186)</f>
        <v xml:space="preserve">Wytworzone wyroby gotowe, dla których nie prowadzi się ewidencji magazynowej, podlegają inwentaryzacji metodą spisu z natury na koniec każdego miesiąca. </v>
      </c>
      <c r="D149" s="721"/>
      <c r="E149" s="721"/>
      <c r="F149" s="721"/>
      <c r="G149" s="721"/>
      <c r="H149" s="721"/>
      <c r="I149" s="721"/>
      <c r="J149" s="721"/>
      <c r="L149" s="81" t="s">
        <v>6563</v>
      </c>
    </row>
    <row r="150" spans="3:12" ht="33.75" customHeight="1">
      <c r="C150" s="721" t="str">
        <f>CHOOSE(jezyk,n!A187,n!B187,n!C187,n!D187)</f>
        <v>Wytworzone wyroby gotowe wyceniane są wg planowych kosztów wytworzenia wtedy, gdy różnica między planowanym kosztem wytworzenia a kosztem rzeczywistym nie jest znaczna.</v>
      </c>
      <c r="D150" s="721"/>
      <c r="E150" s="721"/>
      <c r="F150" s="721"/>
      <c r="G150" s="721"/>
      <c r="H150" s="721"/>
      <c r="I150" s="721"/>
      <c r="J150" s="721"/>
    </row>
    <row r="151" spans="3:12" ht="48.75" customHeight="1">
      <c r="C151" s="721" t="str">
        <f>IF(GA!F75&lt;&gt;"nie",CHOOSE(jezyk,n!A188,n!B188,n!C188,n!D188),CHOOSE(jezyk,n!A189,n!B189,n!C189,n!D189))</f>
        <v xml:space="preserve">Spółka ustala koszt wytworzenia produktów poprzez doliczenie do kosztów bezpośrednich uzasadnionych kosztów pośrednich związanych z wytworzeniem tego produktu, niezależnie od poziomu wykorzystania zdolności produkcyjnych. </v>
      </c>
      <c r="D151" s="721"/>
      <c r="E151" s="721"/>
      <c r="F151" s="721"/>
      <c r="G151" s="721"/>
      <c r="H151" s="721"/>
      <c r="I151" s="721"/>
      <c r="J151" s="721"/>
    </row>
    <row r="153" spans="3:12" ht="45" customHeight="1">
      <c r="C153" s="721" t="str">
        <f>CHOOSE(jezyk,n!A190,n!B190,n!C190,n!D190)</f>
        <v>Koszt wytworzenia wyrobów spełniających warunki zaliczania ich do aktywów nie zwiększa się o koszty obsługi zobowiązań zaciągniętych w celu finansowania produktów w okresie ich wytworzenia.</v>
      </c>
      <c r="D153" s="721"/>
      <c r="E153" s="721"/>
      <c r="F153" s="721"/>
      <c r="G153" s="721"/>
      <c r="H153" s="721"/>
      <c r="I153" s="721"/>
      <c r="J153" s="721"/>
    </row>
    <row r="154" spans="3:12" ht="12.75" customHeight="1">
      <c r="C154" s="722"/>
      <c r="D154" s="722"/>
      <c r="E154" s="722"/>
      <c r="F154" s="722"/>
      <c r="G154" s="722"/>
      <c r="H154" s="722"/>
      <c r="I154" s="722"/>
      <c r="J154" s="722"/>
    </row>
    <row r="155" spans="3:12" ht="46.5" customHeight="1">
      <c r="C155" s="721" t="str">
        <f>CHOOSE(jezyk,n!A191,n!B191,n!C191,n!D191)</f>
        <v>O przydatności lub cechach użytkowych zapasów produktów w celu ustalenia konieczności dokonania (lub nie) odpisów aktualizujących decyduje każdorazowo kierownik jednostki podczas inwentaryzacji rocznej.</v>
      </c>
      <c r="D155" s="721"/>
      <c r="E155" s="721"/>
      <c r="F155" s="721"/>
      <c r="G155" s="721"/>
      <c r="H155" s="721"/>
      <c r="I155" s="721"/>
      <c r="J155" s="721"/>
    </row>
    <row r="157" spans="3:12" ht="12.75" customHeight="1">
      <c r="C157" s="89" t="str">
        <f>CHOOSE(jezyk,n!A192,n!B192,n!C192,n!D192)</f>
        <v xml:space="preserve">Produkcja w toku </v>
      </c>
    </row>
    <row r="159" spans="3:12" ht="31.5" customHeight="1">
      <c r="C159" s="721" t="str">
        <f>CHOOSE(jezyk,n!A193,n!B193,n!C193,n!D193)</f>
        <v>Produkcję w toku wykazuje się w sprawozdaniu finansowym w wysokości bezpośrednich kosztów wytworzenia. Wartość produkcji w toku ustala się na podstawie inwentaryzacji.</v>
      </c>
      <c r="D159" s="721"/>
      <c r="E159" s="721"/>
      <c r="F159" s="721"/>
      <c r="G159" s="721"/>
      <c r="H159" s="721"/>
      <c r="I159" s="721"/>
      <c r="J159" s="721"/>
    </row>
    <row r="161" spans="3:15" ht="12" customHeight="1">
      <c r="C161" s="721" t="str">
        <f>CHOOSE(jezyk,n!A194,n!B194,n!C194,n!D194)</f>
        <v>Produkcja w toku, w tym z tytułu usług budowlanych, dotyczy w szczególności:</v>
      </c>
      <c r="D161" s="721"/>
      <c r="E161" s="721"/>
      <c r="F161" s="721"/>
      <c r="G161" s="721"/>
      <c r="H161" s="721"/>
      <c r="I161" s="721"/>
      <c r="J161" s="721"/>
    </row>
    <row r="162" spans="3:15" ht="28.5" customHeight="1">
      <c r="C162" s="721" t="str">
        <f>CHOOSE(jezyk,n!A195,n!B195,n!C195,n!D195)</f>
        <v>- usług (robót) już rozpoczętych, ale jeszcze nieobjętych umową, gdyż negocjacje trwają, ale jest pewne, że umowa zostanie zawarta,</v>
      </c>
      <c r="D162" s="721"/>
      <c r="E162" s="721"/>
      <c r="F162" s="721"/>
      <c r="G162" s="721"/>
      <c r="H162" s="721"/>
      <c r="I162" s="721"/>
      <c r="J162" s="721"/>
    </row>
    <row r="163" spans="3:15" ht="16.5" customHeight="1">
      <c r="C163" s="721" t="str">
        <f>CHOOSE(jezyk,n!A196,n!B196,n!C196,n!D196)</f>
        <v>- usług, których realizacja ma nastąpić w okresie krótszym niż 6 miesięcy,</v>
      </c>
      <c r="D163" s="721"/>
      <c r="E163" s="721"/>
      <c r="F163" s="721"/>
      <c r="G163" s="721"/>
      <c r="H163" s="721"/>
      <c r="I163" s="721"/>
      <c r="J163" s="721"/>
    </row>
    <row r="164" spans="3:15" ht="32.25" customHeight="1">
      <c r="C164" s="721" t="str">
        <f>CHOOSE(jezyk,n!A197,n!B197,n!C197,n!D197)</f>
        <v>- usług, których realizacja ma trwać dłużej niż 6 miesięcy, ale ich wartość na dzień bilansowy nie wpływa istotnie na sytuację wykonawcy.</v>
      </c>
      <c r="D164" s="721"/>
      <c r="E164" s="721"/>
      <c r="F164" s="721"/>
      <c r="G164" s="721"/>
      <c r="H164" s="721"/>
      <c r="I164" s="721"/>
      <c r="J164" s="721"/>
    </row>
    <row r="165" spans="3:15" ht="12.75" customHeight="1">
      <c r="C165" s="99"/>
      <c r="D165" s="99"/>
      <c r="E165" s="99"/>
      <c r="F165" s="99"/>
      <c r="G165" s="99"/>
      <c r="H165" s="99"/>
      <c r="I165" s="99"/>
      <c r="J165" s="99"/>
      <c r="L165" s="72"/>
    </row>
    <row r="166" spans="3:15" ht="12.75" customHeight="1">
      <c r="C166" s="733" t="str">
        <f>CHOOSE(jezyk,n!A198,n!B198,n!C198,n!D198)</f>
        <v>Metodologia kalkulacji odpisów aktualizujących zapasy</v>
      </c>
      <c r="D166" s="733"/>
      <c r="E166" s="733"/>
      <c r="F166" s="733"/>
      <c r="G166" s="733"/>
      <c r="H166" s="733"/>
      <c r="I166" s="733"/>
      <c r="J166" s="733"/>
    </row>
    <row r="168" spans="3:15" ht="46.5" customHeight="1">
      <c r="C168" s="721" t="str">
        <f>CHOOSE(jezyk,n!A199,n!B199,n!C199,n!D199)</f>
        <v>Odpisy aktualizujące wartość zapasów dokonywane są raz do roku. Zapasy uznaje się za przeterminowane po dwóch latach od momentu przyjęcia ich do ewidencji księgowej i obejmuje się je 100% odpisem aktualizującym.</v>
      </c>
      <c r="D168" s="721"/>
      <c r="E168" s="721"/>
      <c r="F168" s="721"/>
      <c r="G168" s="721"/>
      <c r="H168" s="721"/>
      <c r="I168" s="721"/>
      <c r="J168" s="721"/>
    </row>
    <row r="169" spans="3:15" s="96" customFormat="1">
      <c r="C169" s="389"/>
      <c r="D169" s="389"/>
      <c r="E169" s="389"/>
      <c r="F169" s="389"/>
      <c r="G169" s="389"/>
      <c r="H169" s="389"/>
      <c r="I169" s="389"/>
      <c r="J169" s="389"/>
    </row>
    <row r="170" spans="3:15" ht="12.75" customHeight="1">
      <c r="C170" s="733" t="str">
        <f>CHOOSE(jezyk,n!A200,n!B200,n!C200,n!D200)</f>
        <v>Metoda wyceny rozchodu zapasów</v>
      </c>
      <c r="D170" s="733"/>
      <c r="E170" s="733"/>
      <c r="F170" s="733"/>
      <c r="G170" s="733"/>
      <c r="H170" s="733"/>
      <c r="I170" s="733"/>
      <c r="J170" s="733"/>
    </row>
    <row r="171" spans="3:15" ht="12.75" customHeight="1" thickBot="1">
      <c r="C171" s="681"/>
      <c r="D171" s="681"/>
      <c r="E171" s="681"/>
      <c r="F171" s="681"/>
      <c r="G171" s="681"/>
      <c r="H171" s="681"/>
      <c r="I171" s="681"/>
      <c r="J171" s="681"/>
    </row>
    <row r="172" spans="3:15" ht="12.75" customHeight="1" thickBot="1">
      <c r="C172" s="721" t="str">
        <f>IF(O172="FIFO",CHOOSE(jezyk,n!A201,n!B201,n!C201,n!D201),IF(O172="średnia-ważona",CHOOSE(jezyk,n!A202,n!B202,n!C202,n!D202),"Ukryj wiersze"))</f>
        <v>Dla potrzeb wyceny rozchodu zapasów wykorzystywana jest metoda FIFO.</v>
      </c>
      <c r="D172" s="721"/>
      <c r="E172" s="721"/>
      <c r="F172" s="721"/>
      <c r="G172" s="721"/>
      <c r="H172" s="721"/>
      <c r="I172" s="721"/>
      <c r="J172" s="721"/>
      <c r="L172" s="81" t="s">
        <v>6566</v>
      </c>
      <c r="M172" s="90"/>
      <c r="N172" s="90"/>
      <c r="O172" s="97" t="s">
        <v>6567</v>
      </c>
    </row>
    <row r="174" spans="3:15" ht="12.75" customHeight="1">
      <c r="C174" s="89" t="str">
        <f>CHOOSE(jezyk,n!A203,n!B203,n!C203,n!D203)</f>
        <v>Należności długoterminowe i krótkoterminowe</v>
      </c>
    </row>
    <row r="176" spans="3:15" ht="30" customHeight="1">
      <c r="C176" s="721" t="str">
        <f>CHOOSE(jezyk,n!A204,n!B204,n!C204,n!D204)</f>
        <v>Należności długoterminowe i krótkoterminowe wykazywane są w wartości netto (pomniejszonej o odpisy aktualizujące wartość należności).</v>
      </c>
      <c r="D176" s="721"/>
      <c r="E176" s="721"/>
      <c r="F176" s="721"/>
      <c r="G176" s="721"/>
      <c r="H176" s="721"/>
      <c r="I176" s="721"/>
      <c r="J176" s="721"/>
    </row>
    <row r="177" spans="3:13" ht="12.75" customHeight="1">
      <c r="C177" s="721"/>
      <c r="D177" s="721"/>
      <c r="E177" s="721"/>
      <c r="F177" s="721"/>
      <c r="G177" s="721"/>
      <c r="H177" s="721"/>
      <c r="I177" s="721"/>
      <c r="J177" s="721"/>
    </row>
    <row r="178" spans="3:13" ht="59.25" customHeight="1">
      <c r="C178" s="721" t="str">
        <f>CHOOSE(jezyk,n!A205,n!B205,n!C205,n!D205)</f>
        <v xml:space="preserve">Należności są wyceniane w kwocie wymagającej zapłaty. Kwota ta obejmuje oprócz wartości nominalnej należności także odsetki za zwłokę w zapłacie należności. Odsetki te są księgowane na dobro przychodów finansowych tylko wtedy, gdy jednostka na dzień bilansowy podejmie decyzję o dochodzeniu tych odsetek. </v>
      </c>
      <c r="D178" s="721"/>
      <c r="E178" s="721"/>
      <c r="F178" s="721"/>
      <c r="G178" s="721"/>
      <c r="H178" s="721"/>
      <c r="I178" s="721"/>
      <c r="J178" s="721"/>
    </row>
    <row r="179" spans="3:13" ht="12.75" customHeight="1">
      <c r="C179" s="722"/>
      <c r="D179" s="722"/>
      <c r="E179" s="722"/>
      <c r="F179" s="722"/>
      <c r="G179" s="722"/>
      <c r="H179" s="722"/>
      <c r="I179" s="722"/>
      <c r="J179" s="722"/>
    </row>
    <row r="180" spans="3:13" ht="30.75" customHeight="1">
      <c r="C180" s="721" t="str">
        <f>CHOOSE(jezyk,n!A206,n!B206,n!C206,n!D206)</f>
        <v>Odpisów aktualizujących wartość należności nieprzeterminowanych, przeterminowanych, spornych i wątpliwych dokonuje się na podstawie decyzji kierownika jednostki.</v>
      </c>
      <c r="D180" s="721"/>
      <c r="E180" s="721"/>
      <c r="F180" s="721"/>
      <c r="G180" s="721"/>
      <c r="H180" s="721"/>
      <c r="I180" s="721"/>
      <c r="J180" s="721"/>
    </row>
    <row r="182" spans="3:13" ht="12.75" customHeight="1">
      <c r="C182" s="89" t="str">
        <f>CHOOSE(jezyk,n!A207,n!B207,n!C207,n!D207)</f>
        <v>Zobowiązania długoterminowe i krótkoterminowe</v>
      </c>
    </row>
    <row r="184" spans="3:13" ht="88.5" customHeight="1">
      <c r="C184" s="721" t="str">
        <f>CHOOSE(jezyk,n!A208,n!B208,n!C208,n!D208)</f>
        <v>Zobowiązania są wykazywane w kwocie wymagającej zapłaty. Kwota ta obejmuje oprócz wartości nominalnej zobowiązań także odsetki za zwłokę w zapłacie zobowiązań. Odsetki te są księgowane w ciągu roku w ciężar kosztów finansowych na podstawie not obciążeniowych od dostawcy. Na koniec roku obrotowego odsetki są księgowane w wartości zbiorczej na podstawie analizy stanu poszczególnych rozrachunków na koniec roku obrotowego i terminów zapłaty ustalonych z dostawcami.</v>
      </c>
      <c r="D184" s="721"/>
      <c r="E184" s="721"/>
      <c r="F184" s="721"/>
      <c r="G184" s="721"/>
      <c r="H184" s="721"/>
      <c r="I184" s="721"/>
      <c r="J184" s="721"/>
    </row>
    <row r="186" spans="3:13" s="89" customFormat="1" ht="12.75" customHeight="1">
      <c r="C186" s="89" t="str">
        <f>CHOOSE(jezyk,n!A209,n!B209,n!C209,n!D209)</f>
        <v>Inwestycje krótkoterminowe</v>
      </c>
      <c r="L186" s="98"/>
      <c r="M186" s="72"/>
    </row>
    <row r="188" spans="3:13" ht="29.25" customHeight="1">
      <c r="C188" s="721" t="str">
        <f>CHOOSE(jezyk,n!A210,n!B210,n!C210,n!D210)</f>
        <v>Inwestycje krótkoterminowe w księgach na moment ich nabycia lub powstania wycenia się według cen zakupu lub nabycia.</v>
      </c>
      <c r="D188" s="721"/>
      <c r="E188" s="721"/>
      <c r="F188" s="721"/>
      <c r="G188" s="721"/>
      <c r="H188" s="721"/>
      <c r="I188" s="721"/>
      <c r="J188" s="721"/>
    </row>
    <row r="189" spans="3:13" ht="45" customHeight="1">
      <c r="C189" s="721" t="str">
        <f>CHOOSE(jezyk,n!A211,n!B211,n!C211,n!D211)</f>
        <v>Rozchód inwestycji jednakowych, których ceny nabycia są różne, wycenia się według metody FIFO. Ta zasada dotyczy również inwestycji uznanych za jednakowe, ze względu na podobieństwo rodzaju i przeznaczenie.</v>
      </c>
      <c r="D189" s="721"/>
      <c r="E189" s="721"/>
      <c r="F189" s="721"/>
      <c r="G189" s="721"/>
      <c r="H189" s="721"/>
      <c r="I189" s="721"/>
      <c r="J189" s="721"/>
    </row>
    <row r="190" spans="3:13" ht="12.75" customHeight="1">
      <c r="C190" s="722"/>
      <c r="D190" s="722"/>
      <c r="E190" s="722"/>
      <c r="F190" s="722"/>
      <c r="G190" s="722"/>
      <c r="H190" s="722"/>
      <c r="I190" s="722"/>
      <c r="J190" s="722"/>
      <c r="L190" s="72"/>
    </row>
    <row r="191" spans="3:13" ht="28.5" customHeight="1">
      <c r="C191" s="721" t="str">
        <f>CHOOSE(jezyk,n!A212,n!B212,n!C212,n!D212)</f>
        <v>Inwestycje krótkoterminowe na dzień bilansowy wyceniane są według ceny nabycia lub ceny rynkowej, w zależności od tego, która z nich jest mniejsza.</v>
      </c>
      <c r="D191" s="721"/>
      <c r="E191" s="721"/>
      <c r="F191" s="721"/>
      <c r="G191" s="721"/>
      <c r="H191" s="721"/>
      <c r="I191" s="721"/>
      <c r="J191" s="721"/>
    </row>
    <row r="192" spans="3:13" ht="12.75" customHeight="1">
      <c r="C192" s="722"/>
      <c r="D192" s="722"/>
      <c r="E192" s="722"/>
      <c r="F192" s="722"/>
      <c r="G192" s="722"/>
      <c r="H192" s="722"/>
      <c r="I192" s="722"/>
      <c r="J192" s="722"/>
    </row>
    <row r="193" spans="3:15" ht="62.25" customHeight="1">
      <c r="C193" s="721" t="str">
        <f>CHOOSE(jezyk,n!A213,n!B213,n!C213,n!D213)</f>
        <v>Inwestycje w postaci aktywów finansowych zaliczane są do krótkoterminowych aktywów finansowych, jeżeli są płatne i wymagalne lub przeznaczone do zbycia w ciągu 12 miesięcy od dnia bilansowego lub jeżeli są płatne i wymagalne lub przeznaczone do zbycia w ciągu 12 miesięcy od dnia ich założenia, wystawienia lub nabycia.</v>
      </c>
      <c r="D193" s="721"/>
      <c r="E193" s="721"/>
      <c r="F193" s="721"/>
      <c r="G193" s="721"/>
      <c r="H193" s="721"/>
      <c r="I193" s="721"/>
      <c r="J193" s="721"/>
    </row>
    <row r="195" spans="3:15" ht="12.75" customHeight="1">
      <c r="C195" s="89" t="str">
        <f>CHOOSE(jezyk,n!A214,n!B214,n!C214,n!D214)</f>
        <v>Inwestycje długoterminowe</v>
      </c>
    </row>
    <row r="197" spans="3:15" ht="32.25" customHeight="1">
      <c r="C197" s="721" t="str">
        <f>CHOOSE(jezyk,n!A215,n!B215,n!C215,n!D215)</f>
        <v>Inwestycje długoterminowe w księgach na moment ich nabycia lub powstania wycenia się według cen nabycia.</v>
      </c>
      <c r="D197" s="721"/>
      <c r="E197" s="721"/>
      <c r="F197" s="721"/>
      <c r="G197" s="721"/>
      <c r="H197" s="721"/>
      <c r="I197" s="721"/>
      <c r="J197" s="721"/>
    </row>
    <row r="198" spans="3:15" ht="30.75" customHeight="1" thickBot="1">
      <c r="C198" s="721" t="str">
        <f>CHOOSE(jezyk,n!A216,n!B216,n!C216,n!D216)</f>
        <v>Rozchód inwestycji jednakowych, których ceny nabycia są różne, wycenia się według metody FIFO. Analogiczne zasady stosuje się do wyceny rozchodu inwestycji długoterminowych uznanych za jednakowe, ze względu na podobieństwo rodzaju i przeznaczenia.</v>
      </c>
      <c r="D198" s="721"/>
      <c r="E198" s="721"/>
      <c r="F198" s="721"/>
      <c r="G198" s="721"/>
      <c r="H198" s="721"/>
      <c r="I198" s="721"/>
      <c r="J198" s="721"/>
    </row>
    <row r="199" spans="3:15" ht="29.25" customHeight="1" thickBot="1">
      <c r="C199" s="721" t="str">
        <f>IF(O199=1,CHOOSE(jezyk,n!A217,n!B217,n!C217,n!D217),CHOOSE(jezyk,n!A218,n!B218,n!C218,n!D218))</f>
        <v xml:space="preserve">Inwestycje długoterminowe na dzień bilansowy wyceniane są według ceny nabycia, pomniejszonej o odpisy spowodowane trwałą utratą wartości. </v>
      </c>
      <c r="D199" s="721"/>
      <c r="E199" s="721"/>
      <c r="F199" s="721"/>
      <c r="G199" s="721"/>
      <c r="H199" s="721"/>
      <c r="I199" s="721"/>
      <c r="J199" s="721"/>
      <c r="L199" s="81" t="s">
        <v>6568</v>
      </c>
      <c r="M199" s="90"/>
      <c r="N199" s="90"/>
      <c r="O199" s="97">
        <v>1</v>
      </c>
    </row>
    <row r="200" spans="3:15" ht="12.75" customHeight="1">
      <c r="C200" s="724"/>
      <c r="D200" s="724"/>
      <c r="E200" s="724"/>
      <c r="F200" s="724"/>
      <c r="G200" s="724"/>
      <c r="H200" s="724"/>
      <c r="I200" s="724"/>
      <c r="J200" s="724"/>
    </row>
    <row r="201" spans="3:15" s="89" customFormat="1" ht="12.75" customHeight="1">
      <c r="C201" s="89" t="str">
        <f>CHOOSE(jezyk,n!A219,n!B219,n!C219,n!D219)</f>
        <v>Kontrakty na usługi i roboty o okresie realizacji nie dłuższym niż 6 miesięcy</v>
      </c>
      <c r="L201" s="98"/>
      <c r="M201" s="72"/>
    </row>
    <row r="203" spans="3:15" ht="44.25" customHeight="1">
      <c r="C203" s="721" t="str">
        <f>CHOOSE(jezyk,n!A220,n!B220,n!C220,n!D220)</f>
        <v xml:space="preserve">Kontrakty na usługi i roboty o okresie realizacji nie dłuższym niż 6 miesięcy ujmowane są w księgach do czasu zakończenia realizacji kontraktu w wysokości poniesionych kosztów bezpośrednich i prezentowane są jako roboty (usługi) w toku. </v>
      </c>
      <c r="D203" s="721"/>
      <c r="E203" s="721"/>
      <c r="F203" s="721"/>
      <c r="G203" s="721"/>
      <c r="H203" s="721"/>
      <c r="I203" s="721"/>
      <c r="J203" s="721"/>
    </row>
    <row r="204" spans="3:15" ht="60.75" customHeight="1">
      <c r="C204" s="721" t="str">
        <f>CHOOSE(jezyk,n!A221,n!B221,n!C221,n!D221)</f>
        <v xml:space="preserve">Przychody ujmowane są w księgach w wartości wynikającej z faktur częściowych i protokołów odbioru, a częściowe koszty z nimi związane ustalane są jako różnica pomiędzy kosztami rzeczywiście poniesionymi a tymi, które w wyniku inwentaryzacji wykonanych robót lub usług uznane są za element produkcji w toku. </v>
      </c>
      <c r="D204" s="721"/>
      <c r="E204" s="721"/>
      <c r="F204" s="721"/>
      <c r="G204" s="721"/>
      <c r="H204" s="721"/>
      <c r="I204" s="721"/>
      <c r="J204" s="721"/>
    </row>
    <row r="206" spans="3:15" s="89" customFormat="1" ht="12.75" customHeight="1">
      <c r="C206" s="89" t="str">
        <f>CHOOSE(jezyk,n!A222,n!B222,n!C222,n!D222)</f>
        <v>Kontrakty na usługi i roboty o okresie realizacji dłuższym niż 6 miesięcy</v>
      </c>
      <c r="L206" s="98"/>
      <c r="M206" s="72"/>
    </row>
    <row r="208" spans="3:15" ht="30" customHeight="1">
      <c r="C208" s="721" t="str">
        <f>CHOOSE(jezyk,n!A223,n!B223,n!C223,n!D223)</f>
        <v>Kontrakty na usługi i roboty o okresie realizacji dłuższym niż 6 miesięcy ujmowane są w księgach w zależności od stopnia zawansowania robót.</v>
      </c>
      <c r="D208" s="721"/>
      <c r="E208" s="721"/>
      <c r="F208" s="721"/>
      <c r="G208" s="721"/>
      <c r="H208" s="721"/>
      <c r="I208" s="721"/>
      <c r="J208" s="721"/>
    </row>
    <row r="209" spans="3:12" ht="47.25" customHeight="1">
      <c r="C209" s="721" t="str">
        <f>CHOOSE(jezyk,n!A224,n!B224,n!C224,n!D224)</f>
        <v>Stopień zaawansowania robót z niezakończonej umowy ustala się udziałem kosztów wykonania umowy poniesionych od dnia zawarcia umowy do dnia bilansowego w całkowitych kosztach umowy.</v>
      </c>
      <c r="D209" s="721"/>
      <c r="E209" s="721"/>
      <c r="F209" s="721"/>
      <c r="G209" s="721"/>
      <c r="H209" s="721"/>
      <c r="I209" s="721"/>
      <c r="J209" s="721"/>
    </row>
    <row r="210" spans="3:12" ht="60.75" customHeight="1">
      <c r="C210" s="721" t="str">
        <f>CHOOSE(jezyk,n!A225,n!B225,n!C225,n!D225)</f>
        <v>Wartość szacowanych przychodów z niezakończonych umów budowlanych ustala się w wysokości takiej części ceny umownej za całą usługę, jaka odpowiada stopniowi zaawansowania usługi na dzień bilansowy, po odliczeniu przychodów, które wpłynęły na wynik finansowy w ubiegłych okresach sprawozdawczych.</v>
      </c>
      <c r="D210" s="721"/>
      <c r="E210" s="721"/>
      <c r="F210" s="721"/>
      <c r="G210" s="721"/>
      <c r="H210" s="721"/>
      <c r="I210" s="721"/>
      <c r="J210" s="721"/>
    </row>
    <row r="212" spans="3:12" ht="45" customHeight="1">
      <c r="C212" s="721" t="str">
        <f>CHOOSE(jezyk,n!A226,n!B226,n!C226,n!D226)</f>
        <v>Przychody z realizacji kontraktów na usługi i roboty o okresie realizacji dłuższym niż 6 miesięcy, dla których nie można wiarygodnie ustalić stopnia zawansowania, ustalane są na poziomie poniesionych kosztów w wysokości, której pokrycie zapewnia zleceniodawca.</v>
      </c>
      <c r="D212" s="721"/>
      <c r="E212" s="721"/>
      <c r="F212" s="721"/>
      <c r="G212" s="721"/>
      <c r="H212" s="721"/>
      <c r="I212" s="721"/>
      <c r="J212" s="721"/>
    </row>
    <row r="213" spans="3:12" ht="28.5" customHeight="1">
      <c r="C213" s="721" t="str">
        <f>CHOOSE(jezyk,n!A227,n!B227,n!C227,n!D227)</f>
        <v>Koszty wynikające z realizacji kontraktów o okresie realizacji dłuższym niż 6 miesięcy stanowią koszty poniesione do dnia bilansowego.</v>
      </c>
      <c r="D213" s="721"/>
      <c r="E213" s="721"/>
      <c r="F213" s="721"/>
      <c r="G213" s="721"/>
      <c r="H213" s="721"/>
      <c r="I213" s="721"/>
      <c r="J213" s="721"/>
    </row>
    <row r="214" spans="3:12" ht="12.75" customHeight="1">
      <c r="C214" s="72" t="s">
        <v>4368</v>
      </c>
    </row>
    <row r="215" spans="3:12" ht="12.75" customHeight="1">
      <c r="C215" s="89" t="str">
        <f>CHOOSE(jezyk,n!A228,n!B228,n!C228,n!D228)</f>
        <v>Rozliczenia międzyokresowe kosztów</v>
      </c>
    </row>
    <row r="217" spans="3:12" ht="33" customHeight="1">
      <c r="C217" s="721" t="str">
        <f>IF(GA!F75&lt;&gt;"nie",CHOOSE(jezyk,n!A229,n!B229,n!C229,n!D229),CHOOSE(jezyk,n!A230,n!B230,n!C230,n!D230))</f>
        <v xml:space="preserve">Spółka dokonuje czynnych rozliczeń międzyokresowych kosztów, jeżeli dotyczą one przyszłych okresów sprawozdawczych. </v>
      </c>
      <c r="D217" s="721"/>
      <c r="E217" s="721"/>
      <c r="F217" s="721"/>
      <c r="G217" s="721"/>
      <c r="H217" s="721"/>
      <c r="I217" s="721"/>
      <c r="J217" s="721"/>
    </row>
    <row r="218" spans="3:12" ht="12.75" customHeight="1">
      <c r="C218" s="722"/>
      <c r="D218" s="722"/>
      <c r="E218" s="722"/>
      <c r="F218" s="722"/>
      <c r="G218" s="722"/>
      <c r="H218" s="722"/>
      <c r="I218" s="722"/>
      <c r="J218" s="722"/>
      <c r="L218" s="72"/>
    </row>
    <row r="219" spans="3:12" ht="31.5" customHeight="1">
      <c r="C219" s="721" t="str">
        <f>CHOOSE(jezyk,n!A231,n!B231,n!C231,n!D231)</f>
        <v>Bierne rozliczenia międzyokresowe kosztów dokonywane są w wysokości prawdopodobnych zobowiązań przypadających na bieżący okres sprawozdawczy.</v>
      </c>
      <c r="D219" s="721"/>
      <c r="E219" s="721"/>
      <c r="F219" s="721"/>
      <c r="G219" s="721"/>
      <c r="H219" s="721"/>
      <c r="I219" s="721"/>
      <c r="J219" s="721"/>
    </row>
    <row r="221" spans="3:12" ht="12.75" customHeight="1">
      <c r="C221" s="89" t="str">
        <f>CHOOSE(jezyk,n!A232,n!B232,n!C232,n!D232)</f>
        <v xml:space="preserve">Rozliczenia międzyokresowe przychodów </v>
      </c>
    </row>
    <row r="223" spans="3:12" ht="30" customHeight="1">
      <c r="C223" s="721" t="str">
        <f>CHOOSE(jezyk,n!A233,n!B233,n!C233,n!D233)</f>
        <v>Rozliczenia międzyokresowe przychodów dokonywane są z zachowaniem ostrożnej wyceny i obejmują w szczególności:</v>
      </c>
      <c r="D223" s="721"/>
      <c r="E223" s="721"/>
      <c r="F223" s="721"/>
      <c r="G223" s="721"/>
      <c r="H223" s="721"/>
      <c r="I223" s="721"/>
      <c r="J223" s="721"/>
    </row>
    <row r="224" spans="3:12" ht="31.5" customHeight="1">
      <c r="C224" s="721" t="str">
        <f>CHOOSE(jezyk,n!A234,n!B234,n!C234,n!D234)</f>
        <v xml:space="preserve">- równowartość otrzymanych lub należnych od kontrahentów środków z tytułu świadczeń, których wykonanie nastąpi w następnych okresach sprawozdawczych; </v>
      </c>
      <c r="D224" s="721"/>
      <c r="E224" s="721"/>
      <c r="F224" s="721"/>
      <c r="G224" s="721"/>
      <c r="H224" s="721"/>
      <c r="I224" s="721"/>
      <c r="J224" s="721"/>
    </row>
    <row r="225" spans="1:13" ht="45.75" customHeight="1">
      <c r="C225" s="721" t="str">
        <f>CHOOSE(jezyk,n!A235,n!B235,n!C235,n!D235)</f>
        <v xml:space="preserve">- środki pieniężne otrzymane na sfinansowanie nabycia lub wytworzenia środków trwałych, w tym także środków trwałych w budowie oraz prac rozwojowych, jeżeli stosownie do innych ustaw nie zwiększają one kapitałów własnych. </v>
      </c>
      <c r="D225" s="721"/>
      <c r="E225" s="721"/>
      <c r="F225" s="721"/>
      <c r="G225" s="721"/>
      <c r="H225" s="721"/>
      <c r="I225" s="721"/>
      <c r="J225" s="721"/>
    </row>
    <row r="227" spans="1:13" ht="44.25" customHeight="1">
      <c r="C227" s="721" t="str">
        <f>CHOOSE(jezyk,n!A236,n!B236,n!C236,n!D236)</f>
        <v>Zaliczone do rozliczeń międzyokresowych przychodów kwoty zwiększają stopniowo pozostałe przychody operacyjne, równolegle do odpisów amortyzacyjnych lub umorzeniowych od środków trwałych lub kosztów prac rozwojowych sfinansowanych z tych źródeł.</v>
      </c>
      <c r="D227" s="721"/>
      <c r="E227" s="721"/>
      <c r="F227" s="721"/>
      <c r="G227" s="721"/>
      <c r="H227" s="721"/>
      <c r="I227" s="721"/>
      <c r="J227" s="721"/>
    </row>
    <row r="228" spans="1:13" ht="12.75" customHeight="1">
      <c r="L228" s="85"/>
    </row>
    <row r="229" spans="1:13" ht="12.75" customHeight="1">
      <c r="B229" s="89"/>
      <c r="C229" s="89" t="str">
        <f>CHOOSE(jezyk,n!A237,n!B237,n!C237,n!D237)</f>
        <v>Uznawanie przychodu</v>
      </c>
    </row>
    <row r="231" spans="1:13" s="75" customFormat="1" ht="63" customHeight="1">
      <c r="A231" s="99"/>
      <c r="B231" s="99"/>
      <c r="C231" s="721" t="str">
        <f>CHOOSE(jezyk,n!A238,n!B238,n!C238,n!D238)</f>
        <v>Przychody ze sprzedaży są uznawane w momencie dostarczenia towaru, jeżeli jednostka przekazała znaczące ryzyko i korzyści wynikające z praw własności do towarów, lub w momencie wykonania usługi. Sprzedaż wykazuje się w wartości netto, tj. bez uwzględnienia podatku od towarów i usług oraz po uwzględnieniu wszelkich udzielonych rabatów.</v>
      </c>
      <c r="D231" s="721"/>
      <c r="E231" s="721"/>
      <c r="F231" s="721"/>
      <c r="G231" s="721"/>
      <c r="H231" s="721"/>
      <c r="I231" s="721"/>
      <c r="J231" s="721"/>
      <c r="K231" s="99"/>
      <c r="M231" s="72"/>
    </row>
    <row r="233" spans="1:13" s="75" customFormat="1" ht="12.75" customHeight="1">
      <c r="B233" s="92"/>
      <c r="C233" s="89" t="str">
        <f>CHOOSE(jezyk,n!A239,n!B239,n!C239,n!D239)</f>
        <v xml:space="preserve">Aktywa i rezerwy z tytułu odroczonego podatku dochodowego </v>
      </c>
      <c r="D233" s="72"/>
      <c r="E233" s="72"/>
      <c r="F233" s="72"/>
      <c r="G233" s="72"/>
      <c r="H233" s="72"/>
      <c r="I233" s="99"/>
      <c r="J233" s="99"/>
      <c r="K233" s="72"/>
      <c r="M233" s="72"/>
    </row>
    <row r="234" spans="1:13" s="75" customFormat="1" ht="12.75" customHeight="1">
      <c r="B234" s="92"/>
      <c r="C234" s="72"/>
      <c r="D234" s="72"/>
      <c r="E234" s="72"/>
      <c r="F234" s="72"/>
      <c r="G234" s="72"/>
      <c r="H234" s="72"/>
      <c r="I234" s="99"/>
      <c r="J234" s="99"/>
      <c r="K234" s="72"/>
      <c r="M234" s="72"/>
    </row>
    <row r="235" spans="1:13" ht="28.5" hidden="1" customHeight="1">
      <c r="C235" s="721" t="str">
        <f>IF(GA!F75="nie",CHOOSE(jezyk,n!A240,n!B240,n!C240,n!D240),CHOOSE(jezyk,n!A241,n!B241,n!C241,n!D241))</f>
        <v xml:space="preserve">Zgodnie z uproszczeniem wynikającym z Art. 37 ust 10 UoR odstąpiono od ustalania aktywów i rezerw z tytułu odroczonego podatku dochodowego.  </v>
      </c>
      <c r="D235" s="721"/>
      <c r="E235" s="721"/>
      <c r="F235" s="721"/>
      <c r="G235" s="721"/>
      <c r="H235" s="721"/>
      <c r="I235" s="721"/>
      <c r="J235" s="721"/>
      <c r="L235" s="81" t="s">
        <v>6569</v>
      </c>
    </row>
    <row r="236" spans="1:13" hidden="1">
      <c r="B236" s="99"/>
      <c r="C236" s="722"/>
      <c r="D236" s="722"/>
      <c r="E236" s="722"/>
      <c r="F236" s="722"/>
      <c r="G236" s="722"/>
      <c r="H236" s="722"/>
      <c r="I236" s="722"/>
      <c r="J236" s="722"/>
      <c r="K236" s="99"/>
      <c r="L236" s="72"/>
    </row>
    <row r="237" spans="1:13" ht="47.25" customHeight="1">
      <c r="A237" s="99"/>
      <c r="C237" s="721" t="str">
        <f>CHOOSE(jezyk,n!A242,n!B242,n!C242,n!D242)</f>
        <v xml:space="preserve">W związku z przejściowymi różnicami między wykazywaną w księgach rachunkowych wartością aktywów i pasywów, a ich wartością podatkową oraz stratą podatkową możliwą do odliczenia w przyszłości, tworzona jest rezerwa i ustalane aktywa z tytułu odroczonego podatku dochodowego. </v>
      </c>
      <c r="D237" s="721"/>
      <c r="E237" s="721"/>
      <c r="F237" s="721"/>
      <c r="G237" s="721"/>
      <c r="H237" s="721"/>
      <c r="I237" s="721"/>
      <c r="J237" s="721"/>
    </row>
    <row r="238" spans="1:13">
      <c r="B238" s="99"/>
      <c r="C238" s="722"/>
      <c r="D238" s="722"/>
      <c r="E238" s="722"/>
      <c r="F238" s="722"/>
      <c r="G238" s="722"/>
      <c r="H238" s="722"/>
      <c r="I238" s="722"/>
      <c r="J238" s="722"/>
      <c r="K238" s="99"/>
      <c r="L238" s="72"/>
    </row>
    <row r="239" spans="1:13" ht="72" customHeight="1">
      <c r="A239" s="99"/>
      <c r="C239" s="721" t="str">
        <f>CHOOSE(jezyk,n!A243,n!B243,n!C243,n!D243)</f>
        <v>Aktywa z tytułu odroczonego podatku dochodowego ustala się w wysokości kwoty przewidzianej w przyszłości do odliczenia od podatku dochodowego, w związku z ujemnymi różnicami przejściowymi, które spowodują w przyszłości zmniejszenie podstawy obliczenia podatku dochodowego oraz straty podatkowej możliwej do odliczenia, ustalonej przy uwzględnieniu zasady ostrożności.</v>
      </c>
      <c r="D239" s="721"/>
      <c r="E239" s="721"/>
      <c r="F239" s="721"/>
      <c r="G239" s="721"/>
      <c r="H239" s="721"/>
      <c r="I239" s="721"/>
      <c r="J239" s="721"/>
    </row>
    <row r="240" spans="1:13" ht="12.75" customHeight="1">
      <c r="B240" s="89"/>
      <c r="C240" s="722"/>
      <c r="D240" s="722"/>
      <c r="E240" s="722"/>
      <c r="F240" s="722"/>
      <c r="G240" s="722"/>
      <c r="H240" s="722"/>
      <c r="I240" s="722"/>
      <c r="J240" s="722"/>
      <c r="L240" s="72"/>
    </row>
    <row r="241" spans="1:13" ht="60.75" customHeight="1">
      <c r="A241" s="99"/>
      <c r="C241" s="721" t="str">
        <f>CHOOSE(jezyk,n!A244,n!B244,n!C244,n!D244)</f>
        <v>Rezerwę z tytułu odroczonego podatku dochodowego tworzy się w wysokości kwoty podatku dochodowego, wymagającej w przyszłości zapłaty, w związku z występowaniem dodatnich różnic przejściowych, to jest różnic, które spowodują zwiększenie podstawy obliczenia podatku dochodowego w przyszłości.</v>
      </c>
      <c r="D241" s="721"/>
      <c r="E241" s="721"/>
      <c r="F241" s="721"/>
      <c r="G241" s="721"/>
      <c r="H241" s="721"/>
      <c r="I241" s="721"/>
      <c r="J241" s="721"/>
    </row>
    <row r="242" spans="1:13">
      <c r="B242" s="99"/>
      <c r="C242" s="99"/>
      <c r="D242" s="99"/>
      <c r="E242" s="99"/>
      <c r="F242" s="99"/>
      <c r="G242" s="99"/>
      <c r="H242" s="99"/>
      <c r="I242" s="99"/>
      <c r="J242" s="99"/>
      <c r="K242" s="99"/>
      <c r="L242" s="72"/>
    </row>
    <row r="243" spans="1:13" s="75" customFormat="1" ht="44.25" customHeight="1">
      <c r="A243" s="99"/>
      <c r="B243" s="502"/>
      <c r="C243" s="721" t="str">
        <f>CHOOSE(jezyk,n!A245,n!B245,n!C245,n!D245)</f>
        <v>Wysokość rezerwy i aktywów z tytułu odroczonego podatku dochodowego ustala się przy uwzględnieniu stawek podatku dochodowego obowiązujących w roku powstania obowiązku podatkowego.</v>
      </c>
      <c r="D243" s="721"/>
      <c r="E243" s="721"/>
      <c r="F243" s="721"/>
      <c r="G243" s="721"/>
      <c r="H243" s="721"/>
      <c r="I243" s="721"/>
      <c r="J243" s="721"/>
      <c r="K243" s="502"/>
      <c r="M243" s="72"/>
    </row>
    <row r="244" spans="1:13" s="86" customFormat="1">
      <c r="B244" s="100"/>
      <c r="C244" s="87"/>
      <c r="D244" s="87"/>
      <c r="E244" s="87"/>
      <c r="F244" s="87"/>
      <c r="G244" s="87"/>
      <c r="H244" s="87"/>
      <c r="I244" s="87"/>
      <c r="J244" s="87"/>
      <c r="K244" s="100"/>
    </row>
    <row r="245" spans="1:13" s="75" customFormat="1" ht="12.75" customHeight="1">
      <c r="B245" s="92"/>
      <c r="C245" s="89" t="str">
        <f>CHOOSE(jezyk,n!A246,n!B246,n!C246,n!D246)</f>
        <v>Ujmowanie i wycena instrumentów finansowych</v>
      </c>
      <c r="D245" s="72"/>
      <c r="E245" s="72"/>
      <c r="F245" s="72"/>
      <c r="G245" s="72"/>
      <c r="H245" s="72"/>
      <c r="I245" s="99"/>
      <c r="J245" s="99"/>
      <c r="K245" s="72"/>
      <c r="M245" s="72"/>
    </row>
    <row r="246" spans="1:13" s="75" customFormat="1" ht="12.75" customHeight="1">
      <c r="B246" s="92"/>
      <c r="C246" s="89"/>
      <c r="D246" s="72"/>
      <c r="E246" s="72"/>
      <c r="F246" s="72"/>
      <c r="G246" s="72"/>
      <c r="H246" s="72"/>
      <c r="I246" s="99"/>
      <c r="J246" s="99"/>
      <c r="K246" s="72"/>
      <c r="M246" s="72"/>
    </row>
    <row r="247" spans="1:13" ht="60" customHeight="1">
      <c r="C247" s="721" t="str">
        <f>IF(GA!F75&lt;&gt;"nie",CHOOSE(jezyk,n!A247,n!B247,n!C247,n!D247),CHOOSE(jezyk,n!A248,n!B248,n!C248,n!D248))</f>
        <v>Spółka stosuje uproszczenia wynikające z art. 28b ust. 1 UoR i w związku z tym nie stosuje przepisów Rozporządzenia Ministra Finansów z dnia 12 grudnia 2001 r. w sprawie szczegółowych zasad uznawania, metod wyceny, zakresu ujawniania i sposobu prezentacji instrumentów finansowych.</v>
      </c>
      <c r="D247" s="721"/>
      <c r="E247" s="721"/>
      <c r="F247" s="721"/>
      <c r="G247" s="721"/>
      <c r="H247" s="721"/>
      <c r="I247" s="721"/>
      <c r="J247" s="721"/>
    </row>
    <row r="248" spans="1:13" hidden="1">
      <c r="C248" s="388"/>
      <c r="D248" s="388"/>
      <c r="E248" s="388"/>
      <c r="F248" s="388"/>
      <c r="G248" s="388"/>
      <c r="H248" s="388"/>
      <c r="I248" s="388"/>
      <c r="J248" s="388"/>
      <c r="L248" s="72"/>
    </row>
    <row r="249" spans="1:13" ht="40.5" hidden="1" customHeight="1">
      <c r="C249" s="721" t="str">
        <f>IF(GA!F75&lt;&gt;"nie",CHOOSE(jezyk,n!A249,n!B249,n!C249,n!D249),CHOOSE(jezyk,n!A250,n!B250,n!C250,n!D250))</f>
        <v>Spółka stosuje przepisy Rozporządzenia Ministra Finansów z dnia 12 grudnia 2001 r. w sprawie szczegółowych zasad uznawania, metod wyceny, zakresu ujawniania i sposobu prezentacji instrumentów finansowych.</v>
      </c>
      <c r="D249" s="721"/>
      <c r="E249" s="721"/>
      <c r="F249" s="721"/>
      <c r="G249" s="721"/>
      <c r="H249" s="721"/>
      <c r="I249" s="721"/>
      <c r="J249" s="721"/>
      <c r="L249" s="81" t="s">
        <v>6570</v>
      </c>
    </row>
    <row r="251" spans="1:13" ht="12.75" customHeight="1">
      <c r="B251" s="76" t="s">
        <v>6571</v>
      </c>
      <c r="C251" s="79" t="str">
        <f>CHOOSE(jezyk,n!A251,n!B251,n!C251,n!D251)</f>
        <v>Ustalanie wyniku</v>
      </c>
    </row>
    <row r="252" spans="1:13" ht="12.75" customHeight="1">
      <c r="B252" s="76"/>
      <c r="C252" s="79"/>
    </row>
    <row r="253" spans="1:13" ht="12.75" customHeight="1">
      <c r="B253" s="76"/>
      <c r="C253" s="721" t="str">
        <f>IF(GA!F139="tak",CHOOSE(jezyk,n!A252,n!B252,n!C252,n!D252),CHOOSE(jezyk,n!A253,n!B253,n!C253,n!D253))</f>
        <v>Wynik finansowy jednostki ustalany jest zgodnie z przepisami rozdziału 4 UoR.</v>
      </c>
      <c r="D253" s="721"/>
      <c r="E253" s="721"/>
      <c r="F253" s="721"/>
      <c r="G253" s="721"/>
      <c r="H253" s="721"/>
      <c r="I253" s="721"/>
      <c r="J253" s="721"/>
    </row>
    <row r="254" spans="1:13" ht="14.25" customHeight="1">
      <c r="B254" s="76"/>
      <c r="C254" s="721"/>
      <c r="D254" s="721"/>
      <c r="E254" s="721"/>
      <c r="F254" s="721"/>
      <c r="G254" s="721"/>
      <c r="H254" s="721"/>
      <c r="I254" s="721"/>
      <c r="J254" s="721"/>
    </row>
    <row r="255" spans="1:13" ht="12.75" customHeight="1">
      <c r="B255" s="76"/>
      <c r="C255" s="79"/>
    </row>
    <row r="256" spans="1:13" ht="12.75" customHeight="1">
      <c r="B256" s="76" t="s">
        <v>6572</v>
      </c>
      <c r="C256" s="79" t="str">
        <f>CHOOSE(jezyk,n!A75,n!B75,n!C75,n!D75)</f>
        <v>Sposób sporządzania sprawozdania finansowego</v>
      </c>
    </row>
    <row r="258" spans="2:29" ht="27.75" customHeight="1">
      <c r="C258" s="721" t="str">
        <f>IF(GA!F75="nie",IF(GA!#REF!="tak",CHOOSE(jezyk,n!A111,n!B111,n!C111,n!D111),CHOOSE(jezyk,n!A113,n!B113,n!C113,n!D113)),IF(GA!F139="nie",CHOOSE(jezyk,n!A112,n!B112,n!C112,n!D112),CHOOSE(jezyk,n!A114,n!B114,n!C114,n!D114)))</f>
        <v>Sprawozdanie finansowe Oddziału sporządzone zostało zgodnie z przepisami UoR.</v>
      </c>
      <c r="D258" s="721"/>
      <c r="E258" s="721"/>
      <c r="F258" s="721"/>
      <c r="G258" s="721"/>
      <c r="H258" s="721"/>
      <c r="I258" s="721"/>
      <c r="J258" s="721"/>
    </row>
    <row r="260" spans="2:29" ht="12.75" customHeight="1">
      <c r="C260" s="737" t="str">
        <f>IF(GA!F75="nie",IF(wrach=1,CHOOSE(jezyk,n!A76,n!B76,n!C76,n!D76),CHOOSE(jezyk,n!A78,n!B78,n!C78,n!D78)),IF(wrach=1,CHOOSE(jezyk,n!A77,n!B77,n!C77,n!D77),CHOOSE(jezyk,n!A79,n!B79,n!C79,n!D79)))</f>
        <v>Oddział sporządza rachunek zysków i strat w wersji porównawczej.</v>
      </c>
      <c r="D260" s="737"/>
      <c r="E260" s="737"/>
      <c r="F260" s="737"/>
      <c r="G260" s="737"/>
      <c r="H260" s="737"/>
      <c r="I260" s="737"/>
      <c r="J260" s="737"/>
    </row>
    <row r="261" spans="2:29" ht="12.75" customHeight="1">
      <c r="C261" s="737" t="str">
        <f>IF(wCF=0," ",IF(wCF=1,CHOOSE(jezyk,n!A81,n!B81,n!C81,n!D81),CHOOSE(jezyk,n!A80,n!B80,n!C80,n!D80)))</f>
        <v xml:space="preserve"> </v>
      </c>
      <c r="D261" s="737"/>
      <c r="E261" s="737"/>
      <c r="F261" s="737"/>
      <c r="G261" s="737"/>
      <c r="H261" s="737"/>
      <c r="I261" s="737"/>
      <c r="J261" s="737"/>
      <c r="L261" s="81" t="s">
        <v>6573</v>
      </c>
    </row>
    <row r="262" spans="2:29" ht="12.75" customHeight="1">
      <c r="L262" s="81"/>
    </row>
    <row r="263" spans="2:29" ht="12.75" customHeight="1">
      <c r="B263" s="76" t="s">
        <v>6574</v>
      </c>
      <c r="C263" s="72" t="str">
        <f>CHOOSE(jezyk,n!A82,n!B82,n!C82,n!D82)</f>
        <v>Pozostałe</v>
      </c>
      <c r="L263" s="81"/>
    </row>
    <row r="264" spans="2:29" ht="12.75" customHeight="1">
      <c r="L264" s="81"/>
    </row>
    <row r="265" spans="2:29">
      <c r="C265" s="721" t="str">
        <f>CHOOSE(jezyk,n!A115,n!B115,n!C115,n!D115)</f>
        <v>W bieżącym roku obrotowym nie uległy zmianie:</v>
      </c>
      <c r="D265" s="721"/>
      <c r="E265" s="721"/>
      <c r="F265" s="721"/>
      <c r="G265" s="721"/>
      <c r="H265" s="721"/>
      <c r="I265" s="721"/>
      <c r="J265" s="721"/>
      <c r="L265" s="81"/>
    </row>
    <row r="266" spans="2:29" ht="12.75" customHeight="1">
      <c r="C266" s="721" t="str">
        <f>CHOOSE(jezyk,n!A116,n!B116,n!C116,n!D116)</f>
        <v>- zasady rachunkowości;</v>
      </c>
      <c r="D266" s="721"/>
      <c r="E266" s="721"/>
      <c r="F266" s="721"/>
      <c r="G266" s="721"/>
      <c r="H266" s="721"/>
      <c r="I266" s="721"/>
      <c r="J266" s="721"/>
      <c r="L266" s="81" t="s">
        <v>6575</v>
      </c>
    </row>
    <row r="267" spans="2:29" ht="12.75" customHeight="1">
      <c r="C267" s="721" t="str">
        <f>CHOOSE(jezyk,n!A117,n!B117,n!C117,n!D117)</f>
        <v>- metody wyceny aktywów i pasywów;</v>
      </c>
      <c r="D267" s="721"/>
      <c r="E267" s="721"/>
      <c r="F267" s="721"/>
      <c r="G267" s="721"/>
      <c r="H267" s="721"/>
      <c r="I267" s="721"/>
      <c r="J267" s="721"/>
    </row>
    <row r="268" spans="2:29" ht="12.75" customHeight="1">
      <c r="C268" s="721" t="str">
        <f>CHOOSE(jezyk,n!A118,n!B118,n!C118,n!D118)</f>
        <v>- sposób ustalania wyniku finansowego;</v>
      </c>
      <c r="D268" s="721"/>
      <c r="E268" s="721"/>
      <c r="F268" s="721"/>
      <c r="G268" s="721"/>
      <c r="H268" s="721"/>
      <c r="I268" s="721"/>
      <c r="J268" s="721"/>
    </row>
    <row r="269" spans="2:29" ht="12.75" customHeight="1">
      <c r="C269" s="721" t="str">
        <f>IF(Q269="tak",CHOOSE(jezyk,n!A119,n!B119,n!C119,n!D119),CHOOSE(jezyk,n!A120,n!B120,n!C120,n!D120))</f>
        <v>- sposób sporządzenia rachunku zysków i strat.</v>
      </c>
      <c r="D269" s="721"/>
      <c r="E269" s="721"/>
      <c r="F269" s="721"/>
      <c r="G269" s="721"/>
      <c r="H269" s="721"/>
      <c r="I269" s="721"/>
      <c r="J269" s="721"/>
      <c r="L269" s="81" t="s">
        <v>6576</v>
      </c>
      <c r="Q269" s="90" t="str">
        <f>IF(wCF=0,"nie","tak")</f>
        <v>nie</v>
      </c>
    </row>
    <row r="270" spans="2:29" ht="12.75" customHeight="1">
      <c r="L270" s="81"/>
      <c r="AC270" s="72" t="s">
        <v>6577</v>
      </c>
    </row>
    <row r="271" spans="2:29" ht="12.75" customHeight="1">
      <c r="B271" s="76" t="s">
        <v>6549</v>
      </c>
      <c r="C271" s="79" t="str">
        <f>CHOOSE(jezyk,n!A255,n!B255,n!C255,n!D255)</f>
        <v>Informacja uszczegóławiająca, wynikająca z potrzeb lub specyfiki jednostki</v>
      </c>
      <c r="AC271" s="72" t="s">
        <v>4379</v>
      </c>
    </row>
    <row r="273" spans="1:16" s="96" customFormat="1" ht="12.75" customHeight="1">
      <c r="C273" s="388"/>
      <c r="D273" s="388"/>
      <c r="E273" s="388"/>
      <c r="F273" s="388"/>
      <c r="G273" s="388"/>
      <c r="H273" s="388"/>
      <c r="I273" s="388"/>
      <c r="J273" s="388"/>
      <c r="O273" s="72"/>
    </row>
    <row r="274" spans="1:16" s="96" customFormat="1" ht="12.75" customHeight="1">
      <c r="C274" s="733" t="str">
        <f>CHOOSE(jezyk,n!A1781,n!B1781,n!C1781)</f>
        <v>Wpływ konfliktu we wschodniej Europie na sytuację finansową Spółki</v>
      </c>
      <c r="D274" s="733"/>
      <c r="E274" s="733"/>
      <c r="F274" s="733"/>
      <c r="G274" s="733"/>
      <c r="H274" s="733"/>
      <c r="I274" s="733"/>
      <c r="J274" s="733"/>
      <c r="L274" s="94" t="s">
        <v>6578</v>
      </c>
      <c r="O274" s="72"/>
    </row>
    <row r="275" spans="1:16" s="96" customFormat="1" ht="12.75" customHeight="1">
      <c r="C275" s="388"/>
      <c r="D275" s="681"/>
      <c r="E275" s="681"/>
      <c r="F275" s="681"/>
      <c r="G275" s="681"/>
      <c r="H275" s="681"/>
      <c r="I275" s="681"/>
      <c r="J275" s="681"/>
      <c r="O275" s="72"/>
    </row>
    <row r="276" spans="1:16" s="96" customFormat="1" ht="77.25" customHeight="1">
      <c r="A276" s="72"/>
      <c r="C276" s="721" t="str">
        <f>IF(GA!H16=2,IF(GA!#REF!="nie",CHOOSE(jezyk,n!A266,n!B266,n!C266,n!D266),CHOOSE(jezyk,n!A268,n!B268,n!C268,n!D268)),IF(GA!F70="nie",CHOOSE(jezyk,n!A265,n!B265,n!C265,n!D265),CHOOSE(jezyk,n!A267,n!B267,n!C267,n!D267)))</f>
        <v>Trwający od początku 2022 roku konflikt we wschodniej Europie wywołał istotne zmiany w otoczeniu biznesowym spółki. Zarząd zidentyfikował  ryzyka i negatywne konsekwencje tego konfliktu na działalność jednostki oraz podjął działania w celu ich ograniczenia. Opis wpływu tych zmian i ryzyk wynikających z aktualnej sytuacji gospodarczej/politycznej na sprawozdanie finansowe jednostki znajduje się w nocie 11 informacji dodatkowych.</v>
      </c>
      <c r="D276" s="721"/>
      <c r="E276" s="721"/>
      <c r="F276" s="721"/>
      <c r="G276" s="721"/>
      <c r="H276" s="721"/>
      <c r="I276" s="721"/>
      <c r="J276" s="721"/>
    </row>
    <row r="277" spans="1:16" s="96" customFormat="1" ht="12.75" customHeight="1">
      <c r="C277" s="388"/>
      <c r="D277" s="388"/>
      <c r="E277" s="388"/>
      <c r="F277" s="388"/>
      <c r="G277" s="388"/>
      <c r="H277" s="388"/>
      <c r="I277" s="388"/>
      <c r="J277" s="388"/>
    </row>
    <row r="278" spans="1:16" s="96" customFormat="1" ht="12.75" customHeight="1">
      <c r="C278" s="733" t="str">
        <f>CHOOSE(jezyk,n!A271,n!B271,n!C271,n!D271)</f>
        <v>Zdarzenia po dniu bilansowym</v>
      </c>
      <c r="D278" s="733"/>
      <c r="E278" s="733"/>
      <c r="F278" s="733"/>
      <c r="G278" s="733"/>
      <c r="H278" s="733"/>
      <c r="I278" s="733"/>
      <c r="J278" s="733"/>
    </row>
    <row r="279" spans="1:16" s="96" customFormat="1" ht="12.75" customHeight="1">
      <c r="C279" s="388"/>
      <c r="D279" s="681"/>
      <c r="E279" s="681"/>
      <c r="F279" s="681"/>
      <c r="G279" s="681"/>
      <c r="H279" s="681"/>
      <c r="I279" s="681"/>
      <c r="J279" s="681"/>
    </row>
    <row r="280" spans="1:16" ht="17.25" customHeight="1">
      <c r="C280" s="721" t="str">
        <f>CHOOSE(jezyk,n!A272,n!B272,n!C272,n!D272)</f>
        <v>Po dniu bilansowym nie zanotowano zdarzeń mogących wpłynąć na sprawozdanie finansowe.</v>
      </c>
      <c r="D280" s="721"/>
      <c r="E280" s="721"/>
      <c r="F280" s="721"/>
      <c r="G280" s="721"/>
      <c r="H280" s="721"/>
      <c r="I280" s="721"/>
      <c r="J280" s="721"/>
      <c r="L280" s="94"/>
    </row>
    <row r="283" spans="1:16" ht="12.75" customHeight="1">
      <c r="C283" s="99"/>
      <c r="D283" s="99"/>
      <c r="E283" s="99"/>
      <c r="F283" s="99"/>
      <c r="G283" s="99"/>
      <c r="H283" s="99"/>
      <c r="I283" s="99"/>
      <c r="J283" s="99"/>
    </row>
    <row r="284" spans="1:16" ht="12.75" customHeight="1">
      <c r="M284" s="130"/>
      <c r="N284" s="90"/>
      <c r="O284" s="90"/>
      <c r="P284" s="90"/>
    </row>
    <row r="285" spans="1:16">
      <c r="A285" s="88"/>
      <c r="C285" s="722" t="str">
        <f>CHOOSE(jezyk,n!A28,n!B28,n!C28,n!D28)&amp;":"</f>
        <v>Data sporządzenia sprawozdania finansowego:</v>
      </c>
      <c r="D285" s="722"/>
      <c r="E285" s="722"/>
      <c r="F285" s="722"/>
      <c r="G285" s="722"/>
      <c r="H285" s="745" t="str">
        <f>GA!D53</f>
        <v>30.01.2025</v>
      </c>
      <c r="I285" s="745"/>
      <c r="M285" s="90"/>
      <c r="N285" s="90"/>
      <c r="O285" s="91"/>
      <c r="P285" s="90"/>
    </row>
    <row r="286" spans="1:16" ht="12.75" customHeight="1">
      <c r="M286" s="90"/>
      <c r="N286" s="90"/>
      <c r="O286" s="91"/>
      <c r="P286" s="90"/>
    </row>
    <row r="287" spans="1:16" ht="12.75" customHeight="1">
      <c r="C287" s="72" t="str">
        <f>CHOOSE(jezyk,n!A412,n!B412,n!C412,n!D412)</f>
        <v>Osoba sporządzająca:</v>
      </c>
      <c r="E287" s="723" t="s">
        <v>6579</v>
      </c>
      <c r="F287" s="723"/>
      <c r="G287" s="723"/>
      <c r="M287" s="90"/>
      <c r="N287" s="90"/>
      <c r="O287" s="708"/>
      <c r="P287" s="90"/>
    </row>
    <row r="288" spans="1:16" ht="12.75" customHeight="1">
      <c r="C288" s="99"/>
      <c r="D288" s="99"/>
      <c r="E288" s="99"/>
      <c r="F288" s="99"/>
      <c r="G288" s="99"/>
      <c r="H288" s="99"/>
      <c r="I288" s="99"/>
      <c r="J288" s="99"/>
      <c r="L288" s="72"/>
      <c r="M288" s="90"/>
      <c r="N288" s="90"/>
      <c r="O288" s="708"/>
      <c r="P288" s="90"/>
    </row>
    <row r="289" spans="3:11" ht="12.75" customHeight="1">
      <c r="C289" s="72" t="str">
        <f>IF(GA!H16=2,CHOOSE(jezyk,n!A414,n!B414,n!C414,n!D414),CHOOSE(jezyk,n!A413,n!B413,n!C413,n!D413))</f>
        <v>Zarząd:</v>
      </c>
      <c r="E289" s="723" t="s">
        <v>6580</v>
      </c>
      <c r="F289" s="723"/>
      <c r="G289" s="723"/>
      <c r="H289" s="102" t="s">
        <v>6581</v>
      </c>
      <c r="I289" s="721" t="s">
        <v>817</v>
      </c>
      <c r="J289" s="721"/>
      <c r="K289" s="721"/>
    </row>
    <row r="290" spans="3:11" ht="12.75" customHeight="1">
      <c r="E290" s="723" t="s">
        <v>6582</v>
      </c>
      <c r="F290" s="723"/>
      <c r="G290" s="723"/>
      <c r="H290" s="102" t="s">
        <v>6581</v>
      </c>
      <c r="I290" s="103" t="str">
        <f>IF(GA!H16=2,CHOOSE(jezyk,n!A282,n!B282,n!C282,n!D282),CHOOSE(jezyk,n!A281,n!B281,n!C281,n!D281))</f>
        <v>Członek Zarządu</v>
      </c>
      <c r="J290" s="103"/>
      <c r="K290" s="103"/>
    </row>
    <row r="291" spans="3:11">
      <c r="E291" s="723"/>
      <c r="F291" s="723"/>
      <c r="G291" s="723"/>
      <c r="H291" s="102"/>
      <c r="I291" s="103"/>
      <c r="J291" s="103"/>
      <c r="K291" s="103"/>
    </row>
    <row r="294" spans="3:11" ht="12.75" customHeight="1">
      <c r="C294" s="104"/>
    </row>
    <row r="300" spans="3:11" ht="12.75" customHeight="1">
      <c r="C300" s="105"/>
      <c r="D300" s="66"/>
      <c r="E300" s="66"/>
      <c r="F300" s="66"/>
      <c r="G300" s="66"/>
      <c r="H300" s="66"/>
      <c r="I300" s="66"/>
      <c r="J300" s="66"/>
    </row>
    <row r="301" spans="3:11" ht="12.75" customHeight="1">
      <c r="C301" s="66"/>
      <c r="D301" s="66"/>
      <c r="E301" s="66"/>
      <c r="F301" s="66"/>
      <c r="G301" s="66"/>
      <c r="H301" s="66"/>
      <c r="I301" s="66"/>
      <c r="J301" s="66"/>
    </row>
    <row r="302" spans="3:11" ht="12.75" customHeight="1">
      <c r="C302" s="739"/>
      <c r="D302" s="740"/>
      <c r="E302" s="740"/>
      <c r="F302" s="740"/>
      <c r="G302" s="740"/>
      <c r="H302" s="740"/>
      <c r="I302" s="740"/>
      <c r="J302" s="740"/>
    </row>
    <row r="303" spans="3:11" ht="12.75" customHeight="1">
      <c r="C303" s="399"/>
      <c r="D303" s="106"/>
      <c r="E303" s="106"/>
      <c r="F303" s="106"/>
      <c r="G303" s="106"/>
      <c r="H303" s="106"/>
      <c r="I303" s="106"/>
      <c r="J303" s="106"/>
    </row>
    <row r="304" spans="3:11" ht="12.75" customHeight="1">
      <c r="C304" s="734"/>
      <c r="D304" s="741"/>
      <c r="E304" s="741"/>
      <c r="F304" s="741"/>
      <c r="G304" s="741"/>
      <c r="H304" s="741"/>
      <c r="I304" s="741"/>
      <c r="J304" s="741"/>
    </row>
    <row r="305" spans="3:10" ht="12.75" customHeight="1">
      <c r="C305" s="399"/>
      <c r="D305" s="106"/>
      <c r="E305" s="106"/>
      <c r="F305" s="106"/>
      <c r="G305" s="106"/>
      <c r="H305" s="106"/>
      <c r="I305" s="106"/>
      <c r="J305" s="106"/>
    </row>
    <row r="306" spans="3:10" ht="12.75" customHeight="1">
      <c r="C306" s="742"/>
      <c r="D306" s="743"/>
      <c r="E306" s="743"/>
      <c r="F306" s="743"/>
      <c r="G306" s="743"/>
      <c r="H306" s="743"/>
      <c r="I306" s="743"/>
      <c r="J306" s="743"/>
    </row>
  </sheetData>
  <sheetProtection formatCells="0" formatColumns="0" formatRows="0" insertRows="0" insertHyperlinks="0" sort="0" autoFilter="0" pivotTables="0"/>
  <mergeCells count="178">
    <mergeCell ref="D43:J43"/>
    <mergeCell ref="Q140:X140"/>
    <mergeCell ref="Q139:X139"/>
    <mergeCell ref="Q137:X137"/>
    <mergeCell ref="Q138:X138"/>
    <mergeCell ref="Q130:X130"/>
    <mergeCell ref="Q129:X129"/>
    <mergeCell ref="R46:Y46"/>
    <mergeCell ref="C200:J200"/>
    <mergeCell ref="E291:G291"/>
    <mergeCell ref="I289:K289"/>
    <mergeCell ref="C241:J241"/>
    <mergeCell ref="C278:J278"/>
    <mergeCell ref="H285:I285"/>
    <mergeCell ref="C189:J189"/>
    <mergeCell ref="C190:J190"/>
    <mergeCell ref="C191:J191"/>
    <mergeCell ref="C192:J192"/>
    <mergeCell ref="C218:J218"/>
    <mergeCell ref="C172:J172"/>
    <mergeCell ref="C117:J117"/>
    <mergeCell ref="C118:J118"/>
    <mergeCell ref="C128:J128"/>
    <mergeCell ref="C129:J129"/>
    <mergeCell ref="C122:J122"/>
    <mergeCell ref="C304:J304"/>
    <mergeCell ref="C306:J306"/>
    <mergeCell ref="C285:G285"/>
    <mergeCell ref="C260:J260"/>
    <mergeCell ref="C261:J261"/>
    <mergeCell ref="C231:J231"/>
    <mergeCell ref="C235:J235"/>
    <mergeCell ref="C237:J237"/>
    <mergeCell ref="C238:J238"/>
    <mergeCell ref="C239:J239"/>
    <mergeCell ref="C266:J266"/>
    <mergeCell ref="C280:J280"/>
    <mergeCell ref="C253:J254"/>
    <mergeCell ref="C236:J236"/>
    <mergeCell ref="C269:J269"/>
    <mergeCell ref="C274:J274"/>
    <mergeCell ref="C276:J276"/>
    <mergeCell ref="C265:J265"/>
    <mergeCell ref="C247:J247"/>
    <mergeCell ref="C267:J267"/>
    <mergeCell ref="C249:J249"/>
    <mergeCell ref="C268:J268"/>
    <mergeCell ref="C258:J258"/>
    <mergeCell ref="C240:J240"/>
    <mergeCell ref="E20:F20"/>
    <mergeCell ref="C87:J87"/>
    <mergeCell ref="C302:J302"/>
    <mergeCell ref="C213:J213"/>
    <mergeCell ref="C144:J144"/>
    <mergeCell ref="C91:J91"/>
    <mergeCell ref="C95:J95"/>
    <mergeCell ref="C102:J102"/>
    <mergeCell ref="C106:J106"/>
    <mergeCell ref="C103:J103"/>
    <mergeCell ref="C104:J104"/>
    <mergeCell ref="C166:J166"/>
    <mergeCell ref="C162:J162"/>
    <mergeCell ref="C163:J163"/>
    <mergeCell ref="C164:J164"/>
    <mergeCell ref="C212:J212"/>
    <mergeCell ref="E287:G287"/>
    <mergeCell ref="E289:G289"/>
    <mergeCell ref="E290:G290"/>
    <mergeCell ref="C243:J243"/>
    <mergeCell ref="C223:J223"/>
    <mergeCell ref="C224:J224"/>
    <mergeCell ref="C225:J225"/>
    <mergeCell ref="C227:J227"/>
    <mergeCell ref="C210:J210"/>
    <mergeCell ref="C170:J170"/>
    <mergeCell ref="A124:A125"/>
    <mergeCell ref="A142:A143"/>
    <mergeCell ref="C142:J142"/>
    <mergeCell ref="C143:J143"/>
    <mergeCell ref="E18:F18"/>
    <mergeCell ref="E19:F19"/>
    <mergeCell ref="E24:F24"/>
    <mergeCell ref="D50:E50"/>
    <mergeCell ref="D51:E51"/>
    <mergeCell ref="C131:J131"/>
    <mergeCell ref="C132:J132"/>
    <mergeCell ref="C133:J133"/>
    <mergeCell ref="C137:J137"/>
    <mergeCell ref="C138:J138"/>
    <mergeCell ref="C139:J139"/>
    <mergeCell ref="C140:J140"/>
    <mergeCell ref="E26:F26"/>
    <mergeCell ref="E32:F32"/>
    <mergeCell ref="E33:F33"/>
    <mergeCell ref="E34:F34"/>
    <mergeCell ref="C67:J67"/>
    <mergeCell ref="C69:J69"/>
    <mergeCell ref="C219:J219"/>
    <mergeCell ref="C161:J161"/>
    <mergeCell ref="F8:K8"/>
    <mergeCell ref="F9:K9"/>
    <mergeCell ref="C8:E8"/>
    <mergeCell ref="C9:E9"/>
    <mergeCell ref="C217:J217"/>
    <mergeCell ref="C29:J29"/>
    <mergeCell ref="C193:J193"/>
    <mergeCell ref="C197:J197"/>
    <mergeCell ref="C177:J177"/>
    <mergeCell ref="C178:J178"/>
    <mergeCell ref="C179:J179"/>
    <mergeCell ref="C180:J180"/>
    <mergeCell ref="C184:J184"/>
    <mergeCell ref="C96:J96"/>
    <mergeCell ref="C100:J100"/>
    <mergeCell ref="D42:J42"/>
    <mergeCell ref="C30:J30"/>
    <mergeCell ref="C39:J39"/>
    <mergeCell ref="C45:J45"/>
    <mergeCell ref="C116:J116"/>
    <mergeCell ref="C73:J73"/>
    <mergeCell ref="C209:J209"/>
    <mergeCell ref="C52:J52"/>
    <mergeCell ref="C47:J47"/>
    <mergeCell ref="C56:J56"/>
    <mergeCell ref="C62:J63"/>
    <mergeCell ref="C60:J60"/>
    <mergeCell ref="C80:J80"/>
    <mergeCell ref="C78:J78"/>
    <mergeCell ref="E25:F25"/>
    <mergeCell ref="C159:J159"/>
    <mergeCell ref="C86:J86"/>
    <mergeCell ref="E35:F35"/>
    <mergeCell ref="E36:F36"/>
    <mergeCell ref="E37:F37"/>
    <mergeCell ref="C108:J108"/>
    <mergeCell ref="C111:J111"/>
    <mergeCell ref="C112:J112"/>
    <mergeCell ref="C113:J113"/>
    <mergeCell ref="C115:J115"/>
    <mergeCell ref="C114:J114"/>
    <mergeCell ref="C120:J120"/>
    <mergeCell ref="C124:J124"/>
    <mergeCell ref="C71:J71"/>
    <mergeCell ref="C72:J72"/>
    <mergeCell ref="D41:J41"/>
    <mergeCell ref="O131:P131"/>
    <mergeCell ref="O137:P137"/>
    <mergeCell ref="O139:P139"/>
    <mergeCell ref="O129:P129"/>
    <mergeCell ref="C155:J155"/>
    <mergeCell ref="C148:J148"/>
    <mergeCell ref="C149:J149"/>
    <mergeCell ref="C150:J150"/>
    <mergeCell ref="C151:J151"/>
    <mergeCell ref="B1:K1"/>
    <mergeCell ref="B3:K3"/>
    <mergeCell ref="B4:K4"/>
    <mergeCell ref="E21:F21"/>
    <mergeCell ref="C188:J188"/>
    <mergeCell ref="C199:J199"/>
    <mergeCell ref="C203:J203"/>
    <mergeCell ref="C204:J204"/>
    <mergeCell ref="C208:J208"/>
    <mergeCell ref="C153:J153"/>
    <mergeCell ref="C154:J154"/>
    <mergeCell ref="C90:J90"/>
    <mergeCell ref="C74:J74"/>
    <mergeCell ref="E23:F23"/>
    <mergeCell ref="C168:J168"/>
    <mergeCell ref="C176:J176"/>
    <mergeCell ref="C198:J198"/>
    <mergeCell ref="C110:J110"/>
    <mergeCell ref="C6:J6"/>
    <mergeCell ref="C28:J28"/>
    <mergeCell ref="C10:J10"/>
    <mergeCell ref="C16:J16"/>
    <mergeCell ref="E22:F22"/>
    <mergeCell ref="C13:K14"/>
  </mergeCells>
  <dataValidations count="8">
    <dataValidation type="list" allowBlank="1" showInputMessage="1" showErrorMessage="1" sqref="Q269" xr:uid="{00000000-0002-0000-1000-000000000000}">
      <formula1>$AC$270:$AC$271</formula1>
    </dataValidation>
    <dataValidation type="list" allowBlank="1" showInputMessage="1" showErrorMessage="1" sqref="L132 L149" xr:uid="{00000000-0002-0000-1000-000001000000}">
      <formula1>"ilościowo-wartościowa,wartościowa,koszty"</formula1>
    </dataValidation>
    <dataValidation type="list" allowBlank="1" showInputMessage="1" showErrorMessage="1" sqref="L140" xr:uid="{00000000-0002-0000-1000-000002000000}">
      <formula1>"ilościowo-wartościowa,ilościowa,wartościowa,koszty"</formula1>
    </dataValidation>
    <dataValidation type="list" showInputMessage="1" showErrorMessage="1" sqref="O172" xr:uid="{00000000-0002-0000-1000-000003000000}">
      <formula1>"FIFO,średnia-ważona,"</formula1>
    </dataValidation>
    <dataValidation type="list" allowBlank="1" showInputMessage="1" showErrorMessage="1" sqref="E26:F26" xr:uid="{00000000-0002-0000-1000-000004000000}">
      <formula1>"Dolnośląskie,Kujawsko-pomorskie, Lubelskie,Lubuskie, Łódzkie, Małopolskie, Mazowieckie,Opolskie,Podkarpackie,Podlaskie,Pomorskie,Śląskie,Świetokrzyskie,Warmińsko-mazurskie,Wielkopolskie,Zachodniopomorskie"</formula1>
    </dataValidation>
    <dataValidation type="list" allowBlank="1" showInputMessage="1" showErrorMessage="1" promptTitle="Metody wyceny:" prompt="1. cena nabycia minus odpisy aktualizujące_x000a_2. wartość godziwa" sqref="O199" xr:uid="{7872BCDE-1B70-48F6-9570-3A18289B7B15}">
      <formula1>"1,2"</formula1>
    </dataValidation>
    <dataValidation type="list" allowBlank="1" showInputMessage="1" showErrorMessage="1" prompt="1 - pkt 8 wprowadzenia + nota 9_x000a_2 - tylko pkt 8 wprowadzenia" sqref="N72" xr:uid="{D8911AE7-06DC-4469-9252-6D0B03E32A0F}">
      <formula1>"1,2"</formula1>
    </dataValidation>
    <dataValidation type="list" allowBlank="1" showInputMessage="1" showErrorMessage="1" sqref="N102" xr:uid="{1A8E1282-5262-41A5-B700-46F8356B3D30}">
      <formula1>"liniowa,degresywna"</formula1>
    </dataValidation>
  </dataValidations>
  <hyperlinks>
    <hyperlink ref="B1:K1" location="'spis treści'!A1" display="SPIS TREŚCI" xr:uid="{00000000-0004-0000-1000-000000000000}"/>
  </hyperlinks>
  <pageMargins left="0.39370078740157483" right="0.19685039370078741" top="0.35433070866141736" bottom="0.98425196850393704" header="0.27559055118110237" footer="0.51181102362204722"/>
  <pageSetup paperSize="9" fitToHeight="0" orientation="portrait" blackAndWhite="1" r:id="rId1"/>
  <headerFooter>
    <oddHeader xml:space="preserve">&amp;L
</oddHeader>
    <oddFooter>&amp;LWprowadzenie</oddFooter>
  </headerFooter>
  <rowBreaks count="8" manualBreakCount="8">
    <brk id="56" min="1" max="10" man="1"/>
    <brk id="96" min="1" max="10" man="1"/>
    <brk id="133" min="1" max="10" man="1"/>
    <brk id="164" min="1" max="10" man="1"/>
    <brk id="193" min="1" max="10" man="1"/>
    <brk id="219" min="1" max="10" man="1"/>
    <brk id="249" min="1" max="10" man="1"/>
    <brk id="280" min="1"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5000000}">
          <x14:formula1>
            <xm:f>PKD!$A$2:$A$657</xm:f>
          </x14:formula1>
          <xm:sqref>C41:C43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31ca19-41c7-4ecc-aad1-2101d34ef018">
      <Terms xmlns="http://schemas.microsoft.com/office/infopath/2007/PartnerControls"/>
    </lcf76f155ced4ddcb4097134ff3c332f>
    <TaxCatchAll xmlns="3ef33a18-a6bc-46a5-a303-fb96e2d6c95b" xsi:nil="true"/>
    <nr xmlns="4f31ca19-41c7-4ecc-aad1-2101d34ef0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CD620008A6A394A899FFF1D3A0DD3D2" ma:contentTypeVersion="14" ma:contentTypeDescription="Utwórz nowy dokument." ma:contentTypeScope="" ma:versionID="46e9b399afcb20ad816260eeb634360a">
  <xsd:schema xmlns:xsd="http://www.w3.org/2001/XMLSchema" xmlns:xs="http://www.w3.org/2001/XMLSchema" xmlns:p="http://schemas.microsoft.com/office/2006/metadata/properties" xmlns:ns2="4f31ca19-41c7-4ecc-aad1-2101d34ef018" xmlns:ns3="3ef33a18-a6bc-46a5-a303-fb96e2d6c95b" targetNamespace="http://schemas.microsoft.com/office/2006/metadata/properties" ma:root="true" ma:fieldsID="ef6f214e383761d418f94f1e0e2c64c2" ns2:_="" ns3:_="">
    <xsd:import namespace="4f31ca19-41c7-4ecc-aad1-2101d34ef018"/>
    <xsd:import namespace="3ef33a18-a6bc-46a5-a303-fb96e2d6c9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n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31ca19-41c7-4ecc-aad1-2101d34ef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i obrazów" ma:readOnly="false" ma:fieldId="{5cf76f15-5ced-4ddc-b409-7134ff3c332f}" ma:taxonomyMulti="true" ma:sspId="3b23ac7b-5860-49b1-91c9-d74111132d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nr" ma:index="20" nillable="true" ma:displayName="nr" ma:format="Dropdown" ma:internalName="nr" ma:percentage="FALSE">
      <xsd:simpleType>
        <xsd:restriction base="dms:Number"/>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f33a18-a6bc-46a5-a303-fb96e2d6c9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a45c50-e300-4aa8-b238-778c7eea04e6}" ma:internalName="TaxCatchAll" ma:showField="CatchAllData" ma:web="3ef33a18-a6bc-46a5-a303-fb96e2d6c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9530F8-4D51-4FB6-8C36-6BF5AD0AE1AE}"/>
</file>

<file path=customXml/itemProps2.xml><?xml version="1.0" encoding="utf-8"?>
<ds:datastoreItem xmlns:ds="http://schemas.openxmlformats.org/officeDocument/2006/customXml" ds:itemID="{56B8C8F5-43F8-429E-A025-F5472B786B8B}"/>
</file>

<file path=customXml/itemProps3.xml><?xml version="1.0" encoding="utf-8"?>
<ds:datastoreItem xmlns:ds="http://schemas.openxmlformats.org/officeDocument/2006/customXml" ds:itemID="{39FBB0DB-DDBB-4F7B-A475-8033BB3CCB33}"/>
</file>

<file path=docProps/app.xml><?xml version="1.0" encoding="utf-8"?>
<Properties xmlns="http://schemas.openxmlformats.org/officeDocument/2006/extended-properties" xmlns:vt="http://schemas.openxmlformats.org/officeDocument/2006/docPropsVTypes">
  <Application>Microsoft Excel Online</Application>
  <Manager/>
  <Company>Roedl &amp; Partner Sp. z o.o.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Sprawozdanie finansowe</dc:title>
  <dc:subject/>
  <dc:creator>Audyt Gliwice</dc:creator>
  <cp:keywords/>
  <dc:description>Wersja ost.skoryg.09.2009</dc:description>
  <cp:lastModifiedBy>Hajduk, Grzegorz</cp:lastModifiedBy>
  <cp:revision/>
  <dcterms:created xsi:type="dcterms:W3CDTF">2002-04-25T10:20:56Z</dcterms:created>
  <dcterms:modified xsi:type="dcterms:W3CDTF">2025-01-22T11:04:00Z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0x0101005CD620008A6A394A899FFF1D3A0DD3D2</vt:lpwstr>
  </property>
  <property fmtid="{D5CDD505-2E9C-101B-9397-08002B2CF9AE}" pid="3" name="MediaServiceImageTags">
    <vt:lpwstr/>
  </property>
</Properties>
</file>